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465" activeTab="1"/>
  </bookViews>
  <sheets>
    <sheet name="DFP-Com" sheetId="1" r:id="rId1"/>
    <sheet name="DFP-CASH" sheetId="2" r:id="rId2"/>
    <sheet name="QFR - A" sheetId="3" r:id="rId3"/>
    <sheet name="QFR - B" sheetId="4" r:id="rId4"/>
    <sheet name="THP DR" sheetId="5" r:id="rId5"/>
    <sheet name="Contract level" sheetId="6" state="hidden" r:id="rId6"/>
    <sheet name="Error checks" sheetId="7" state="hidden" r:id="rId7"/>
    <sheet name="Historico" sheetId="9" state="hidden" r:id="rId8"/>
  </sheets>
  <definedNames>
    <definedName name="_xlnm._FilterDatabase" localSheetId="5" hidden="1">'Contract level'!$A$3:$BD$83</definedName>
    <definedName name="_xlnm._FilterDatabase" localSheetId="7" hidden="1">'Historico'!$A$3:$BD$38</definedName>
    <definedName name="_xlnm.Print_Area" localSheetId="1">'DFP-CASH'!$B$11:$G$54</definedName>
    <definedName name="_xlnm.Print_Area" localSheetId="0">'DFP-Com'!$B$9:$G$52</definedName>
    <definedName name="ScheduleA" localSheetId="7">#REF!</definedName>
    <definedName name="ScheduleA">#REF!</definedName>
    <definedName name="ScheduleB" localSheetId="7">#REF!</definedName>
    <definedName name="ScheduleB">#REF!</definedName>
    <definedName name="ScheduleF" localSheetId="7">#REF!</definedName>
    <definedName name="ScheduleF">#REF!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<sst xmlns="http://schemas.openxmlformats.org/spreadsheetml/2006/main" count="844" uniqueCount="291">
  <si>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</si>
  <si>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</si>
  <si>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</si>
  <si>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</si>
  <si>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</si>
  <si>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</si>
  <si>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</si>
  <si>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</si>
  <si>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</si>
  <si>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</si>
  <si>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</si>
  <si>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</si>
  <si>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</si>
  <si>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</si>
  <si>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</si>
  <si>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</si>
  <si>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</si>
  <si>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Jan '17
Mar '17</t>
  </si>
  <si>
    <t>Apr '17
Jun '17</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</si>
  <si>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</si>
  <si>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</si>
  <si>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</si>
  <si>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</si>
  <si>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</si>
  <si>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</si>
  <si>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</si>
  <si>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</si>
  <si>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</si>
  <si>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</si>
  <si>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</si>
  <si>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</si>
  <si>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</si>
  <si>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</si>
  <si>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</si>
  <si>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</si>
  <si>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</si>
  <si>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</si>
  <si>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</si>
  <si>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</si>
  <si>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</si>
  <si>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</si>
  <si>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Theshold Program / Program Administration and Monitoring and Evaluation</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</si>
  <si>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</si>
  <si>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</si>
  <si>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</si>
  <si>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</si>
  <si>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</si>
  <si>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</si>
  <si>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</si>
  <si>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</si>
  <si>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</si>
  <si>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</si>
  <si>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</si>
  <si>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</si>
  <si>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</si>
  <si>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</si>
  <si>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</si>
  <si>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</si>
  <si>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</si>
  <si>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</si>
  <si>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</si>
  <si>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</si>
  <si>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</si>
  <si>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Date:  _____________________________________________________________</t>
  </si>
  <si>
    <t xml:space="preserve">Name: </t>
  </si>
  <si>
    <t>TOTAL - Education</t>
  </si>
  <si>
    <t>TOTAL - Resource Mobilization</t>
  </si>
  <si>
    <t>Jan '18
Mar '18</t>
  </si>
  <si>
    <t>Apr '18
Jun '18</t>
  </si>
  <si>
    <t>Oct '17
Dec '17</t>
  </si>
  <si>
    <t>Oct '18
Dec '18</t>
  </si>
  <si>
    <t>Jan '19
Mar '19</t>
  </si>
  <si>
    <t>Apr '19
Jun '19</t>
  </si>
  <si>
    <t>Signed by the  Executive Director of PRONACOM</t>
  </si>
  <si>
    <t>Guatemala</t>
  </si>
  <si>
    <t>PRONACOM</t>
  </si>
  <si>
    <t>TR14GTM15001</t>
  </si>
  <si>
    <t>Grant Quarter #4</t>
  </si>
  <si>
    <t>Grant Quarter #5</t>
  </si>
  <si>
    <t>Grant Quarter #6</t>
  </si>
  <si>
    <t>Grant Quarter #7</t>
  </si>
  <si>
    <t>Grant Quarter #8</t>
  </si>
  <si>
    <t>Grant Quarter #10</t>
  </si>
  <si>
    <t>Grant Quarter #11</t>
  </si>
  <si>
    <t>Grant Quarter #12</t>
  </si>
  <si>
    <t>Grant Quarter #13</t>
  </si>
  <si>
    <t>Grant Quarter #14</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</si>
  <si>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</si>
  <si>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</si>
  <si>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</si>
  <si>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</si>
  <si>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</si>
  <si>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</si>
  <si>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</si>
  <si>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</si>
  <si>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</si>
  <si>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</si>
  <si>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</si>
  <si>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</si>
  <si>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</si>
  <si>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</si>
  <si>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Adjustment Reported/
Approved
(insert date)</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</si>
  <si>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</si>
  <si>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</si>
  <si>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</si>
  <si>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</si>
  <si>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</si>
  <si>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</si>
  <si>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</si>
  <si>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</si>
  <si>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</si>
  <si>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</si>
  <si>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</si>
  <si>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</si>
  <si>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</si>
  <si>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</si>
  <si>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</si>
  <si>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</si>
  <si>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</si>
  <si>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</si>
  <si>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</si>
  <si>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</si>
  <si>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</si>
  <si>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</si>
  <si>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</si>
  <si>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</si>
  <si>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</si>
  <si>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</si>
  <si>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</si>
  <si>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</si>
  <si>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</si>
  <si>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</si>
  <si>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</si>
  <si>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</si>
  <si>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</si>
  <si>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</si>
  <si>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</si>
  <si>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</si>
  <si>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</si>
  <si>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</si>
  <si>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</si>
  <si>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</si>
  <si>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</si>
  <si>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</si>
  <si>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</si>
  <si>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</si>
  <si>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</si>
  <si>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</si>
  <si>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</si>
  <si>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</si>
  <si>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</si>
  <si>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</si>
  <si>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</si>
  <si>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</si>
  <si>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</si>
  <si>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</si>
  <si>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</si>
  <si>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</si>
  <si>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</si>
  <si>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</si>
  <si>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</si>
  <si>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</si>
  <si>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</si>
  <si>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</si>
  <si>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</si>
  <si>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</si>
  <si>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</si>
  <si>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</si>
  <si>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</si>
  <si>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</si>
  <si>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</si>
  <si>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</si>
  <si>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</si>
  <si>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</si>
  <si>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</si>
  <si>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</si>
  <si>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</si>
  <si>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</si>
  <si>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</si>
  <si>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</si>
  <si>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</si>
  <si>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</si>
  <si>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</si>
  <si>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</si>
  <si>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</si>
  <si>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</si>
  <si>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</si>
  <si>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</si>
  <si>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</si>
  <si>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</si>
  <si>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</si>
  <si>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</si>
  <si>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</si>
  <si>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</si>
  <si>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</si>
  <si>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</si>
  <si>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</si>
  <si>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</si>
  <si>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</si>
  <si>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</si>
  <si>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</si>
  <si>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</si>
  <si>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</si>
  <si>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</si>
  <si>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</si>
  <si>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</si>
  <si>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</si>
  <si>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</si>
  <si>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</si>
  <si>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</si>
  <si>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</si>
  <si>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</si>
  <si>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</si>
  <si>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</si>
  <si>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</si>
  <si>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</si>
  <si>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</si>
  <si>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</si>
  <si>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</si>
  <si>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</si>
  <si>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</si>
  <si>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</si>
  <si>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</si>
  <si>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</si>
  <si>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</si>
  <si>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</si>
  <si>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</si>
  <si>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</si>
  <si>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</si>
  <si>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</si>
  <si>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</si>
  <si>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</si>
  <si>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Grant Quarter #15</t>
  </si>
  <si>
    <t>Grant Quarter #16</t>
  </si>
  <si>
    <t>Oct '19
Dec '19</t>
  </si>
  <si>
    <t>Jan '20
Mar '20</t>
  </si>
  <si>
    <t>FxT Coordinator</t>
  </si>
  <si>
    <t>Column 18</t>
  </si>
  <si>
    <t>Actual Cumulative Disbursements at Beginning of Current Period</t>
  </si>
  <si>
    <t>Projected Disbursements during Current Period</t>
  </si>
  <si>
    <t>Out of Cycle Report:  Yes [ ] | No [ x ]</t>
  </si>
  <si>
    <t>M&amp;E</t>
  </si>
  <si>
    <t>Total Comprometido a la fecha</t>
  </si>
  <si>
    <t>TVET place holder</t>
  </si>
  <si>
    <t>place holder</t>
  </si>
  <si>
    <t>q15</t>
  </si>
  <si>
    <t>Certified by the Minister of Economy</t>
  </si>
  <si>
    <t>MCC (Acting Fiscal Agent)</t>
  </si>
  <si>
    <t>April 8, 2015/May 15, 2016</t>
  </si>
  <si>
    <t>Adjustment Reported/
Approved
(Q1 - 9/10/2016)</t>
  </si>
  <si>
    <t>data subscriptions</t>
  </si>
  <si>
    <t>IT consultants</t>
  </si>
  <si>
    <t>Managaement coach for customs and audit</t>
  </si>
  <si>
    <t>PPP coach option 1</t>
  </si>
  <si>
    <t>PPP coach option 2</t>
  </si>
  <si>
    <t>q8</t>
  </si>
  <si>
    <t>Name: Fernando Suriano</t>
  </si>
  <si>
    <t xml:space="preserve">Date:  </t>
  </si>
  <si>
    <t>Name:  Rubén Morales Monroy</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</si>
  <si>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</si>
  <si>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</si>
  <si>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</si>
  <si>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</si>
  <si>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</si>
  <si>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</si>
  <si>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</si>
  <si>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</si>
  <si>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cash before Com</t>
  </si>
  <si>
    <t xml:space="preserve"> com-cash</t>
  </si>
  <si>
    <t>total</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</si>
  <si>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</si>
  <si>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</si>
  <si>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</si>
  <si>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</si>
  <si>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</si>
  <si>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</si>
  <si>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</si>
  <si>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Date:  8 de marzo 2017</t>
  </si>
  <si>
    <t>Apr´17</t>
  </si>
  <si>
    <t>May`17</t>
  </si>
  <si>
    <t>Jun´17</t>
  </si>
  <si>
    <t>Dec 31, 2016</t>
  </si>
  <si>
    <t>Dec´ 2016</t>
  </si>
  <si>
    <t>Jul '17
Sep '17</t>
  </si>
  <si>
    <t>Jul '18
Sep '18</t>
  </si>
  <si>
    <t>Jul '19
Sep '19</t>
  </si>
  <si>
    <t>Grant Quarter #9</t>
  </si>
  <si>
    <t>Apr '20
Jun '20</t>
  </si>
  <si>
    <t>* This activity has  MCC Managed (commitments and disbursements are reported on the quarterly MCC-Managed Report)</t>
  </si>
  <si>
    <t>* This activity (0443) is partially MCC-Managed</t>
  </si>
  <si>
    <t>One hundred eighty-four thousand five hundred sixty-nine dollars and zero 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</si>
</sst>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0.00_);\(&quot;$&quot;#,##0.00\)"/>
    <numFmt numFmtId="165" formatCode="_(&quot;$&quot;* #,##0.00_);_(&quot;$&quot;* \(#,##0.00\);_(&quot;$&quot;* &quot;-&quot;??_);_(@_)"/>
    <numFmt numFmtId="166" formatCode="_(* #,##0.00_);_(* \(#,##0.00\);_(* &quot;-&quot;??_);_(@_)"/>
    <numFmt numFmtId="167" formatCode="_(* #,##0_);_(* \(#,##0\);_(* &quot;-&quot;??_);_(@_)"/>
    <numFmt numFmtId="168" formatCode="0_);[Red]\(0\)"/>
    <numFmt numFmtId="169" formatCode="[$-409]mmmm\ d\,\ yyyy;@"/>
    <numFmt numFmtId="170" formatCode="[$-409]mmm\-yy;@"/>
    <numFmt numFmtId="171" formatCode="m/d/yy;@"/>
    <numFmt numFmtId="172" formatCode="_(&quot;$&quot;* #,##0_);_(&quot;$&quot;* \(#,##0\);_(&quot;$&quot;* &quot;-&quot;??_);_(@_)"/>
    <numFmt numFmtId="173" formatCode="0.0%"/>
    <numFmt numFmtId="174" formatCode="[$-409]dd\-mmm\-yy;@"/>
  </numFmts>
  <fonts count="30">
    <font>
      <sz val="11"/>
      <color theme="1"/>
      <name val="Calibri"/>
      <family val="2"/>
      <scheme val="minor"/>
    </font>
    <font>
      <sz val="10"/>
      <name val="Arial"/>
      <family val="2"/>
    </font>
    <font>
      <b/>
      <sz val="10"/>
      <name val="Arial Narrow"/>
      <family val="2"/>
    </font>
    <font>
      <b/>
      <sz val="10"/>
      <name val="Arial"/>
      <family val="2"/>
    </font>
    <font>
      <b/>
      <u val="single"/>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
      <sz val="10"/>
      <name val="Calibri"/>
      <family val="2"/>
      <scheme val="minor"/>
    </font>
  </fonts>
  <fills count="24">
    <fill>
      <patternFill/>
    </fill>
    <fill>
      <patternFill patternType="gray125"/>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theme="9" tint="0.5999900102615356"/>
        <bgColor indexed="64"/>
      </patternFill>
    </fill>
    <fill>
      <patternFill patternType="solid">
        <fgColor indexed="8"/>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9" tint="-0.4999699890613556"/>
        <bgColor indexed="64"/>
      </patternFill>
    </fill>
    <fill>
      <patternFill patternType="solid">
        <fgColor theme="7"/>
        <bgColor indexed="64"/>
      </patternFill>
    </fill>
    <fill>
      <patternFill patternType="solid">
        <fgColor theme="8" tint="-0.4999699890613556"/>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s>
  <borders count="47">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style="medium"/>
      <top/>
      <bottom style="medium"/>
    </border>
    <border>
      <left style="thin"/>
      <right style="thin"/>
      <top style="medium"/>
      <bottom style="medium"/>
    </border>
    <border>
      <left style="medium"/>
      <right style="thin"/>
      <top/>
      <bottom style="thin"/>
    </border>
    <border>
      <left/>
      <right/>
      <top/>
      <bottom style="thin"/>
    </border>
    <border>
      <left style="thin">
        <color indexed="55"/>
      </left>
      <right/>
      <top/>
      <bottom/>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thin"/>
      <top style="thin"/>
      <bottom style="medium"/>
    </border>
    <border>
      <left style="medium"/>
      <right style="thin"/>
      <top/>
      <bottom style="medium"/>
    </border>
    <border>
      <left/>
      <right/>
      <top style="thin"/>
      <bottom style="thin"/>
    </border>
    <border>
      <left style="thin"/>
      <right/>
      <top style="thin"/>
      <bottom style="thin"/>
    </border>
    <border>
      <left/>
      <right style="thin"/>
      <top style="thin"/>
      <bottom style="double"/>
    </border>
    <border>
      <left style="thin"/>
      <right style="thin"/>
      <top style="thin"/>
      <bottom/>
    </border>
    <border>
      <left style="thin"/>
      <right/>
      <top style="medium"/>
      <bottom style="medium"/>
    </border>
    <border>
      <left/>
      <right style="thin"/>
      <top style="medium"/>
      <bottom style="mediu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0" fillId="0" borderId="0" applyFont="0" applyFill="0" applyBorder="0" applyAlignment="0" applyProtection="0"/>
  </cellStyleXfs>
  <cellXfs count="377">
    <xf numFmtId="0" fontId="0" fillId="0" borderId="0" xfId="0"/>
    <xf numFmtId="167" fontId="1" fillId="0" borderId="0" xfId="21" applyNumberFormat="1"/>
    <xf numFmtId="167" fontId="2" fillId="0" borderId="1" xfId="22" applyNumberFormat="1" applyFont="1" applyBorder="1"/>
    <xf numFmtId="167" fontId="1" fillId="0" borderId="2" xfId="21" applyNumberFormat="1" applyFill="1" applyBorder="1"/>
    <xf numFmtId="167" fontId="1" fillId="0" borderId="3" xfId="21" applyNumberFormat="1" applyBorder="1"/>
    <xf numFmtId="167" fontId="1" fillId="0" borderId="0" xfId="21" applyNumberFormat="1" applyBorder="1"/>
    <xf numFmtId="168" fontId="1" fillId="0" borderId="0" xfId="21" applyNumberFormat="1"/>
    <xf numFmtId="0" fontId="1" fillId="0" borderId="0" xfId="23">
      <alignment/>
      <protection/>
    </xf>
    <xf numFmtId="167" fontId="3" fillId="0" borderId="1" xfId="21" applyNumberFormat="1" applyFont="1" applyBorder="1"/>
    <xf numFmtId="167" fontId="1" fillId="0" borderId="0" xfId="21" applyNumberFormat="1" applyFont="1"/>
    <xf numFmtId="0" fontId="1" fillId="0" borderId="0" xfId="23" applyBorder="1">
      <alignment/>
      <protection/>
    </xf>
    <xf numFmtId="167" fontId="1" fillId="0" borderId="4" xfId="21" applyNumberFormat="1" applyFill="1" applyBorder="1" applyAlignment="1">
      <alignment horizontal="right"/>
    </xf>
    <xf numFmtId="167" fontId="1" fillId="0" borderId="5" xfId="21" applyNumberFormat="1" applyFill="1" applyBorder="1"/>
    <xf numFmtId="0" fontId="0" fillId="0" borderId="6" xfId="0" applyBorder="1" applyAlignment="1">
      <alignment horizontal="left" indent="1"/>
    </xf>
    <xf numFmtId="167" fontId="1" fillId="0" borderId="7" xfId="21" applyNumberFormat="1" applyFill="1" applyBorder="1" applyAlignment="1">
      <alignment horizontal="right"/>
    </xf>
    <xf numFmtId="167" fontId="1" fillId="0" borderId="0" xfId="21" applyNumberFormat="1" applyFill="1" applyBorder="1"/>
    <xf numFmtId="0" fontId="0" fillId="0" borderId="8" xfId="0" applyBorder="1" applyAlignment="1">
      <alignment horizontal="left" indent="1"/>
    </xf>
    <xf numFmtId="167" fontId="1" fillId="0" borderId="7" xfId="21" applyNumberFormat="1" applyFont="1" applyFill="1" applyBorder="1" applyAlignment="1">
      <alignment horizontal="right"/>
    </xf>
    <xf numFmtId="169" fontId="0" fillId="0" borderId="8" xfId="0" applyNumberFormat="1" applyBorder="1" applyAlignment="1">
      <alignment horizontal="left" indent="1"/>
    </xf>
    <xf numFmtId="167" fontId="1" fillId="0" borderId="9" xfId="21" applyNumberFormat="1" applyFont="1" applyBorder="1" applyAlignment="1">
      <alignment horizontal="right"/>
    </xf>
    <xf numFmtId="167" fontId="1" fillId="0" borderId="10" xfId="21" applyNumberFormat="1" applyFill="1" applyBorder="1" applyAlignment="1">
      <alignment/>
    </xf>
    <xf numFmtId="167" fontId="1" fillId="0" borderId="0" xfId="21" applyNumberFormat="1" applyAlignment="1">
      <alignment/>
    </xf>
    <xf numFmtId="167" fontId="1" fillId="0" borderId="0" xfId="21" applyNumberFormat="1" applyFill="1" applyBorder="1" applyAlignment="1">
      <alignment horizontal="center"/>
    </xf>
    <xf numFmtId="167" fontId="1" fillId="0" borderId="0" xfId="21" applyNumberFormat="1" applyBorder="1" applyAlignment="1">
      <alignment horizontal="center"/>
    </xf>
    <xf numFmtId="167" fontId="4" fillId="0" borderId="0" xfId="21" applyNumberFormat="1" applyFont="1" applyBorder="1" applyAlignment="1">
      <alignment horizontal="left"/>
    </xf>
    <xf numFmtId="168" fontId="3" fillId="0" borderId="0" xfId="21" applyNumberFormat="1" applyFont="1" applyFill="1"/>
    <xf numFmtId="167" fontId="3" fillId="0" borderId="0" xfId="21" applyNumberFormat="1" applyFont="1" applyFill="1"/>
    <xf numFmtId="167" fontId="1" fillId="0" borderId="0" xfId="21" applyNumberFormat="1" applyFont="1" applyFill="1" applyBorder="1" applyAlignment="1">
      <alignment horizontal="left"/>
    </xf>
    <xf numFmtId="167" fontId="4" fillId="0" borderId="0" xfId="21" applyNumberFormat="1" applyFont="1" applyFill="1" applyBorder="1" applyAlignment="1">
      <alignment horizontal="left"/>
    </xf>
    <xf numFmtId="0" fontId="1" fillId="0" borderId="0" xfId="23" applyFont="1" applyFill="1" applyBorder="1" applyAlignment="1">
      <alignment horizontal="left"/>
      <protection/>
    </xf>
    <xf numFmtId="49" fontId="6" fillId="2" borderId="11" xfId="22" applyNumberFormat="1" applyFont="1" applyFill="1" applyBorder="1" applyAlignment="1">
      <alignment horizontal="center" vertical="center"/>
    </xf>
    <xf numFmtId="49" fontId="6" fillId="3" borderId="12" xfId="22" applyNumberFormat="1" applyFont="1" applyFill="1" applyBorder="1" applyAlignment="1">
      <alignment horizontal="center" vertical="center"/>
    </xf>
    <xf numFmtId="168" fontId="3" fillId="4" borderId="12" xfId="21" applyNumberFormat="1" applyFont="1" applyFill="1" applyBorder="1" applyAlignment="1">
      <alignment horizontal="center" vertical="center"/>
    </xf>
    <xf numFmtId="168" fontId="3" fillId="0" borderId="0" xfId="21" applyNumberFormat="1" applyFont="1" applyFill="1" applyBorder="1" applyAlignment="1">
      <alignment horizontal="center" vertical="center"/>
    </xf>
    <xf numFmtId="49" fontId="2" fillId="2" borderId="11" xfId="22" applyNumberFormat="1" applyFont="1" applyFill="1" applyBorder="1" applyAlignment="1">
      <alignment horizontal="center" vertical="center" wrapText="1"/>
    </xf>
    <xf numFmtId="49" fontId="2" fillId="3" borderId="12" xfId="22"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168" fontId="3" fillId="0" borderId="0" xfId="21" applyNumberFormat="1" applyFont="1" applyFill="1" applyBorder="1" applyAlignment="1">
      <alignment horizontal="center" vertical="center" wrapText="1"/>
    </xf>
    <xf numFmtId="167" fontId="1" fillId="0" borderId="11" xfId="21" applyNumberFormat="1" applyBorder="1"/>
    <xf numFmtId="167" fontId="1" fillId="0" borderId="12" xfId="21" applyNumberFormat="1" applyBorder="1"/>
    <xf numFmtId="167" fontId="8" fillId="5" borderId="12" xfId="22" applyNumberFormat="1" applyFont="1" applyFill="1" applyBorder="1" applyAlignment="1">
      <alignment horizontal="center" vertical="center"/>
    </xf>
    <xf numFmtId="49" fontId="2" fillId="2" borderId="13" xfId="22" applyNumberFormat="1" applyFont="1" applyFill="1" applyBorder="1" applyAlignment="1">
      <alignment horizontal="center" vertical="center" wrapText="1"/>
    </xf>
    <xf numFmtId="49" fontId="2" fillId="3" borderId="14" xfId="22" applyNumberFormat="1" applyFont="1" applyFill="1" applyBorder="1" applyAlignment="1">
      <alignment horizontal="center" vertical="center" wrapText="1"/>
    </xf>
    <xf numFmtId="167" fontId="3" fillId="6" borderId="12" xfId="21" applyNumberFormat="1" applyFont="1" applyFill="1" applyBorder="1"/>
    <xf numFmtId="167" fontId="3" fillId="7" borderId="12" xfId="21" applyNumberFormat="1" applyFont="1" applyFill="1" applyBorder="1" applyAlignment="1">
      <alignment horizontal="center"/>
    </xf>
    <xf numFmtId="167" fontId="3" fillId="7" borderId="11" xfId="21" applyNumberFormat="1" applyFont="1" applyFill="1" applyBorder="1" applyAlignment="1">
      <alignment horizontal="center"/>
    </xf>
    <xf numFmtId="167" fontId="9" fillId="8" borderId="12" xfId="21" applyNumberFormat="1" applyFont="1" applyFill="1" applyBorder="1" applyAlignment="1">
      <alignment wrapText="1"/>
    </xf>
    <xf numFmtId="167" fontId="3" fillId="8" borderId="11" xfId="21" applyNumberFormat="1" applyFont="1" applyFill="1" applyBorder="1" applyAlignment="1">
      <alignment horizontal="center"/>
    </xf>
    <xf numFmtId="167" fontId="3" fillId="8" borderId="12" xfId="21" applyNumberFormat="1" applyFont="1" applyFill="1" applyBorder="1" applyAlignment="1">
      <alignment horizontal="center"/>
    </xf>
    <xf numFmtId="168" fontId="3" fillId="8" borderId="12" xfId="21" applyNumberFormat="1" applyFont="1" applyFill="1" applyBorder="1" applyAlignment="1">
      <alignment horizontal="center"/>
    </xf>
    <xf numFmtId="1" fontId="1" fillId="0" borderId="0" xfId="21" applyNumberFormat="1" applyBorder="1"/>
    <xf numFmtId="167" fontId="2" fillId="6" borderId="12" xfId="21" applyNumberFormat="1" applyFont="1" applyFill="1" applyBorder="1" applyAlignment="1">
      <alignment horizontal="left" vertical="center" wrapText="1"/>
    </xf>
    <xf numFmtId="167" fontId="3" fillId="6" borderId="11" xfId="21" applyNumberFormat="1" applyFont="1" applyFill="1" applyBorder="1"/>
    <xf numFmtId="167" fontId="2" fillId="9" borderId="12" xfId="21" applyNumberFormat="1" applyFont="1" applyFill="1" applyBorder="1" applyAlignment="1">
      <alignment horizontal="left" wrapText="1"/>
    </xf>
    <xf numFmtId="167" fontId="3" fillId="9" borderId="11" xfId="21" applyNumberFormat="1" applyFont="1" applyFill="1" applyBorder="1"/>
    <xf numFmtId="167" fontId="2" fillId="0" borderId="12" xfId="21" applyNumberFormat="1" applyFont="1" applyBorder="1" applyAlignment="1">
      <alignment wrapText="1"/>
    </xf>
    <xf numFmtId="167" fontId="3" fillId="0" borderId="11" xfId="21" applyNumberFormat="1" applyFont="1" applyBorder="1"/>
    <xf numFmtId="167" fontId="3" fillId="0" borderId="12" xfId="21" applyNumberFormat="1" applyFont="1" applyBorder="1"/>
    <xf numFmtId="167" fontId="3" fillId="8" borderId="11" xfId="21" applyNumberFormat="1" applyFont="1" applyFill="1" applyBorder="1"/>
    <xf numFmtId="167" fontId="3" fillId="8" borderId="12" xfId="21" applyNumberFormat="1" applyFont="1" applyFill="1" applyBorder="1"/>
    <xf numFmtId="167" fontId="2" fillId="9" borderId="12" xfId="21" applyNumberFormat="1" applyFont="1" applyFill="1" applyBorder="1" applyAlignment="1">
      <alignment wrapText="1"/>
    </xf>
    <xf numFmtId="1" fontId="1" fillId="0" borderId="0" xfId="23" applyNumberFormat="1" applyBorder="1">
      <alignment/>
      <protection/>
    </xf>
    <xf numFmtId="0" fontId="3" fillId="8" borderId="11" xfId="23" applyFont="1" applyFill="1" applyBorder="1">
      <alignment/>
      <protection/>
    </xf>
    <xf numFmtId="0" fontId="3" fillId="8" borderId="12" xfId="23" applyFont="1" applyFill="1" applyBorder="1">
      <alignment/>
      <protection/>
    </xf>
    <xf numFmtId="0" fontId="1" fillId="0" borderId="11" xfId="23" applyBorder="1">
      <alignment/>
      <protection/>
    </xf>
    <xf numFmtId="0" fontId="1" fillId="0" borderId="12" xfId="23" applyBorder="1">
      <alignment/>
      <protection/>
    </xf>
    <xf numFmtId="0" fontId="2" fillId="6" borderId="12" xfId="21" applyNumberFormat="1" applyFont="1" applyFill="1" applyBorder="1" applyAlignment="1">
      <alignment horizontal="left" wrapText="1"/>
    </xf>
    <xf numFmtId="167" fontId="2" fillId="6" borderId="12" xfId="21" applyNumberFormat="1" applyFont="1" applyFill="1" applyBorder="1" applyAlignment="1">
      <alignment horizontal="left" wrapText="1"/>
    </xf>
    <xf numFmtId="0" fontId="2" fillId="9" borderId="12" xfId="21" applyNumberFormat="1" applyFont="1" applyFill="1" applyBorder="1" applyAlignment="1">
      <alignment horizontal="left" wrapText="1"/>
    </xf>
    <xf numFmtId="167" fontId="1" fillId="0" borderId="0" xfId="21" applyNumberFormat="1" applyFill="1"/>
    <xf numFmtId="0" fontId="1" fillId="0" borderId="0" xfId="23" applyFont="1">
      <alignment/>
      <protection/>
    </xf>
    <xf numFmtId="167" fontId="13" fillId="0" borderId="0" xfId="21" applyNumberFormat="1" applyFont="1"/>
    <xf numFmtId="168" fontId="13" fillId="0" borderId="0" xfId="21" applyNumberFormat="1" applyFont="1"/>
    <xf numFmtId="167" fontId="13" fillId="0" borderId="0" xfId="21" applyNumberFormat="1" applyFont="1" applyFill="1"/>
    <xf numFmtId="0" fontId="3" fillId="0" borderId="4" xfId="0" applyFont="1" applyBorder="1"/>
    <xf numFmtId="0" fontId="0" fillId="0" borderId="5" xfId="0" applyBorder="1"/>
    <xf numFmtId="0" fontId="0" fillId="0" borderId="6" xfId="0" applyBorder="1"/>
    <xf numFmtId="0" fontId="1"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169" fontId="0" fillId="0" borderId="0" xfId="0" applyNumberFormat="1" applyBorder="1" applyAlignment="1">
      <alignment horizontal="left" indent="1"/>
    </xf>
    <xf numFmtId="0" fontId="1" fillId="0" borderId="9" xfId="0" applyFont="1" applyBorder="1" applyAlignment="1">
      <alignment horizontal="center"/>
    </xf>
    <xf numFmtId="0" fontId="0" fillId="0" borderId="10"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167" fontId="1" fillId="0" borderId="0" xfId="20" applyNumberFormat="1" applyFont="1" applyBorder="1"/>
    <xf numFmtId="171" fontId="1" fillId="0" borderId="7" xfId="0" applyNumberFormat="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7" xfId="0" applyFont="1" applyBorder="1" applyAlignment="1">
      <alignment horizontal="left"/>
    </xf>
    <xf numFmtId="0" fontId="14" fillId="0" borderId="0" xfId="0" applyFont="1" applyBorder="1" applyAlignment="1">
      <alignment/>
    </xf>
    <xf numFmtId="0" fontId="14" fillId="0" borderId="0" xfId="0" applyFont="1" applyBorder="1"/>
    <xf numFmtId="0" fontId="14" fillId="0" borderId="8" xfId="0" applyFont="1" applyBorder="1"/>
    <xf numFmtId="167" fontId="3" fillId="0" borderId="0" xfId="20" applyNumberFormat="1" applyFont="1" applyBorder="1"/>
    <xf numFmtId="0" fontId="3" fillId="0" borderId="0" xfId="0" applyFont="1"/>
    <xf numFmtId="0" fontId="14" fillId="0" borderId="9" xfId="0" applyFont="1" applyBorder="1" applyAlignment="1">
      <alignment/>
    </xf>
    <xf numFmtId="0" fontId="0" fillId="0" borderId="10" xfId="0" applyBorder="1"/>
    <xf numFmtId="0" fontId="0" fillId="0" borderId="15" xfId="0" applyBorder="1"/>
    <xf numFmtId="0" fontId="15" fillId="0" borderId="1" xfId="0" applyFont="1" applyFill="1" applyBorder="1"/>
    <xf numFmtId="0" fontId="15" fillId="5" borderId="16" xfId="0" applyFont="1" applyFill="1" applyBorder="1" applyAlignment="1">
      <alignment horizont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17" xfId="0" applyFont="1" applyFill="1" applyBorder="1"/>
    <xf numFmtId="0" fontId="15" fillId="0" borderId="14" xfId="0" applyFont="1" applyFill="1" applyBorder="1" applyAlignment="1">
      <alignment horizontal="left"/>
    </xf>
    <xf numFmtId="0" fontId="16" fillId="0" borderId="18" xfId="0" applyFont="1" applyFill="1" applyBorder="1" applyAlignment="1">
      <alignment horizontal="center" wrapText="1"/>
    </xf>
    <xf numFmtId="0" fontId="15" fillId="0" borderId="0"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21" xfId="0" applyFont="1" applyFill="1" applyBorder="1"/>
    <xf numFmtId="0" fontId="15" fillId="0" borderId="12" xfId="0" applyFont="1" applyFill="1" applyBorder="1" applyAlignment="1">
      <alignment horizontal="center"/>
    </xf>
    <xf numFmtId="0" fontId="15" fillId="0" borderId="22"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18" fillId="0" borderId="4" xfId="24" applyFont="1" applyBorder="1">
      <alignment/>
      <protection/>
    </xf>
    <xf numFmtId="0" fontId="1" fillId="0" borderId="6" xfId="24" applyBorder="1" applyAlignment="1">
      <alignment horizontal="center"/>
      <protection/>
    </xf>
    <xf numFmtId="0" fontId="1" fillId="0" borderId="0" xfId="24">
      <alignment/>
      <protection/>
    </xf>
    <xf numFmtId="0" fontId="19" fillId="0" borderId="7" xfId="24" applyFont="1" applyBorder="1">
      <alignment/>
      <protection/>
    </xf>
    <xf numFmtId="0" fontId="1" fillId="0" borderId="8" xfId="24" applyBorder="1" applyAlignment="1">
      <alignment horizontal="center"/>
      <protection/>
    </xf>
    <xf numFmtId="0" fontId="3" fillId="0" borderId="14" xfId="24" applyFont="1" applyBorder="1">
      <alignment/>
      <protection/>
    </xf>
    <xf numFmtId="0" fontId="1" fillId="0" borderId="14" xfId="24" applyFont="1" applyBorder="1" applyAlignment="1">
      <alignment horizontal="left"/>
      <protection/>
    </xf>
    <xf numFmtId="0" fontId="3" fillId="0" borderId="12" xfId="24" applyFont="1" applyBorder="1">
      <alignment/>
      <protection/>
    </xf>
    <xf numFmtId="0" fontId="1" fillId="0" borderId="12" xfId="23" applyFont="1" applyFill="1" applyBorder="1" applyAlignment="1">
      <alignment horizontal="left" wrapText="1"/>
      <protection/>
    </xf>
    <xf numFmtId="0" fontId="1" fillId="0" borderId="0" xfId="23" applyFont="1" applyFill="1" applyBorder="1" applyAlignment="1">
      <alignment wrapText="1"/>
      <protection/>
    </xf>
    <xf numFmtId="0" fontId="3" fillId="0" borderId="12" xfId="23" applyFont="1" applyFill="1" applyBorder="1" applyAlignment="1">
      <alignment/>
      <protection/>
    </xf>
    <xf numFmtId="0" fontId="1" fillId="0" borderId="12" xfId="24" applyFont="1" applyBorder="1" applyAlignment="1">
      <alignment horizontal="left"/>
      <protection/>
    </xf>
    <xf numFmtId="0" fontId="3" fillId="0" borderId="12" xfId="23" applyFont="1" applyFill="1" applyBorder="1" applyAlignment="1">
      <alignment wrapText="1"/>
      <protection/>
    </xf>
    <xf numFmtId="0" fontId="1" fillId="0" borderId="12" xfId="24" applyFont="1" applyBorder="1" applyAlignment="1">
      <alignment horizontal="left" wrapText="1"/>
      <protection/>
    </xf>
    <xf numFmtId="169" fontId="1" fillId="0" borderId="12" xfId="24" applyNumberFormat="1" applyFont="1" applyBorder="1" applyAlignment="1">
      <alignment horizontal="left"/>
      <protection/>
    </xf>
    <xf numFmtId="0" fontId="3" fillId="0" borderId="12" xfId="24" applyFont="1" applyFill="1" applyBorder="1">
      <alignment/>
      <protection/>
    </xf>
    <xf numFmtId="0" fontId="3" fillId="0" borderId="12" xfId="24" applyFont="1" applyBorder="1" applyAlignment="1">
      <alignment wrapText="1"/>
      <protection/>
    </xf>
    <xf numFmtId="172" fontId="1" fillId="0" borderId="12" xfId="25" applyNumberFormat="1" applyFont="1" applyFill="1" applyBorder="1" applyAlignment="1">
      <alignment horizontal="center"/>
    </xf>
    <xf numFmtId="172" fontId="1" fillId="10" borderId="12" xfId="25" applyNumberFormat="1" applyFont="1" applyFill="1" applyBorder="1" applyAlignment="1">
      <alignment horizontal="center"/>
    </xf>
    <xf numFmtId="0" fontId="1" fillId="0" borderId="23" xfId="24" applyFont="1" applyBorder="1">
      <alignment/>
      <protection/>
    </xf>
    <xf numFmtId="0" fontId="1" fillId="0" borderId="24" xfId="24" applyFont="1" applyBorder="1" applyAlignment="1">
      <alignment horizontal="center"/>
      <protection/>
    </xf>
    <xf numFmtId="0" fontId="3" fillId="0" borderId="25" xfId="24" applyFont="1" applyBorder="1">
      <alignment/>
      <protection/>
    </xf>
    <xf numFmtId="0" fontId="1" fillId="0" borderId="26" xfId="24" applyFont="1" applyBorder="1" applyAlignment="1">
      <alignment horizontal="center"/>
      <protection/>
    </xf>
    <xf numFmtId="0" fontId="3" fillId="0" borderId="27" xfId="24" applyFont="1" applyBorder="1">
      <alignment/>
      <protection/>
    </xf>
    <xf numFmtId="0" fontId="1" fillId="0" borderId="13" xfId="24" applyFont="1" applyBorder="1" applyAlignment="1">
      <alignment horizontal="center"/>
      <protection/>
    </xf>
    <xf numFmtId="0" fontId="3" fillId="0" borderId="28" xfId="24" applyFont="1" applyBorder="1">
      <alignment/>
      <protection/>
    </xf>
    <xf numFmtId="0" fontId="1" fillId="0" borderId="27" xfId="24" applyFont="1" applyBorder="1">
      <alignment/>
      <protection/>
    </xf>
    <xf numFmtId="0" fontId="1" fillId="0" borderId="0" xfId="24" applyFont="1">
      <alignment/>
      <protection/>
    </xf>
    <xf numFmtId="0" fontId="1" fillId="0" borderId="0" xfId="24" applyFont="1" applyAlignment="1">
      <alignment horizontal="center"/>
      <protection/>
    </xf>
    <xf numFmtId="0" fontId="1" fillId="0" borderId="0" xfId="24" applyFill="1" applyBorder="1">
      <alignment/>
      <protection/>
    </xf>
    <xf numFmtId="0" fontId="1" fillId="0" borderId="0" xfId="24" applyFill="1" applyBorder="1" applyAlignment="1">
      <alignment horizontal="center"/>
      <protection/>
    </xf>
    <xf numFmtId="0" fontId="1" fillId="0" borderId="0" xfId="24" applyAlignment="1">
      <alignment horizontal="center"/>
      <protection/>
    </xf>
    <xf numFmtId="0" fontId="0" fillId="0" borderId="18" xfId="0" applyBorder="1" applyAlignment="1">
      <alignment horizontal="left" indent="1"/>
    </xf>
    <xf numFmtId="169" fontId="0" fillId="0" borderId="18" xfId="0" applyNumberFormat="1" applyBorder="1" applyAlignment="1">
      <alignment horizontal="left" indent="1"/>
    </xf>
    <xf numFmtId="0" fontId="1" fillId="0" borderId="7" xfId="0" applyFont="1" applyBorder="1" applyAlignment="1">
      <alignment/>
    </xf>
    <xf numFmtId="0" fontId="3" fillId="6" borderId="7" xfId="0" applyFont="1" applyFill="1" applyBorder="1"/>
    <xf numFmtId="0" fontId="14" fillId="0" borderId="4" xfId="0" applyFont="1" applyFill="1" applyBorder="1"/>
    <xf numFmtId="0" fontId="1" fillId="0" borderId="29" xfId="0" applyFont="1" applyFill="1" applyBorder="1"/>
    <xf numFmtId="0" fontId="3" fillId="6" borderId="17" xfId="0" applyFont="1" applyFill="1" applyBorder="1" applyAlignment="1">
      <alignment wrapText="1"/>
    </xf>
    <xf numFmtId="0" fontId="3" fillId="6" borderId="21" xfId="0" applyFont="1" applyFill="1" applyBorder="1" applyAlignment="1">
      <alignment horizontal="left" wrapText="1"/>
    </xf>
    <xf numFmtId="0" fontId="3" fillId="0" borderId="30" xfId="0" applyFont="1" applyFill="1" applyBorder="1" applyAlignment="1">
      <alignment horizontal="center"/>
    </xf>
    <xf numFmtId="4" fontId="3" fillId="6" borderId="12" xfId="0" applyNumberFormat="1" applyFont="1" applyFill="1" applyBorder="1"/>
    <xf numFmtId="166" fontId="3" fillId="6" borderId="12" xfId="0" applyNumberFormat="1" applyFont="1" applyFill="1" applyBorder="1"/>
    <xf numFmtId="4" fontId="3" fillId="6" borderId="22" xfId="0" applyNumberFormat="1" applyFont="1" applyFill="1" applyBorder="1"/>
    <xf numFmtId="4" fontId="1" fillId="11" borderId="12" xfId="0" applyNumberFormat="1" applyFont="1" applyFill="1" applyBorder="1"/>
    <xf numFmtId="4" fontId="1" fillId="11" borderId="22" xfId="0" applyNumberFormat="1" applyFont="1" applyFill="1" applyBorder="1"/>
    <xf numFmtId="4" fontId="3" fillId="11" borderId="22" xfId="0" applyNumberFormat="1" applyFont="1" applyFill="1" applyBorder="1"/>
    <xf numFmtId="0" fontId="3" fillId="12" borderId="31" xfId="0" applyFont="1" applyFill="1" applyBorder="1" applyAlignment="1">
      <alignment horizontal="center"/>
    </xf>
    <xf numFmtId="4" fontId="1" fillId="11" borderId="32" xfId="0" applyNumberFormat="1" applyFont="1" applyFill="1" applyBorder="1"/>
    <xf numFmtId="4" fontId="1" fillId="11" borderId="33" xfId="0" applyNumberFormat="1" applyFont="1" applyFill="1" applyBorder="1"/>
    <xf numFmtId="4" fontId="3" fillId="4" borderId="34" xfId="0" applyNumberFormat="1" applyFont="1" applyFill="1" applyBorder="1"/>
    <xf numFmtId="166" fontId="1" fillId="11" borderId="12" xfId="0" applyNumberFormat="1" applyFont="1" applyFill="1" applyBorder="1"/>
    <xf numFmtId="0" fontId="1" fillId="11" borderId="21" xfId="0" applyFont="1" applyFill="1" applyBorder="1" applyAlignment="1">
      <alignment horizontal="left" vertical="top" wrapText="1"/>
    </xf>
    <xf numFmtId="0" fontId="3" fillId="11" borderId="21" xfId="0" applyFont="1" applyFill="1" applyBorder="1" applyAlignment="1">
      <alignment vertical="top" wrapText="1"/>
    </xf>
    <xf numFmtId="0" fontId="3" fillId="6" borderId="21" xfId="0" applyFont="1" applyFill="1" applyBorder="1" applyAlignment="1">
      <alignment vertical="top" wrapText="1"/>
    </xf>
    <xf numFmtId="0" fontId="3" fillId="6" borderId="21" xfId="0" applyFont="1" applyFill="1" applyBorder="1" applyAlignment="1">
      <alignment horizontal="left" vertical="top" wrapText="1"/>
    </xf>
    <xf numFmtId="0" fontId="3" fillId="11" borderId="35" xfId="0" applyFont="1" applyFill="1" applyBorder="1" applyAlignment="1">
      <alignment vertical="top" wrapText="1"/>
    </xf>
    <xf numFmtId="0" fontId="3" fillId="4" borderId="36" xfId="0" applyFont="1" applyFill="1" applyBorder="1" applyAlignment="1">
      <alignment wrapText="1"/>
    </xf>
    <xf numFmtId="0" fontId="1" fillId="11" borderId="21" xfId="0" applyFont="1" applyFill="1" applyBorder="1" applyAlignment="1">
      <alignment horizontal="left" wrapText="1"/>
    </xf>
    <xf numFmtId="0" fontId="0" fillId="0" borderId="37" xfId="0" applyBorder="1" applyAlignment="1">
      <alignment horizontal="left" indent="1"/>
    </xf>
    <xf numFmtId="169" fontId="0" fillId="0" borderId="37" xfId="0" applyNumberFormat="1" applyBorder="1" applyAlignment="1">
      <alignment horizontal="left" indent="1"/>
    </xf>
    <xf numFmtId="166" fontId="3" fillId="6" borderId="14" xfId="0" applyNumberFormat="1" applyFont="1" applyFill="1" applyBorder="1"/>
    <xf numFmtId="166" fontId="1" fillId="9" borderId="12" xfId="0" applyNumberFormat="1" applyFont="1" applyFill="1" applyBorder="1"/>
    <xf numFmtId="166" fontId="1" fillId="11" borderId="10" xfId="0" applyNumberFormat="1" applyFont="1" applyFill="1" applyBorder="1"/>
    <xf numFmtId="166" fontId="3" fillId="5" borderId="32" xfId="0" applyNumberFormat="1" applyFont="1" applyFill="1" applyBorder="1" applyAlignment="1">
      <alignment/>
    </xf>
    <xf numFmtId="166" fontId="3" fillId="6" borderId="20" xfId="0" applyNumberFormat="1" applyFont="1" applyFill="1" applyBorder="1"/>
    <xf numFmtId="166" fontId="1" fillId="11" borderId="22" xfId="0" applyNumberFormat="1" applyFont="1" applyFill="1" applyBorder="1"/>
    <xf numFmtId="166" fontId="3" fillId="6" borderId="22" xfId="0" applyNumberFormat="1" applyFont="1" applyFill="1" applyBorder="1"/>
    <xf numFmtId="166" fontId="3" fillId="11" borderId="22" xfId="0" applyNumberFormat="1" applyFont="1" applyFill="1" applyBorder="1"/>
    <xf numFmtId="166" fontId="1" fillId="11" borderId="15" xfId="0" applyNumberFormat="1" applyFont="1" applyFill="1" applyBorder="1"/>
    <xf numFmtId="166" fontId="3" fillId="5" borderId="33" xfId="0" applyNumberFormat="1" applyFont="1" applyFill="1" applyBorder="1" applyAlignment="1">
      <alignment/>
    </xf>
    <xf numFmtId="167" fontId="2" fillId="13" borderId="12" xfId="20" applyNumberFormat="1" applyFont="1" applyFill="1" applyBorder="1" applyAlignment="1">
      <alignment horizontal="center"/>
    </xf>
    <xf numFmtId="49" fontId="1" fillId="0" borderId="15" xfId="21" applyNumberFormat="1" applyFont="1" applyBorder="1" applyAlignment="1">
      <alignment horizontal="center"/>
    </xf>
    <xf numFmtId="0" fontId="1" fillId="0" borderId="15" xfId="21" applyNumberFormat="1" applyFont="1" applyBorder="1" applyAlignment="1">
      <alignment horizontal="center"/>
    </xf>
    <xf numFmtId="167" fontId="1" fillId="0" borderId="0" xfId="21" applyNumberFormat="1" applyAlignment="1">
      <alignment vertical="top"/>
    </xf>
    <xf numFmtId="167" fontId="1" fillId="0" borderId="0" xfId="21" applyNumberFormat="1" applyFont="1" applyAlignment="1">
      <alignment vertical="top"/>
    </xf>
    <xf numFmtId="0" fontId="1" fillId="0" borderId="0" xfId="23" applyAlignment="1">
      <alignment vertical="top"/>
      <protection/>
    </xf>
    <xf numFmtId="168" fontId="3" fillId="4" borderId="12" xfId="21" applyNumberFormat="1" applyFont="1" applyFill="1" applyBorder="1" applyAlignment="1">
      <alignment horizontal="center" vertical="top"/>
    </xf>
    <xf numFmtId="167" fontId="2" fillId="13" borderId="12" xfId="20" applyNumberFormat="1" applyFont="1" applyFill="1" applyBorder="1" applyAlignment="1">
      <alignment horizontal="center" vertical="top"/>
    </xf>
    <xf numFmtId="167" fontId="3" fillId="8" borderId="12" xfId="21" applyNumberFormat="1" applyFont="1" applyFill="1" applyBorder="1" applyAlignment="1">
      <alignment horizontal="center" vertical="top"/>
    </xf>
    <xf numFmtId="166" fontId="3" fillId="6" borderId="11" xfId="21" applyNumberFormat="1" applyFont="1" applyFill="1" applyBorder="1"/>
    <xf numFmtId="166" fontId="3" fillId="9" borderId="11" xfId="21" applyNumberFormat="1" applyFont="1" applyFill="1" applyBorder="1"/>
    <xf numFmtId="166" fontId="3" fillId="6" borderId="12" xfId="21" applyNumberFormat="1" applyFont="1" applyFill="1" applyBorder="1" applyAlignment="1">
      <alignment vertical="top"/>
    </xf>
    <xf numFmtId="166" fontId="3" fillId="9" borderId="12" xfId="21" applyNumberFormat="1" applyFont="1" applyFill="1" applyBorder="1" applyAlignment="1">
      <alignment vertical="top"/>
    </xf>
    <xf numFmtId="167" fontId="21" fillId="14" borderId="12" xfId="21" applyNumberFormat="1" applyFont="1" applyFill="1" applyBorder="1" applyAlignment="1">
      <alignment horizontal="left" vertical="center" wrapText="1"/>
    </xf>
    <xf numFmtId="166" fontId="1" fillId="14" borderId="11" xfId="21" applyNumberFormat="1" applyFont="1" applyFill="1" applyBorder="1"/>
    <xf numFmtId="166" fontId="1" fillId="14" borderId="12" xfId="21" applyNumberFormat="1" applyFont="1" applyFill="1" applyBorder="1"/>
    <xf numFmtId="166" fontId="1" fillId="14" borderId="12" xfId="21" applyNumberFormat="1" applyFont="1" applyFill="1" applyBorder="1" applyAlignment="1">
      <alignment vertical="top"/>
    </xf>
    <xf numFmtId="1" fontId="1" fillId="0" borderId="0" xfId="21" applyNumberFormat="1" applyFont="1" applyBorder="1"/>
    <xf numFmtId="167" fontId="1" fillId="0" borderId="0" xfId="21" applyNumberFormat="1" applyFont="1" applyBorder="1"/>
    <xf numFmtId="167" fontId="1" fillId="0" borderId="11" xfId="21" applyNumberFormat="1" applyFont="1" applyBorder="1"/>
    <xf numFmtId="167" fontId="1" fillId="0" borderId="12" xfId="21" applyNumberFormat="1" applyFont="1" applyBorder="1"/>
    <xf numFmtId="167" fontId="1" fillId="14" borderId="11" xfId="21" applyNumberFormat="1" applyFont="1" applyFill="1" applyBorder="1"/>
    <xf numFmtId="167" fontId="1" fillId="14" borderId="12" xfId="21" applyNumberFormat="1" applyFont="1" applyFill="1" applyBorder="1"/>
    <xf numFmtId="1" fontId="1" fillId="0" borderId="0" xfId="23" applyNumberFormat="1" applyFont="1" applyBorder="1">
      <alignment/>
      <protection/>
    </xf>
    <xf numFmtId="0" fontId="21" fillId="14" borderId="12" xfId="21" applyNumberFormat="1" applyFont="1" applyFill="1" applyBorder="1" applyAlignment="1">
      <alignment horizontal="left" wrapText="1"/>
    </xf>
    <xf numFmtId="0" fontId="1" fillId="0" borderId="0" xfId="23" applyFont="1" applyBorder="1">
      <alignment/>
      <protection/>
    </xf>
    <xf numFmtId="0" fontId="1" fillId="0" borderId="11" xfId="23" applyFont="1" applyBorder="1">
      <alignment/>
      <protection/>
    </xf>
    <xf numFmtId="0" fontId="1" fillId="0" borderId="12" xfId="23" applyFont="1" applyBorder="1">
      <alignment/>
      <protection/>
    </xf>
    <xf numFmtId="167" fontId="21" fillId="14" borderId="12" xfId="21" applyNumberFormat="1" applyFont="1" applyFill="1" applyBorder="1" applyAlignment="1">
      <alignment horizontal="left" wrapText="1"/>
    </xf>
    <xf numFmtId="166" fontId="3" fillId="0" borderId="12" xfId="21" applyNumberFormat="1" applyFont="1" applyBorder="1"/>
    <xf numFmtId="166" fontId="3" fillId="8" borderId="12" xfId="21" applyNumberFormat="1" applyFont="1" applyFill="1" applyBorder="1"/>
    <xf numFmtId="166" fontId="3" fillId="0" borderId="12" xfId="21" applyNumberFormat="1" applyFont="1" applyFill="1" applyBorder="1"/>
    <xf numFmtId="166" fontId="3" fillId="6" borderId="12" xfId="21" applyNumberFormat="1" applyFont="1" applyFill="1" applyBorder="1"/>
    <xf numFmtId="0" fontId="0" fillId="0" borderId="38" xfId="0" applyBorder="1"/>
    <xf numFmtId="0" fontId="0" fillId="0" borderId="37" xfId="0" applyBorder="1"/>
    <xf numFmtId="0" fontId="0" fillId="0" borderId="11" xfId="0" applyBorder="1"/>
    <xf numFmtId="0" fontId="10" fillId="0" borderId="0" xfId="23" applyFont="1" applyBorder="1" applyAlignment="1">
      <alignment horizontal="center" vertical="center"/>
      <protection/>
    </xf>
    <xf numFmtId="167" fontId="12" fillId="13" borderId="39" xfId="21" applyNumberFormat="1" applyFont="1" applyFill="1" applyBorder="1" applyAlignment="1">
      <alignment horizontal="center" vertical="center"/>
    </xf>
    <xf numFmtId="166" fontId="12" fillId="13" borderId="39" xfId="21" applyNumberFormat="1" applyFont="1" applyFill="1" applyBorder="1" applyAlignment="1">
      <alignment horizontal="center" vertical="center"/>
    </xf>
    <xf numFmtId="0" fontId="10" fillId="0" borderId="11" xfId="23" applyFont="1" applyBorder="1" applyAlignment="1">
      <alignment horizontal="center" vertical="center"/>
      <protection/>
    </xf>
    <xf numFmtId="0" fontId="10" fillId="0" borderId="12" xfId="23" applyFont="1" applyBorder="1" applyAlignment="1">
      <alignment horizontal="center" vertical="center"/>
      <protection/>
    </xf>
    <xf numFmtId="0" fontId="11" fillId="13" borderId="12" xfId="21" applyNumberFormat="1" applyFont="1" applyFill="1" applyBorder="1" applyAlignment="1">
      <alignment horizontal="left" vertical="center" wrapText="1"/>
    </xf>
    <xf numFmtId="0" fontId="1" fillId="0" borderId="0" xfId="24" applyFill="1">
      <alignment/>
      <protection/>
    </xf>
    <xf numFmtId="167" fontId="3" fillId="4" borderId="37" xfId="21" applyNumberFormat="1" applyFont="1" applyFill="1" applyBorder="1" applyAlignment="1">
      <alignment horizontal="center" vertical="center"/>
    </xf>
    <xf numFmtId="0" fontId="3" fillId="5" borderId="12" xfId="23" applyFont="1" applyFill="1" applyBorder="1" applyAlignment="1">
      <alignment horizontal="center" vertical="center" wrapText="1"/>
      <protection/>
    </xf>
    <xf numFmtId="170" fontId="0" fillId="0" borderId="0" xfId="0" applyNumberFormat="1"/>
    <xf numFmtId="9" fontId="0" fillId="0" borderId="0" xfId="0" applyNumberFormat="1"/>
    <xf numFmtId="173" fontId="0" fillId="0" borderId="0" xfId="0" applyNumberFormat="1"/>
    <xf numFmtId="172" fontId="0" fillId="0" borderId="0" xfId="31" applyNumberFormat="1" applyFont="1"/>
    <xf numFmtId="172" fontId="0" fillId="0" borderId="0" xfId="0" applyNumberFormat="1"/>
    <xf numFmtId="0" fontId="0" fillId="15" borderId="0" xfId="0" applyFill="1"/>
    <xf numFmtId="0" fontId="0" fillId="16" borderId="0" xfId="0" applyFill="1"/>
    <xf numFmtId="10" fontId="0" fillId="0" borderId="0" xfId="0" applyNumberFormat="1"/>
    <xf numFmtId="0" fontId="22" fillId="4" borderId="0" xfId="0" applyFont="1" applyFill="1"/>
    <xf numFmtId="0" fontId="0" fillId="4" borderId="0" xfId="0" applyFill="1"/>
    <xf numFmtId="170" fontId="22" fillId="4" borderId="0" xfId="0" applyNumberFormat="1" applyFont="1" applyFill="1"/>
    <xf numFmtId="172" fontId="0" fillId="4" borderId="0" xfId="0" applyNumberFormat="1" applyFill="1"/>
    <xf numFmtId="166" fontId="1" fillId="0" borderId="0" xfId="23" applyNumberFormat="1" applyAlignment="1">
      <alignment horizontal="center" vertical="center"/>
      <protection/>
    </xf>
    <xf numFmtId="4" fontId="0" fillId="0" borderId="0" xfId="0" applyNumberFormat="1"/>
    <xf numFmtId="172" fontId="24" fillId="17" borderId="0" xfId="31" applyNumberFormat="1" applyFont="1" applyFill="1"/>
    <xf numFmtId="172" fontId="0" fillId="0" borderId="0" xfId="0" applyNumberFormat="1" applyFill="1"/>
    <xf numFmtId="0" fontId="0" fillId="18" borderId="0" xfId="0" applyFill="1"/>
    <xf numFmtId="166" fontId="3" fillId="0" borderId="0" xfId="0" applyNumberFormat="1" applyFont="1"/>
    <xf numFmtId="0" fontId="0" fillId="0" borderId="0" xfId="0" applyFill="1"/>
    <xf numFmtId="0" fontId="24" fillId="0" borderId="0" xfId="0" applyFont="1" applyFill="1"/>
    <xf numFmtId="166" fontId="24" fillId="0" borderId="0" xfId="20" applyFont="1" applyFill="1"/>
    <xf numFmtId="166" fontId="24" fillId="0" borderId="0" xfId="0" applyNumberFormat="1" applyFont="1" applyFill="1"/>
    <xf numFmtId="172" fontId="22" fillId="4" borderId="0" xfId="0" applyNumberFormat="1" applyFont="1" applyFill="1"/>
    <xf numFmtId="166" fontId="0" fillId="0" borderId="0" xfId="0" applyNumberFormat="1"/>
    <xf numFmtId="43" fontId="0" fillId="0" borderId="0" xfId="0" applyNumberFormat="1"/>
    <xf numFmtId="172" fontId="22" fillId="0" borderId="0" xfId="0" applyNumberFormat="1" applyFont="1" applyFill="1"/>
    <xf numFmtId="0" fontId="22" fillId="0" borderId="0" xfId="0" applyFont="1" applyFill="1"/>
    <xf numFmtId="0" fontId="24" fillId="19" borderId="0" xfId="0" applyFont="1" applyFill="1"/>
    <xf numFmtId="4" fontId="2" fillId="13" borderId="12" xfId="20" applyNumberFormat="1" applyFont="1" applyFill="1" applyBorder="1" applyAlignment="1">
      <alignment horizontal="center"/>
    </xf>
    <xf numFmtId="166" fontId="1" fillId="0" borderId="0" xfId="21" applyNumberFormat="1" applyBorder="1"/>
    <xf numFmtId="166" fontId="1" fillId="0" borderId="0" xfId="21" applyNumberFormat="1" applyFont="1" applyBorder="1" applyAlignment="1">
      <alignment horizontal="center"/>
    </xf>
    <xf numFmtId="166" fontId="1" fillId="0" borderId="0" xfId="21" applyNumberFormat="1" applyBorder="1" applyAlignment="1">
      <alignment horizontal="center"/>
    </xf>
    <xf numFmtId="166" fontId="4" fillId="0" borderId="0" xfId="21" applyNumberFormat="1" applyFont="1" applyBorder="1" applyAlignment="1">
      <alignment horizontal="left"/>
    </xf>
    <xf numFmtId="166" fontId="4" fillId="0" borderId="0" xfId="21" applyNumberFormat="1" applyFont="1" applyFill="1" applyBorder="1" applyAlignment="1">
      <alignment horizontal="left"/>
    </xf>
    <xf numFmtId="166" fontId="2" fillId="13" borderId="12" xfId="20" applyNumberFormat="1" applyFont="1" applyFill="1" applyBorder="1" applyAlignment="1">
      <alignment horizontal="center"/>
    </xf>
    <xf numFmtId="166" fontId="3" fillId="7" borderId="12" xfId="21" applyNumberFormat="1" applyFont="1" applyFill="1" applyBorder="1" applyAlignment="1">
      <alignment horizontal="center"/>
    </xf>
    <xf numFmtId="166" fontId="3" fillId="8" borderId="12" xfId="21" applyNumberFormat="1" applyFont="1" applyFill="1" applyBorder="1" applyAlignment="1">
      <alignment horizontal="center"/>
    </xf>
    <xf numFmtId="166" fontId="3" fillId="8" borderId="12" xfId="23" applyNumberFormat="1" applyFont="1" applyFill="1" applyBorder="1">
      <alignment/>
      <protection/>
    </xf>
    <xf numFmtId="166" fontId="1" fillId="0" borderId="0" xfId="21" applyNumberFormat="1"/>
    <xf numFmtId="14" fontId="2" fillId="6" borderId="12" xfId="0" applyNumberFormat="1" applyFont="1" applyFill="1" applyBorder="1" applyAlignment="1">
      <alignment horizontal="center" vertical="center" wrapText="1"/>
    </xf>
    <xf numFmtId="166" fontId="3" fillId="0" borderId="12" xfId="21" applyNumberFormat="1" applyFont="1" applyFill="1" applyBorder="1" applyAlignment="1">
      <alignment vertical="top"/>
    </xf>
    <xf numFmtId="166" fontId="3" fillId="8" borderId="12" xfId="21" applyNumberFormat="1" applyFont="1" applyFill="1" applyBorder="1" applyAlignment="1">
      <alignment vertical="top"/>
    </xf>
    <xf numFmtId="166" fontId="1" fillId="14" borderId="11" xfId="21" applyNumberFormat="1" applyFont="1" applyFill="1" applyBorder="1" applyAlignment="1">
      <alignment vertical="top"/>
    </xf>
    <xf numFmtId="166" fontId="3" fillId="9" borderId="11" xfId="21" applyNumberFormat="1" applyFont="1" applyFill="1" applyBorder="1" applyAlignment="1">
      <alignment vertical="top"/>
    </xf>
    <xf numFmtId="166" fontId="3" fillId="0" borderId="11" xfId="21" applyNumberFormat="1" applyFont="1" applyBorder="1"/>
    <xf numFmtId="166" fontId="3" fillId="8" borderId="11" xfId="21" applyNumberFormat="1" applyFont="1" applyFill="1" applyBorder="1"/>
    <xf numFmtId="166" fontId="3" fillId="8" borderId="11" xfId="23" applyNumberFormat="1" applyFont="1" applyFill="1" applyBorder="1">
      <alignment/>
      <protection/>
    </xf>
    <xf numFmtId="166" fontId="1" fillId="0" borderId="0" xfId="21" applyNumberFormat="1" applyFill="1"/>
    <xf numFmtId="166" fontId="1" fillId="0" borderId="0" xfId="21" applyNumberFormat="1" applyAlignment="1">
      <alignment vertical="top"/>
    </xf>
    <xf numFmtId="40" fontId="3" fillId="6" borderId="12" xfId="0" applyNumberFormat="1" applyFont="1" applyFill="1" applyBorder="1"/>
    <xf numFmtId="40" fontId="1" fillId="11" borderId="12" xfId="0" applyNumberFormat="1" applyFont="1" applyFill="1" applyBorder="1"/>
    <xf numFmtId="40" fontId="1" fillId="0" borderId="12" xfId="0" applyNumberFormat="1" applyFont="1" applyFill="1" applyBorder="1"/>
    <xf numFmtId="40" fontId="1" fillId="11" borderId="32" xfId="0" applyNumberFormat="1" applyFont="1" applyFill="1" applyBorder="1"/>
    <xf numFmtId="40" fontId="1" fillId="0" borderId="32" xfId="0" applyNumberFormat="1" applyFont="1" applyFill="1" applyBorder="1"/>
    <xf numFmtId="40" fontId="3" fillId="4" borderId="34" xfId="0" applyNumberFormat="1" applyFont="1" applyFill="1" applyBorder="1"/>
    <xf numFmtId="40" fontId="3" fillId="6" borderId="12" xfId="21" applyNumberFormat="1" applyFont="1" applyFill="1" applyBorder="1"/>
    <xf numFmtId="40" fontId="1" fillId="14" borderId="12" xfId="21" applyNumberFormat="1" applyFont="1" applyFill="1" applyBorder="1"/>
    <xf numFmtId="40" fontId="3" fillId="9" borderId="12" xfId="21" applyNumberFormat="1" applyFont="1" applyFill="1" applyBorder="1"/>
    <xf numFmtId="40" fontId="3" fillId="0" borderId="12" xfId="21" applyNumberFormat="1" applyFont="1" applyBorder="1"/>
    <xf numFmtId="40" fontId="3" fillId="8" borderId="12" xfId="21" applyNumberFormat="1" applyFont="1" applyFill="1" applyBorder="1"/>
    <xf numFmtId="40" fontId="1" fillId="14" borderId="11" xfId="21" applyNumberFormat="1" applyFont="1" applyFill="1" applyBorder="1"/>
    <xf numFmtId="40" fontId="3" fillId="9" borderId="11" xfId="21" applyNumberFormat="1" applyFont="1" applyFill="1" applyBorder="1"/>
    <xf numFmtId="40" fontId="3" fillId="0" borderId="12" xfId="21" applyNumberFormat="1" applyFont="1" applyFill="1" applyBorder="1"/>
    <xf numFmtId="40" fontId="12" fillId="13" borderId="39" xfId="21" applyNumberFormat="1" applyFont="1" applyFill="1" applyBorder="1" applyAlignment="1">
      <alignment horizontal="center" vertical="center"/>
    </xf>
    <xf numFmtId="40" fontId="1" fillId="0" borderId="0" xfId="23" applyNumberFormat="1" applyFont="1">
      <alignment/>
      <protection/>
    </xf>
    <xf numFmtId="40" fontId="1" fillId="0" borderId="0" xfId="23" applyNumberFormat="1">
      <alignment/>
      <protection/>
    </xf>
    <xf numFmtId="40" fontId="3" fillId="7" borderId="12" xfId="21" applyNumberFormat="1" applyFont="1" applyFill="1" applyBorder="1" applyAlignment="1">
      <alignment horizontal="center"/>
    </xf>
    <xf numFmtId="40" fontId="3" fillId="8" borderId="12" xfId="21" applyNumberFormat="1" applyFont="1" applyFill="1" applyBorder="1" applyAlignment="1">
      <alignment horizontal="center"/>
    </xf>
    <xf numFmtId="0" fontId="0" fillId="0" borderId="0" xfId="0"/>
    <xf numFmtId="166" fontId="1" fillId="14" borderId="11" xfId="21" applyNumberFormat="1" applyFont="1" applyFill="1" applyBorder="1"/>
    <xf numFmtId="166" fontId="1" fillId="14" borderId="12" xfId="21" applyNumberFormat="1" applyFont="1" applyFill="1" applyBorder="1"/>
    <xf numFmtId="9" fontId="0" fillId="0" borderId="0" xfId="0" applyNumberFormat="1"/>
    <xf numFmtId="172" fontId="0" fillId="0" borderId="0" xfId="0" applyNumberFormat="1"/>
    <xf numFmtId="172" fontId="0" fillId="4" borderId="0" xfId="0" applyNumberFormat="1" applyFill="1"/>
    <xf numFmtId="172" fontId="24" fillId="17" borderId="0" xfId="31" applyNumberFormat="1" applyFont="1" applyFill="1"/>
    <xf numFmtId="172" fontId="20" fillId="0" borderId="0" xfId="31" applyNumberFormat="1" applyFont="1"/>
    <xf numFmtId="174" fontId="0" fillId="0" borderId="8" xfId="0" applyNumberFormat="1" applyBorder="1" applyAlignment="1">
      <alignment horizontal="left" indent="1"/>
    </xf>
    <xf numFmtId="0" fontId="28" fillId="20" borderId="0" xfId="0" applyFont="1" applyFill="1" applyAlignment="1">
      <alignment horizontal="left"/>
    </xf>
    <xf numFmtId="172" fontId="22" fillId="20" borderId="0" xfId="31" applyNumberFormat="1" applyFont="1" applyFill="1" applyAlignment="1">
      <alignment horizontal="left"/>
    </xf>
    <xf numFmtId="172" fontId="22" fillId="20" borderId="0" xfId="31" applyNumberFormat="1" applyFont="1" applyFill="1"/>
    <xf numFmtId="0" fontId="27" fillId="21" borderId="0" xfId="0" applyFont="1" applyFill="1"/>
    <xf numFmtId="172" fontId="27" fillId="21" borderId="0" xfId="0" applyNumberFormat="1" applyFont="1" applyFill="1"/>
    <xf numFmtId="0" fontId="1" fillId="0" borderId="0" xfId="21" applyNumberFormat="1" applyFont="1" applyBorder="1" applyAlignment="1">
      <alignment horizontal="center"/>
    </xf>
    <xf numFmtId="49" fontId="2" fillId="3" borderId="38" xfId="22" applyNumberFormat="1" applyFont="1" applyFill="1" applyBorder="1" applyAlignment="1">
      <alignment horizontal="center" vertical="center" wrapText="1"/>
    </xf>
    <xf numFmtId="9" fontId="0" fillId="0" borderId="0" xfId="38" applyFont="1"/>
    <xf numFmtId="172" fontId="25" fillId="22" borderId="0" xfId="31" applyNumberFormat="1" applyFont="1" applyFill="1"/>
    <xf numFmtId="0" fontId="27" fillId="0" borderId="0" xfId="0" applyFont="1"/>
    <xf numFmtId="170" fontId="27" fillId="0" borderId="0" xfId="0" applyNumberFormat="1" applyFont="1"/>
    <xf numFmtId="173" fontId="27" fillId="0" borderId="0" xfId="0" applyNumberFormat="1" applyFont="1"/>
    <xf numFmtId="9" fontId="27" fillId="0" borderId="0" xfId="0" applyNumberFormat="1" applyFont="1"/>
    <xf numFmtId="9" fontId="27" fillId="0" borderId="0" xfId="38" applyFont="1"/>
    <xf numFmtId="172" fontId="29" fillId="0" borderId="0" xfId="31" applyNumberFormat="1" applyFont="1"/>
    <xf numFmtId="0" fontId="27" fillId="0" borderId="0" xfId="0" applyFont="1" applyFill="1"/>
    <xf numFmtId="0" fontId="27" fillId="4" borderId="0" xfId="0" applyFont="1" applyFill="1"/>
    <xf numFmtId="0" fontId="3" fillId="12" borderId="25" xfId="24" applyFont="1" applyFill="1" applyBorder="1">
      <alignment/>
      <protection/>
    </xf>
    <xf numFmtId="172" fontId="0" fillId="0" borderId="0" xfId="31" applyNumberFormat="1" applyFont="1" applyFill="1"/>
    <xf numFmtId="167" fontId="3" fillId="4" borderId="37" xfId="21" applyNumberFormat="1" applyFont="1" applyFill="1" applyBorder="1" applyAlignment="1">
      <alignment vertical="center"/>
    </xf>
    <xf numFmtId="167" fontId="3" fillId="23" borderId="37" xfId="21" applyNumberFormat="1" applyFont="1" applyFill="1" applyBorder="1" applyAlignment="1">
      <alignment vertical="center"/>
    </xf>
    <xf numFmtId="172" fontId="0" fillId="12" borderId="0" xfId="31" applyNumberFormat="1" applyFont="1" applyFill="1"/>
    <xf numFmtId="172" fontId="25" fillId="12" borderId="0" xfId="31" applyNumberFormat="1" applyFont="1" applyFill="1"/>
    <xf numFmtId="0" fontId="3" fillId="23" borderId="12" xfId="23" applyFont="1" applyFill="1" applyBorder="1" applyAlignment="1">
      <alignment horizontal="center" vertical="center" wrapText="1"/>
      <protection/>
    </xf>
    <xf numFmtId="172" fontId="29" fillId="12" borderId="0" xfId="31" applyNumberFormat="1" applyFont="1" applyFill="1"/>
    <xf numFmtId="172" fontId="20" fillId="12" borderId="0" xfId="31" applyNumberFormat="1" applyFont="1" applyFill="1"/>
    <xf numFmtId="172" fontId="27" fillId="12" borderId="0" xfId="31" applyNumberFormat="1" applyFont="1" applyFill="1"/>
    <xf numFmtId="172" fontId="27" fillId="0" borderId="0" xfId="31" applyNumberFormat="1" applyFont="1"/>
    <xf numFmtId="0" fontId="3" fillId="5" borderId="12" xfId="23" applyFont="1" applyFill="1" applyBorder="1" applyAlignment="1">
      <alignment horizontal="center" vertical="center" wrapText="1"/>
      <protection/>
    </xf>
    <xf numFmtId="0" fontId="16" fillId="11" borderId="12" xfId="24" applyFont="1" applyFill="1" applyBorder="1" applyAlignment="1">
      <alignment horizontal="left" vertical="center" wrapText="1"/>
      <protection/>
    </xf>
    <xf numFmtId="164" fontId="1" fillId="0" borderId="12" xfId="25" applyNumberFormat="1" applyFont="1" applyFill="1" applyBorder="1" applyAlignment="1">
      <alignment/>
    </xf>
    <xf numFmtId="0" fontId="1" fillId="0" borderId="0" xfId="23" applyFont="1" applyAlignment="1">
      <alignment horizontal="left" wrapText="1"/>
      <protection/>
    </xf>
    <xf numFmtId="168" fontId="3" fillId="5" borderId="12" xfId="21" applyNumberFormat="1" applyFont="1" applyFill="1" applyBorder="1" applyAlignment="1">
      <alignment horizontal="center" vertical="top" wrapText="1"/>
    </xf>
    <xf numFmtId="167" fontId="5" fillId="8" borderId="12" xfId="22" applyNumberFormat="1" applyFont="1" applyFill="1" applyBorder="1" applyAlignment="1">
      <alignment horizontal="center" vertical="center" wrapText="1"/>
    </xf>
    <xf numFmtId="4" fontId="2" fillId="6" borderId="38" xfId="0" applyNumberFormat="1" applyFont="1" applyFill="1" applyBorder="1" applyAlignment="1">
      <alignment horizontal="center" vertical="center" wrapText="1"/>
    </xf>
    <xf numFmtId="4" fontId="2" fillId="6" borderId="37" xfId="0" applyNumberFormat="1" applyFont="1" applyFill="1" applyBorder="1" applyAlignment="1">
      <alignment horizontal="center" vertical="center" wrapText="1"/>
    </xf>
    <xf numFmtId="166" fontId="2" fillId="6" borderId="38" xfId="0" applyNumberFormat="1" applyFont="1" applyFill="1" applyBorder="1" applyAlignment="1">
      <alignment horizontal="center" vertical="center" wrapText="1"/>
    </xf>
    <xf numFmtId="166" fontId="2" fillId="6" borderId="37" xfId="0" applyNumberFormat="1" applyFont="1" applyFill="1" applyBorder="1" applyAlignment="1">
      <alignment horizontal="center" vertical="center" wrapText="1"/>
    </xf>
    <xf numFmtId="166" fontId="2" fillId="6" borderId="11" xfId="0" applyNumberFormat="1" applyFont="1" applyFill="1" applyBorder="1" applyAlignment="1">
      <alignment horizontal="center" vertical="center" wrapText="1"/>
    </xf>
    <xf numFmtId="0" fontId="3" fillId="5" borderId="12" xfId="23" applyFont="1" applyFill="1" applyBorder="1" applyAlignment="1">
      <alignment horizontal="center" vertical="top" wrapText="1"/>
      <protection/>
    </xf>
    <xf numFmtId="49" fontId="3" fillId="5" borderId="40" xfId="0" applyNumberFormat="1"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168" fontId="3" fillId="5" borderId="12" xfId="21"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49" fontId="2" fillId="6" borderId="38" xfId="0" applyNumberFormat="1" applyFont="1" applyFill="1" applyBorder="1" applyAlignment="1">
      <alignment horizontal="center" vertical="center" wrapText="1"/>
    </xf>
    <xf numFmtId="49" fontId="2" fillId="6" borderId="37" xfId="0" applyNumberFormat="1"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42" xfId="0" applyFont="1" applyFill="1" applyBorder="1" applyAlignment="1">
      <alignment horizontal="center" vertical="center"/>
    </xf>
    <xf numFmtId="0" fontId="17" fillId="5" borderId="29" xfId="0" applyFont="1" applyFill="1" applyBorder="1" applyAlignment="1">
      <alignment vertical="center" wrapText="1"/>
    </xf>
    <xf numFmtId="0" fontId="0" fillId="5" borderId="43" xfId="0" applyFill="1" applyBorder="1" applyAlignment="1">
      <alignment/>
    </xf>
    <xf numFmtId="0" fontId="0" fillId="5" borderId="44" xfId="0" applyFill="1" applyBorder="1" applyAlignment="1">
      <alignment/>
    </xf>
    <xf numFmtId="0" fontId="3" fillId="5" borderId="45" xfId="0" applyFont="1" applyFill="1" applyBorder="1" applyAlignment="1">
      <alignment horizontal="center" vertical="center" wrapText="1"/>
    </xf>
    <xf numFmtId="0" fontId="20" fillId="0" borderId="46" xfId="0" applyFont="1" applyBorder="1" applyAlignment="1">
      <alignment horizontal="center" vertical="center"/>
    </xf>
    <xf numFmtId="0" fontId="3" fillId="0" borderId="25" xfId="24" applyFont="1" applyBorder="1">
      <alignment/>
      <protection/>
    </xf>
    <xf numFmtId="0" fontId="3" fillId="0" borderId="26" xfId="24" applyFont="1" applyBorder="1">
      <alignment/>
      <protection/>
    </xf>
    <xf numFmtId="0" fontId="3" fillId="0" borderId="23" xfId="24" applyFont="1" applyFill="1" applyBorder="1" applyAlignment="1">
      <alignment/>
      <protection/>
    </xf>
    <xf numFmtId="0" fontId="3" fillId="0" borderId="24" xfId="24" applyFont="1" applyFill="1" applyBorder="1" applyAlignment="1">
      <alignment/>
      <protection/>
    </xf>
    <xf numFmtId="0" fontId="18" fillId="0" borderId="9" xfId="24" applyFont="1" applyFill="1" applyBorder="1" applyAlignment="1">
      <alignment horizontal="center"/>
      <protection/>
    </xf>
    <xf numFmtId="0" fontId="18" fillId="0" borderId="15" xfId="24" applyFont="1" applyFill="1" applyBorder="1" applyAlignment="1">
      <alignment horizontal="center"/>
      <protection/>
    </xf>
    <xf numFmtId="0" fontId="3" fillId="5" borderId="38" xfId="24" applyFont="1" applyFill="1" applyBorder="1" applyAlignment="1">
      <alignment wrapText="1"/>
      <protection/>
    </xf>
    <xf numFmtId="0" fontId="3" fillId="5" borderId="11" xfId="24" applyFont="1" applyFill="1" applyBorder="1" applyAlignment="1">
      <alignment wrapText="1"/>
      <protection/>
    </xf>
    <xf numFmtId="0" fontId="3" fillId="5" borderId="12" xfId="24" applyFont="1" applyFill="1" applyBorder="1" applyAlignment="1">
      <alignment vertical="center" wrapText="1"/>
      <protection/>
    </xf>
    <xf numFmtId="0" fontId="1" fillId="5" borderId="12" xfId="24" applyFill="1" applyBorder="1" applyAlignment="1">
      <alignment vertical="center" wrapText="1"/>
      <protection/>
    </xf>
    <xf numFmtId="0" fontId="24" fillId="19" borderId="0" xfId="0" applyFont="1" applyFill="1" applyAlignment="1">
      <alignment horizontal="left"/>
    </xf>
  </cellXfs>
  <cellStyles count="25">
    <cellStyle name="Normal" xfId="0"/>
    <cellStyle name="Percent" xfId="15"/>
    <cellStyle name="Currency" xfId="16"/>
    <cellStyle name="Currency [0]" xfId="17"/>
    <cellStyle name="Comma" xfId="18"/>
    <cellStyle name="Comma [0]" xfId="19"/>
    <cellStyle name="Millares" xfId="20"/>
    <cellStyle name="Comma_Formatos Nuevos 6ta Desemb. MCA Oct-Dic 10_09_07" xfId="21"/>
    <cellStyle name="Millares 5" xfId="22"/>
    <cellStyle name="Normal 2" xfId="23"/>
    <cellStyle name="Normal 2 2" xfId="24"/>
    <cellStyle name="Moneda 4" xfId="25"/>
    <cellStyle name="Normal 3" xfId="26"/>
    <cellStyle name="Comma 4" xfId="27"/>
    <cellStyle name="Comma 2" xfId="28"/>
    <cellStyle name="Comma 3" xfId="29"/>
    <cellStyle name="Currency 2" xfId="30"/>
    <cellStyle name="Moneda" xfId="31"/>
    <cellStyle name="Normal 4" xfId="32"/>
    <cellStyle name="Comma 5" xfId="33"/>
    <cellStyle name="Normal 3 2" xfId="34"/>
    <cellStyle name="Comma 4 2" xfId="35"/>
    <cellStyle name="Comma 2 2" xfId="36"/>
    <cellStyle name="Currency 2 2" xfId="37"/>
    <cellStyle name="Porcentaje" xfId="38"/>
  </cellStyles>
  <dxfs count="6">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customXml" Target="../customXml/item4.xml" /><Relationship Id="rId1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showGridLines="0" zoomScale="85" zoomScaleNormal="85" zoomScaleSheetLayoutView="70" zoomScalePageLayoutView="85" workbookViewId="0" topLeftCell="B10">
      <pane ySplit="3" topLeftCell="A13" activePane="bottomLeft" state="frozen"/>
      <selection pane="topLeft" activeCell="A10" sqref="A10"/>
      <selection pane="bottomLeft" activeCell="H52" sqref="H52"/>
    </sheetView>
  </sheetViews>
  <sheetFormatPr defaultColWidth="0" defaultRowHeight="15" outlineLevelRow="1" outlineLevelCol="1"/>
  <cols>
    <col min="1" max="1" width="9.140625" style="1" hidden="1" customWidth="1" outlineLevel="1"/>
    <col min="2" max="2" width="50.421875" style="1" customWidth="1" collapsed="1"/>
    <col min="3" max="3" width="17.421875" style="69" customWidth="1" outlineLevel="1"/>
    <col min="4" max="4" width="17.421875" style="1" customWidth="1"/>
    <col min="5" max="7" width="17.421875" style="273" customWidth="1" outlineLevel="1"/>
    <col min="8" max="20" width="17.421875" style="1" customWidth="1"/>
    <col min="21" max="21" width="17.421875" style="6" customWidth="1"/>
    <col min="22" max="22" width="17.421875" style="193" customWidth="1"/>
    <col min="23" max="23" width="17.421875" style="7" customWidth="1"/>
    <col min="24" max="16384" width="0" style="1" hidden="1" customWidth="1"/>
  </cols>
  <sheetData>
    <row r="1" spans="2:7" ht="13.5" outlineLevel="1" thickBot="1">
      <c r="B1" s="2" t="s">
        <v>0</v>
      </c>
      <c r="C1" s="3"/>
      <c r="D1" s="4"/>
      <c r="E1" s="264"/>
      <c r="F1" s="264"/>
      <c r="G1" s="264"/>
    </row>
    <row r="2" spans="2:22" ht="13.5" outlineLevel="1" thickBot="1">
      <c r="B2" s="8"/>
      <c r="C2" s="3"/>
      <c r="D2" s="4"/>
      <c r="E2" s="264"/>
      <c r="F2" s="264"/>
      <c r="G2" s="264"/>
      <c r="V2" s="194"/>
    </row>
    <row r="3" spans="2:7" ht="12.75" customHeight="1" outlineLevel="1">
      <c r="B3" s="11" t="s">
        <v>1</v>
      </c>
      <c r="C3" s="12"/>
      <c r="D3" s="13" t="s">
        <v>74</v>
      </c>
      <c r="E3" s="265"/>
      <c r="F3" s="265"/>
      <c r="G3" s="265"/>
    </row>
    <row r="4" spans="2:7" ht="12.75" customHeight="1" outlineLevel="1">
      <c r="B4" s="14" t="s">
        <v>2</v>
      </c>
      <c r="C4" s="15"/>
      <c r="D4" s="16" t="s">
        <v>75</v>
      </c>
      <c r="E4" s="265"/>
      <c r="F4" s="265"/>
      <c r="G4" s="265"/>
    </row>
    <row r="5" spans="2:7" ht="12.75" customHeight="1" outlineLevel="1">
      <c r="B5" s="17" t="s">
        <v>3</v>
      </c>
      <c r="C5" s="15"/>
      <c r="D5" s="16" t="str">
        <f>'THP DR'!B7</f>
        <v>TR14GTM15001</v>
      </c>
      <c r="E5" s="265"/>
      <c r="F5" s="265"/>
      <c r="G5" s="265"/>
    </row>
    <row r="6" spans="2:22" ht="12.75" customHeight="1" outlineLevel="1">
      <c r="B6" s="14" t="s">
        <v>4</v>
      </c>
      <c r="C6" s="15"/>
      <c r="D6" s="311">
        <f>'THP DR'!B10</f>
        <v>42804</v>
      </c>
      <c r="E6" s="265"/>
      <c r="F6" s="265"/>
      <c r="G6" s="265"/>
      <c r="V6" s="195"/>
    </row>
    <row r="7" spans="2:7" ht="13.5" customHeight="1" outlineLevel="1" thickBot="1">
      <c r="B7" s="19" t="s">
        <v>5</v>
      </c>
      <c r="C7" s="20"/>
      <c r="D7" s="191">
        <f>'THP DR'!B13</f>
        <v>4</v>
      </c>
      <c r="E7" s="265"/>
      <c r="F7" s="265"/>
      <c r="G7" s="265"/>
    </row>
    <row r="8" spans="2:23" s="26" customFormat="1" ht="13.5" customHeight="1" outlineLevel="1">
      <c r="B8" s="27"/>
      <c r="C8" s="28"/>
      <c r="D8" s="29"/>
      <c r="E8" s="268"/>
      <c r="F8" s="268"/>
      <c r="G8" s="268"/>
      <c r="U8" s="25"/>
      <c r="V8" s="193"/>
      <c r="W8" s="7"/>
    </row>
    <row r="9" spans="1:23" ht="15.75" outlineLevel="1">
      <c r="A9" s="5"/>
      <c r="B9" s="345" t="s">
        <v>6</v>
      </c>
      <c r="C9" s="30" t="s">
        <v>7</v>
      </c>
      <c r="D9" s="31" t="s">
        <v>8</v>
      </c>
      <c r="E9" s="346" t="s">
        <v>9</v>
      </c>
      <c r="F9" s="347"/>
      <c r="G9" s="347"/>
      <c r="H9" s="332"/>
      <c r="I9" s="331"/>
      <c r="J9" s="331"/>
      <c r="K9" s="331"/>
      <c r="L9" s="331"/>
      <c r="M9" s="331"/>
      <c r="N9" s="331"/>
      <c r="O9" s="331"/>
      <c r="P9" s="331"/>
      <c r="Q9" s="233"/>
      <c r="R9" s="233"/>
      <c r="S9" s="233"/>
      <c r="T9" s="233"/>
      <c r="U9" s="32" t="s">
        <v>10</v>
      </c>
      <c r="V9" s="196" t="s">
        <v>10</v>
      </c>
      <c r="W9" s="32" t="s">
        <v>11</v>
      </c>
    </row>
    <row r="10" spans="1:24" s="39" customFormat="1" ht="72.75" customHeight="1">
      <c r="A10" s="5"/>
      <c r="B10" s="345"/>
      <c r="C10" s="34" t="s">
        <v>12</v>
      </c>
      <c r="D10" s="35" t="s">
        <v>13</v>
      </c>
      <c r="E10" s="348" t="str">
        <f>"Grant Quarter #"&amp;$D$7</f>
        <v>Grant Quarter #4</v>
      </c>
      <c r="F10" s="349"/>
      <c r="G10" s="350"/>
      <c r="H10" s="335" t="s">
        <v>77</v>
      </c>
      <c r="I10" s="36" t="s">
        <v>78</v>
      </c>
      <c r="J10" s="36" t="s">
        <v>79</v>
      </c>
      <c r="K10" s="36" t="s">
        <v>80</v>
      </c>
      <c r="L10" s="36" t="s">
        <v>81</v>
      </c>
      <c r="M10" s="36" t="s">
        <v>286</v>
      </c>
      <c r="N10" s="340" t="s">
        <v>82</v>
      </c>
      <c r="O10" s="340" t="s">
        <v>83</v>
      </c>
      <c r="P10" s="340" t="s">
        <v>84</v>
      </c>
      <c r="Q10" s="340" t="s">
        <v>85</v>
      </c>
      <c r="R10" s="340" t="s">
        <v>86</v>
      </c>
      <c r="S10" s="340" t="s">
        <v>232</v>
      </c>
      <c r="T10" s="340" t="s">
        <v>233</v>
      </c>
      <c r="U10" s="352" t="s">
        <v>14</v>
      </c>
      <c r="V10" s="351" t="s">
        <v>148</v>
      </c>
      <c r="W10" s="344" t="s">
        <v>15</v>
      </c>
      <c r="X10" s="38"/>
    </row>
    <row r="11" spans="1:24" s="39" customFormat="1" ht="25.5">
      <c r="A11" s="5"/>
      <c r="B11" s="40" t="s">
        <v>16</v>
      </c>
      <c r="C11" s="41" t="s">
        <v>282</v>
      </c>
      <c r="D11" s="42" t="s">
        <v>17</v>
      </c>
      <c r="E11" s="274" t="s">
        <v>278</v>
      </c>
      <c r="F11" s="274" t="s">
        <v>279</v>
      </c>
      <c r="G11" s="274" t="s">
        <v>280</v>
      </c>
      <c r="H11" s="335" t="s">
        <v>18</v>
      </c>
      <c r="I11" s="234" t="s">
        <v>283</v>
      </c>
      <c r="J11" s="234" t="s">
        <v>69</v>
      </c>
      <c r="K11" s="234" t="s">
        <v>67</v>
      </c>
      <c r="L11" s="234" t="s">
        <v>68</v>
      </c>
      <c r="M11" s="234" t="s">
        <v>284</v>
      </c>
      <c r="N11" s="234" t="s">
        <v>70</v>
      </c>
      <c r="O11" s="234" t="s">
        <v>71</v>
      </c>
      <c r="P11" s="234" t="s">
        <v>72</v>
      </c>
      <c r="Q11" s="234" t="s">
        <v>285</v>
      </c>
      <c r="R11" s="234" t="s">
        <v>234</v>
      </c>
      <c r="S11" s="234" t="s">
        <v>235</v>
      </c>
      <c r="T11" s="340" t="s">
        <v>287</v>
      </c>
      <c r="U11" s="353"/>
      <c r="V11" s="351"/>
      <c r="W11" s="344"/>
      <c r="X11" s="38"/>
    </row>
    <row r="12" spans="2:23" ht="15">
      <c r="B12" s="190" t="s">
        <v>107</v>
      </c>
      <c r="C12" s="190" t="s">
        <v>108</v>
      </c>
      <c r="D12" s="190" t="s">
        <v>109</v>
      </c>
      <c r="E12" s="269" t="s">
        <v>110</v>
      </c>
      <c r="F12" s="269" t="s">
        <v>111</v>
      </c>
      <c r="G12" s="263" t="s">
        <v>112</v>
      </c>
      <c r="H12" s="190" t="s">
        <v>113</v>
      </c>
      <c r="I12" s="190" t="s">
        <v>114</v>
      </c>
      <c r="J12" s="190" t="s">
        <v>115</v>
      </c>
      <c r="K12" s="190" t="s">
        <v>116</v>
      </c>
      <c r="L12" s="190" t="s">
        <v>117</v>
      </c>
      <c r="M12" s="190" t="s">
        <v>118</v>
      </c>
      <c r="N12" s="190" t="s">
        <v>119</v>
      </c>
      <c r="O12" s="190" t="s">
        <v>120</v>
      </c>
      <c r="P12" s="190" t="s">
        <v>121</v>
      </c>
      <c r="Q12" s="190" t="s">
        <v>122</v>
      </c>
      <c r="R12" s="190" t="s">
        <v>123</v>
      </c>
      <c r="S12" s="190" t="s">
        <v>124</v>
      </c>
      <c r="T12" s="190" t="s">
        <v>237</v>
      </c>
      <c r="U12" s="190" t="s">
        <v>125</v>
      </c>
      <c r="V12" s="197" t="s">
        <v>126</v>
      </c>
      <c r="W12" s="190" t="s">
        <v>127</v>
      </c>
    </row>
    <row r="13" spans="1:24" s="39" customFormat="1" ht="15">
      <c r="A13" s="5"/>
      <c r="B13" s="44"/>
      <c r="C13" s="45"/>
      <c r="D13" s="44"/>
      <c r="E13" s="270"/>
      <c r="F13" s="270"/>
      <c r="G13" s="270"/>
      <c r="H13" s="44"/>
      <c r="I13" s="44"/>
      <c r="J13" s="44"/>
      <c r="K13" s="44"/>
      <c r="L13" s="44"/>
      <c r="M13" s="44"/>
      <c r="N13" s="44"/>
      <c r="O13" s="44"/>
      <c r="P13" s="44"/>
      <c r="Q13" s="44"/>
      <c r="R13" s="44"/>
      <c r="S13" s="44"/>
      <c r="T13" s="44"/>
      <c r="U13" s="44"/>
      <c r="V13" s="44"/>
      <c r="W13" s="44"/>
      <c r="X13" s="38"/>
    </row>
    <row r="14" spans="1:24" s="39" customFormat="1" ht="15">
      <c r="A14" s="5"/>
      <c r="B14" s="46" t="s">
        <v>88</v>
      </c>
      <c r="C14" s="47"/>
      <c r="D14" s="48"/>
      <c r="E14" s="271"/>
      <c r="F14" s="271"/>
      <c r="G14" s="271"/>
      <c r="H14" s="48"/>
      <c r="I14" s="48"/>
      <c r="J14" s="48"/>
      <c r="K14" s="48"/>
      <c r="L14" s="48"/>
      <c r="M14" s="48"/>
      <c r="N14" s="48"/>
      <c r="O14" s="48"/>
      <c r="P14" s="48"/>
      <c r="Q14" s="48"/>
      <c r="R14" s="48"/>
      <c r="S14" s="48"/>
      <c r="T14" s="48"/>
      <c r="U14" s="49"/>
      <c r="V14" s="198"/>
      <c r="W14" s="49"/>
      <c r="X14" s="38"/>
    </row>
    <row r="15" spans="1:24" s="210" customFormat="1" ht="15" outlineLevel="1">
      <c r="A15" s="207" t="str">
        <f>LEFT(B15,4)</f>
        <v xml:space="preserve">1.1 </v>
      </c>
      <c r="B15" s="51" t="s">
        <v>89</v>
      </c>
      <c r="C15" s="199">
        <f>SUM(C16:C18)</f>
        <v>0</v>
      </c>
      <c r="D15" s="199">
        <f>SUM(D16:D18)</f>
        <v>8500000</v>
      </c>
      <c r="E15" s="199">
        <f aca="true" t="shared" si="0" ref="E15:O15">SUM(E16:E18)</f>
        <v>0</v>
      </c>
      <c r="F15" s="199">
        <f t="shared" si="0"/>
        <v>0</v>
      </c>
      <c r="G15" s="199">
        <f t="shared" si="0"/>
        <v>0</v>
      </c>
      <c r="H15" s="199">
        <f t="shared" si="0"/>
        <v>0</v>
      </c>
      <c r="I15" s="199">
        <f t="shared" si="0"/>
        <v>0</v>
      </c>
      <c r="J15" s="199">
        <f t="shared" si="0"/>
        <v>3000000</v>
      </c>
      <c r="K15" s="199">
        <f t="shared" si="0"/>
        <v>200000</v>
      </c>
      <c r="L15" s="199">
        <f t="shared" si="0"/>
        <v>0</v>
      </c>
      <c r="M15" s="199">
        <f t="shared" si="0"/>
        <v>0</v>
      </c>
      <c r="N15" s="199">
        <f t="shared" si="0"/>
        <v>0</v>
      </c>
      <c r="O15" s="199">
        <f t="shared" si="0"/>
        <v>0</v>
      </c>
      <c r="P15" s="199">
        <f aca="true" t="shared" si="1" ref="P15:S15">SUM(P16:P18)</f>
        <v>0</v>
      </c>
      <c r="Q15" s="199">
        <f t="shared" si="1"/>
        <v>0</v>
      </c>
      <c r="R15" s="199">
        <f t="shared" si="1"/>
        <v>0</v>
      </c>
      <c r="S15" s="199">
        <f t="shared" si="1"/>
        <v>0</v>
      </c>
      <c r="T15" s="199"/>
      <c r="U15" s="199">
        <f>SUM(U16:U18)</f>
        <v>11700000</v>
      </c>
      <c r="V15" s="201">
        <f>'QFR - B'!G15</f>
        <v>12000000</v>
      </c>
      <c r="W15" s="290">
        <f>V15-U15</f>
        <v>300000</v>
      </c>
      <c r="X15" s="209"/>
    </row>
    <row r="16" spans="1:24" s="210" customFormat="1" ht="15" outlineLevel="1">
      <c r="A16" s="207" t="s">
        <v>158</v>
      </c>
      <c r="B16" s="203" t="s">
        <v>128</v>
      </c>
      <c r="C16" s="204"/>
      <c r="D16" s="205">
        <v>8500000</v>
      </c>
      <c r="E16" s="205"/>
      <c r="F16" s="205"/>
      <c r="G16" s="205"/>
      <c r="H16" s="205">
        <f>SUMIF('Contract level'!$A:$A,"="&amp;'DFP-Com'!$A16,'Contract level'!AQ:AQ)</f>
        <v>0</v>
      </c>
      <c r="I16" s="205">
        <f>SUMIF('Contract level'!$A:$A,"="&amp;'DFP-Com'!$A16,'Contract level'!AR:AR)</f>
        <v>0</v>
      </c>
      <c r="J16" s="205">
        <f>SUMIF('Contract level'!$A:$A,"="&amp;'DFP-Com'!$A16,'Contract level'!AS:AS)</f>
        <v>0</v>
      </c>
      <c r="K16" s="205">
        <f>SUMIF('Contract level'!$A:$A,"="&amp;'DFP-Com'!$A16,'Contract level'!AT:AT)</f>
        <v>200000</v>
      </c>
      <c r="L16" s="205">
        <f>SUMIF('Contract level'!$A:$A,"="&amp;'DFP-Com'!$A16,'Contract level'!AU:AU)</f>
        <v>0</v>
      </c>
      <c r="M16" s="205">
        <f>SUMIF('Contract level'!$A:$A,"="&amp;'DFP-Com'!$A16,'Contract level'!AV:AV)</f>
        <v>0</v>
      </c>
      <c r="N16" s="205">
        <f>SUMIF('Contract level'!$A:$A,"="&amp;'DFP-Com'!$A16,'Contract level'!AW:AW)</f>
        <v>0</v>
      </c>
      <c r="O16" s="205">
        <f>SUMIF('Contract level'!$A:$A,"="&amp;'DFP-Com'!$A16,'Contract level'!AX:AX)</f>
        <v>0</v>
      </c>
      <c r="P16" s="205">
        <f>SUMIF('Contract level'!$A:$A,"="&amp;'DFP-Com'!$A16,'Contract level'!AY:AY)</f>
        <v>0</v>
      </c>
      <c r="Q16" s="205">
        <f>SUMIF('Contract level'!$A:$A,"="&amp;'DFP-Com'!$A16,'Contract level'!AZ:AZ)</f>
        <v>0</v>
      </c>
      <c r="R16" s="205">
        <f>SUMIF('Contract level'!$A:$A,"="&amp;'DFP-Com'!$A16,'Contract level'!BA:BA)</f>
        <v>0</v>
      </c>
      <c r="S16" s="205">
        <f>SUMIF('Contract level'!$A:$A,"="&amp;'DFP-Com'!$A16,'Contract level'!BB:BB)</f>
        <v>0</v>
      </c>
      <c r="T16" s="305"/>
      <c r="U16" s="205">
        <f>SUM(H16:T16)+D16+C16</f>
        <v>8700000</v>
      </c>
      <c r="V16" s="206" t="s">
        <v>134</v>
      </c>
      <c r="W16" s="291"/>
      <c r="X16" s="209"/>
    </row>
    <row r="17" spans="1:24" s="210" customFormat="1" ht="15" outlineLevel="1">
      <c r="A17" s="207" t="s">
        <v>159</v>
      </c>
      <c r="B17" s="203" t="s">
        <v>129</v>
      </c>
      <c r="C17" s="204"/>
      <c r="D17" s="205">
        <v>0</v>
      </c>
      <c r="E17" s="205"/>
      <c r="F17" s="205"/>
      <c r="G17" s="205"/>
      <c r="H17" s="205">
        <f>SUMIF('Contract level'!$A:$A,"="&amp;'DFP-Com'!$A17,'Contract level'!AQ:AQ)</f>
        <v>0</v>
      </c>
      <c r="I17" s="205">
        <f>SUMIF('Contract level'!$A:$A,"="&amp;'DFP-Com'!$A17,'Contract level'!AR:AR)</f>
        <v>0</v>
      </c>
      <c r="J17" s="205">
        <f>SUMIF('Contract level'!$A:$A,"="&amp;'DFP-Com'!$A17,'Contract level'!AS:AS)</f>
        <v>3000000</v>
      </c>
      <c r="K17" s="205">
        <f>SUMIF('Contract level'!$A:$A,"="&amp;'DFP-Com'!$A17,'Contract level'!AT:AT)</f>
        <v>0</v>
      </c>
      <c r="L17" s="205">
        <f>SUMIF('Contract level'!$A:$A,"="&amp;'DFP-Com'!$A17,'Contract level'!AU:AU)</f>
        <v>0</v>
      </c>
      <c r="M17" s="205">
        <f>SUMIF('Contract level'!$A:$A,"="&amp;'DFP-Com'!$A17,'Contract level'!AV:AV)</f>
        <v>0</v>
      </c>
      <c r="N17" s="205">
        <f>SUMIF('Contract level'!$A:$A,"="&amp;'DFP-Com'!$A17,'Contract level'!AW:AW)</f>
        <v>0</v>
      </c>
      <c r="O17" s="205">
        <f>SUMIF('Contract level'!$A:$A,"="&amp;'DFP-Com'!$A17,'Contract level'!AX:AX)</f>
        <v>0</v>
      </c>
      <c r="P17" s="205">
        <f>SUMIF('Contract level'!$A:$A,"="&amp;'DFP-Com'!$A17,'Contract level'!AY:AY)</f>
        <v>0</v>
      </c>
      <c r="Q17" s="205">
        <f>SUMIF('Contract level'!$A:$A,"="&amp;'DFP-Com'!$A17,'Contract level'!AZ:AZ)</f>
        <v>0</v>
      </c>
      <c r="R17" s="205">
        <f>SUMIF('Contract level'!$A:$A,"="&amp;'DFP-Com'!$A17,'Contract level'!BA:BA)</f>
        <v>0</v>
      </c>
      <c r="S17" s="205">
        <f>SUMIF('Contract level'!$A:$A,"="&amp;'DFP-Com'!$A17,'Contract level'!BB:BB)</f>
        <v>0</v>
      </c>
      <c r="T17" s="305"/>
      <c r="U17" s="305">
        <f>SUM(H17:T17)+D17+C17</f>
        <v>3000000</v>
      </c>
      <c r="V17" s="206"/>
      <c r="W17" s="291"/>
      <c r="X17" s="209"/>
    </row>
    <row r="18" spans="1:24" s="210" customFormat="1" ht="15" outlineLevel="1">
      <c r="A18" s="207" t="s">
        <v>160</v>
      </c>
      <c r="B18" s="203" t="s">
        <v>136</v>
      </c>
      <c r="C18" s="204"/>
      <c r="D18" s="205">
        <v>0</v>
      </c>
      <c r="E18" s="205"/>
      <c r="F18" s="205"/>
      <c r="G18" s="205"/>
      <c r="H18" s="205">
        <f>SUMIF('Contract level'!$A:$A,"="&amp;'DFP-Com'!$A18,'Contract level'!AQ:AQ)</f>
        <v>0</v>
      </c>
      <c r="I18" s="205">
        <f>SUMIF('Contract level'!$A:$A,"="&amp;'DFP-Com'!$A18,'Contract level'!AR:AR)</f>
        <v>0</v>
      </c>
      <c r="J18" s="205">
        <f>SUMIF('Contract level'!$A:$A,"="&amp;'DFP-Com'!$A18,'Contract level'!AS:AS)</f>
        <v>0</v>
      </c>
      <c r="K18" s="205">
        <f>SUMIF('Contract level'!$A:$A,"="&amp;'DFP-Com'!$A18,'Contract level'!AT:AT)</f>
        <v>0</v>
      </c>
      <c r="L18" s="205">
        <f>SUMIF('Contract level'!$A:$A,"="&amp;'DFP-Com'!$A18,'Contract level'!AU:AU)</f>
        <v>0</v>
      </c>
      <c r="M18" s="205">
        <f>SUMIF('Contract level'!$A:$A,"="&amp;'DFP-Com'!$A18,'Contract level'!AV:AV)</f>
        <v>0</v>
      </c>
      <c r="N18" s="205">
        <f>SUMIF('Contract level'!$A:$A,"="&amp;'DFP-Com'!$A18,'Contract level'!AW:AW)</f>
        <v>0</v>
      </c>
      <c r="O18" s="205">
        <f>SUMIF('Contract level'!$A:$A,"="&amp;'DFP-Com'!$A18,'Contract level'!AX:AX)</f>
        <v>0</v>
      </c>
      <c r="P18" s="205">
        <f>SUMIF('Contract level'!$A:$A,"="&amp;'DFP-Com'!$A18,'Contract level'!AY:AY)</f>
        <v>0</v>
      </c>
      <c r="Q18" s="205">
        <f>SUMIF('Contract level'!$A:$A,"="&amp;'DFP-Com'!$A18,'Contract level'!AZ:AZ)</f>
        <v>0</v>
      </c>
      <c r="R18" s="205">
        <f>SUMIF('Contract level'!$A:$A,"="&amp;'DFP-Com'!$A18,'Contract level'!BA:BA)</f>
        <v>0</v>
      </c>
      <c r="S18" s="205">
        <f>SUMIF('Contract level'!$A:$A,"="&amp;'DFP-Com'!$A18,'Contract level'!BB:BB)</f>
        <v>0</v>
      </c>
      <c r="T18" s="305"/>
      <c r="U18" s="205">
        <f>SUM(H18:S18)+D18+C18</f>
        <v>0</v>
      </c>
      <c r="V18" s="206"/>
      <c r="W18" s="291"/>
      <c r="X18" s="209"/>
    </row>
    <row r="19" spans="1:24" s="210" customFormat="1" ht="12.95" customHeight="1" outlineLevel="1">
      <c r="A19" s="207" t="str">
        <f aca="true" t="shared" si="2" ref="A19:A37">LEFT(B19,4)</f>
        <v xml:space="preserve">1.2 </v>
      </c>
      <c r="B19" s="51" t="s">
        <v>90</v>
      </c>
      <c r="C19" s="199">
        <f>C20</f>
        <v>0</v>
      </c>
      <c r="D19" s="199">
        <f>D20</f>
        <v>0</v>
      </c>
      <c r="E19" s="199">
        <f aca="true" t="shared" si="3" ref="E19:U19">E20</f>
        <v>0</v>
      </c>
      <c r="F19" s="199">
        <f t="shared" si="3"/>
        <v>30000</v>
      </c>
      <c r="G19" s="199">
        <f t="shared" si="3"/>
        <v>0</v>
      </c>
      <c r="H19" s="199">
        <f t="shared" si="3"/>
        <v>30000</v>
      </c>
      <c r="I19" s="199">
        <f t="shared" si="3"/>
        <v>4000000</v>
      </c>
      <c r="J19" s="199">
        <f t="shared" si="3"/>
        <v>0</v>
      </c>
      <c r="K19" s="199">
        <f t="shared" si="3"/>
        <v>0</v>
      </c>
      <c r="L19" s="199">
        <f t="shared" si="3"/>
        <v>38500</v>
      </c>
      <c r="M19" s="199">
        <f t="shared" si="3"/>
        <v>0</v>
      </c>
      <c r="N19" s="199">
        <f t="shared" si="3"/>
        <v>0</v>
      </c>
      <c r="O19" s="199">
        <f t="shared" si="3"/>
        <v>0</v>
      </c>
      <c r="P19" s="199">
        <f t="shared" si="3"/>
        <v>48000</v>
      </c>
      <c r="Q19" s="199">
        <f t="shared" si="3"/>
        <v>0</v>
      </c>
      <c r="R19" s="199">
        <f t="shared" si="3"/>
        <v>0</v>
      </c>
      <c r="S19" s="199">
        <f t="shared" si="3"/>
        <v>0</v>
      </c>
      <c r="T19" s="199"/>
      <c r="U19" s="199">
        <f t="shared" si="3"/>
        <v>4116500</v>
      </c>
      <c r="V19" s="201">
        <f>'QFR - B'!G16</f>
        <v>4300000</v>
      </c>
      <c r="W19" s="290">
        <f>V19-U19</f>
        <v>183500</v>
      </c>
      <c r="X19" s="209"/>
    </row>
    <row r="20" spans="1:24" s="210" customFormat="1" ht="12.95" customHeight="1" outlineLevel="1">
      <c r="A20" s="207" t="s">
        <v>161</v>
      </c>
      <c r="B20" s="203" t="s">
        <v>137</v>
      </c>
      <c r="C20" s="204"/>
      <c r="D20" s="205">
        <v>0</v>
      </c>
      <c r="E20" s="205"/>
      <c r="F20" s="305">
        <v>30000</v>
      </c>
      <c r="G20" s="205">
        <v>0</v>
      </c>
      <c r="H20" s="205">
        <f>SUMIF('Contract level'!$A:$A,"="&amp;'DFP-Com'!$A20,'Contract level'!AQ:AQ)</f>
        <v>30000</v>
      </c>
      <c r="I20" s="205">
        <f>SUMIF('Contract level'!$A:$A,"="&amp;'DFP-Com'!$A20,'Contract level'!AR:AR)</f>
        <v>4000000</v>
      </c>
      <c r="J20" s="205">
        <f>SUMIF('Contract level'!$A:$A,"="&amp;'DFP-Com'!$A20,'Contract level'!AS:AS)</f>
        <v>0</v>
      </c>
      <c r="K20" s="205">
        <f>SUMIF('Contract level'!$A:$A,"="&amp;'DFP-Com'!$A20,'Contract level'!AT:AT)</f>
        <v>0</v>
      </c>
      <c r="L20" s="205">
        <f>SUMIF('Contract level'!$A:$A,"="&amp;'DFP-Com'!$A20,'Contract level'!AU:AU)</f>
        <v>38500</v>
      </c>
      <c r="M20" s="205">
        <f>SUMIF('Contract level'!$A:$A,"="&amp;'DFP-Com'!$A20,'Contract level'!AV:AV)</f>
        <v>0</v>
      </c>
      <c r="N20" s="205">
        <f>SUMIF('Contract level'!$A:$A,"="&amp;'DFP-Com'!$A20,'Contract level'!AW:AW)</f>
        <v>0</v>
      </c>
      <c r="O20" s="205">
        <f>SUMIF('Contract level'!$A:$A,"="&amp;'DFP-Com'!$A20,'Contract level'!AX:AX)</f>
        <v>0</v>
      </c>
      <c r="P20" s="205">
        <f>SUMIF('Contract level'!$A:$A,"="&amp;'DFP-Com'!$A20,'Contract level'!AY:AY)</f>
        <v>48000</v>
      </c>
      <c r="Q20" s="205">
        <f>SUMIF('Contract level'!$A:$A,"="&amp;'DFP-Com'!$A20,'Contract level'!AZ:AZ)</f>
        <v>0</v>
      </c>
      <c r="R20" s="205">
        <f>SUMIF('Contract level'!$A:$A,"="&amp;'DFP-Com'!$A20,'Contract level'!BA:BA)</f>
        <v>0</v>
      </c>
      <c r="S20" s="205">
        <f>SUMIF('Contract level'!$A:$A,"="&amp;'DFP-Com'!$A20,'Contract level'!BB:BB)</f>
        <v>0</v>
      </c>
      <c r="T20" s="305"/>
      <c r="U20" s="205">
        <f>SUM(H20:T20)+D20+C20</f>
        <v>4116500</v>
      </c>
      <c r="V20" s="206"/>
      <c r="W20" s="291"/>
      <c r="X20" s="209"/>
    </row>
    <row r="21" spans="1:24" s="210" customFormat="1" ht="15" outlineLevel="1">
      <c r="A21" s="207">
        <v>1.3</v>
      </c>
      <c r="B21" s="51" t="s">
        <v>91</v>
      </c>
      <c r="C21" s="199">
        <f>SUM(C22:C24)</f>
        <v>40400</v>
      </c>
      <c r="D21" s="199">
        <f aca="true" t="shared" si="4" ref="D21:U21">SUM(D22:D24)</f>
        <v>2500000</v>
      </c>
      <c r="E21" s="199">
        <f t="shared" si="4"/>
        <v>0</v>
      </c>
      <c r="F21" s="199">
        <f t="shared" si="4"/>
        <v>18000</v>
      </c>
      <c r="G21" s="199">
        <f t="shared" si="4"/>
        <v>0</v>
      </c>
      <c r="H21" s="199">
        <f t="shared" si="4"/>
        <v>18000</v>
      </c>
      <c r="I21" s="199">
        <f t="shared" si="4"/>
        <v>0</v>
      </c>
      <c r="J21" s="199">
        <f t="shared" si="4"/>
        <v>36000</v>
      </c>
      <c r="K21" s="199">
        <f t="shared" si="4"/>
        <v>0</v>
      </c>
      <c r="L21" s="199">
        <f t="shared" si="4"/>
        <v>18000</v>
      </c>
      <c r="M21" s="199">
        <f t="shared" si="4"/>
        <v>0</v>
      </c>
      <c r="N21" s="199">
        <f t="shared" si="4"/>
        <v>36000</v>
      </c>
      <c r="O21" s="199">
        <f t="shared" si="4"/>
        <v>0</v>
      </c>
      <c r="P21" s="199">
        <f aca="true" t="shared" si="5" ref="P21:S21">SUM(P22:P24)</f>
        <v>18000</v>
      </c>
      <c r="Q21" s="199">
        <f t="shared" si="5"/>
        <v>0</v>
      </c>
      <c r="R21" s="199">
        <f t="shared" si="5"/>
        <v>18000</v>
      </c>
      <c r="S21" s="199">
        <f t="shared" si="5"/>
        <v>0</v>
      </c>
      <c r="T21" s="199"/>
      <c r="U21" s="199">
        <f t="shared" si="4"/>
        <v>2684400</v>
      </c>
      <c r="V21" s="201">
        <f>'QFR - B'!G17</f>
        <v>3000000</v>
      </c>
      <c r="W21" s="290">
        <f>V21-U21</f>
        <v>315600</v>
      </c>
      <c r="X21" s="209"/>
    </row>
    <row r="22" spans="1:24" s="210" customFormat="1" ht="12.95" customHeight="1" outlineLevel="1">
      <c r="A22" s="207" t="s">
        <v>162</v>
      </c>
      <c r="B22" s="203" t="s">
        <v>130</v>
      </c>
      <c r="C22" s="204"/>
      <c r="D22" s="205">
        <v>2500000</v>
      </c>
      <c r="E22" s="205"/>
      <c r="F22" s="205"/>
      <c r="G22" s="205"/>
      <c r="H22" s="205">
        <f>SUMIF('Contract level'!$A:$A,"="&amp;'DFP-Com'!$A22,'Contract level'!AQ:AQ)</f>
        <v>0</v>
      </c>
      <c r="I22" s="205">
        <f>SUMIF('Contract level'!$A:$A,"="&amp;'DFP-Com'!$A22,'Contract level'!AR:AR)</f>
        <v>0</v>
      </c>
      <c r="J22" s="205">
        <f>SUMIF('Contract level'!$A:$A,"="&amp;'DFP-Com'!$A22,'Contract level'!AS:AS)</f>
        <v>0</v>
      </c>
      <c r="K22" s="205">
        <f>SUMIF('Contract level'!$A:$A,"="&amp;'DFP-Com'!$A22,'Contract level'!AT:AT)</f>
        <v>0</v>
      </c>
      <c r="L22" s="205">
        <f>SUMIF('Contract level'!$A:$A,"="&amp;'DFP-Com'!$A22,'Contract level'!AU:AU)</f>
        <v>0</v>
      </c>
      <c r="M22" s="205">
        <f>SUMIF('Contract level'!$A:$A,"="&amp;'DFP-Com'!$A22,'Contract level'!AV:AV)</f>
        <v>0</v>
      </c>
      <c r="N22" s="205">
        <f>SUMIF('Contract level'!$A:$A,"="&amp;'DFP-Com'!$A22,'Contract level'!AW:AW)</f>
        <v>0</v>
      </c>
      <c r="O22" s="205">
        <f>SUMIF('Contract level'!$A:$A,"="&amp;'DFP-Com'!$A22,'Contract level'!AX:AX)</f>
        <v>0</v>
      </c>
      <c r="P22" s="205">
        <f>SUMIF('Contract level'!$A:$A,"="&amp;'DFP-Com'!$A22,'Contract level'!AY:AY)</f>
        <v>0</v>
      </c>
      <c r="Q22" s="205">
        <f>SUMIF('Contract level'!$A:$A,"="&amp;'DFP-Com'!$A22,'Contract level'!AZ:AZ)</f>
        <v>0</v>
      </c>
      <c r="R22" s="205">
        <f>SUMIF('Contract level'!$A:$A,"="&amp;'DFP-Com'!$A22,'Contract level'!BA:BA)</f>
        <v>0</v>
      </c>
      <c r="S22" s="205">
        <f>SUMIF('Contract level'!$A:$A,"="&amp;'DFP-Com'!$A22,'Contract level'!BB:BB)</f>
        <v>0</v>
      </c>
      <c r="T22" s="305"/>
      <c r="U22" s="205">
        <f>SUM(H22:T22)+D22+C22</f>
        <v>2500000</v>
      </c>
      <c r="V22" s="206"/>
      <c r="W22" s="291"/>
      <c r="X22" s="209"/>
    </row>
    <row r="23" spans="1:24" s="210" customFormat="1" ht="12.95" customHeight="1" outlineLevel="1">
      <c r="A23" s="207" t="s">
        <v>163</v>
      </c>
      <c r="B23" s="203" t="s">
        <v>146</v>
      </c>
      <c r="C23" s="204">
        <v>40400</v>
      </c>
      <c r="D23" s="205">
        <v>0</v>
      </c>
      <c r="E23" s="205">
        <v>0</v>
      </c>
      <c r="F23" s="205">
        <v>18000</v>
      </c>
      <c r="G23" s="205"/>
      <c r="H23" s="205">
        <f>SUMIF('Contract level'!$A:$A,"="&amp;'DFP-Com'!$A23,'Contract level'!AQ:AQ)</f>
        <v>18000</v>
      </c>
      <c r="I23" s="205">
        <f>SUMIF('Contract level'!$A:$A,"="&amp;'DFP-Com'!$A23,'Contract level'!AR:AR)</f>
        <v>0</v>
      </c>
      <c r="J23" s="205">
        <f>SUMIF('Contract level'!$A:$A,"="&amp;'DFP-Com'!$A23,'Contract level'!AS:AS)</f>
        <v>36000</v>
      </c>
      <c r="K23" s="205">
        <f>SUMIF('Contract level'!$A:$A,"="&amp;'DFP-Com'!$A23,'Contract level'!AT:AT)</f>
        <v>0</v>
      </c>
      <c r="L23" s="205">
        <f>SUMIF('Contract level'!$A:$A,"="&amp;'DFP-Com'!$A23,'Contract level'!AU:AU)</f>
        <v>18000</v>
      </c>
      <c r="M23" s="205">
        <f>SUMIF('Contract level'!$A:$A,"="&amp;'DFP-Com'!$A23,'Contract level'!AV:AV)</f>
        <v>0</v>
      </c>
      <c r="N23" s="205">
        <f>SUMIF('Contract level'!$A:$A,"="&amp;'DFP-Com'!$A23,'Contract level'!AW:AW)</f>
        <v>36000</v>
      </c>
      <c r="O23" s="205">
        <f>SUMIF('Contract level'!$A:$A,"="&amp;'DFP-Com'!$A23,'Contract level'!AX:AX)</f>
        <v>0</v>
      </c>
      <c r="P23" s="205">
        <f>SUMIF('Contract level'!$A:$A,"="&amp;'DFP-Com'!$A23,'Contract level'!AY:AY)</f>
        <v>18000</v>
      </c>
      <c r="Q23" s="205">
        <f>SUMIF('Contract level'!$A:$A,"="&amp;'DFP-Com'!$A23,'Contract level'!AZ:AZ)</f>
        <v>0</v>
      </c>
      <c r="R23" s="205">
        <f>SUMIF('Contract level'!$A:$A,"="&amp;'DFP-Com'!$A23,'Contract level'!BA:BA)</f>
        <v>18000</v>
      </c>
      <c r="S23" s="205">
        <f>SUMIF('Contract level'!$A:$A,"="&amp;'DFP-Com'!$A23,'Contract level'!BB:BB)</f>
        <v>0</v>
      </c>
      <c r="T23" s="305"/>
      <c r="U23" s="305">
        <f>SUM(H23:T23)+D23+C23</f>
        <v>184400</v>
      </c>
      <c r="V23" s="206"/>
      <c r="W23" s="291"/>
      <c r="X23" s="209"/>
    </row>
    <row r="24" spans="1:24" s="210" customFormat="1" ht="15" outlineLevel="1">
      <c r="A24" s="207" t="s">
        <v>164</v>
      </c>
      <c r="B24" s="203" t="s">
        <v>145</v>
      </c>
      <c r="C24" s="204"/>
      <c r="D24" s="205">
        <v>0</v>
      </c>
      <c r="E24" s="205"/>
      <c r="F24" s="205"/>
      <c r="G24" s="205"/>
      <c r="H24" s="205">
        <f>SUMIF('Contract level'!$A:$A,"="&amp;'DFP-Com'!$A24,'Contract level'!AQ:AQ)</f>
        <v>0</v>
      </c>
      <c r="I24" s="205">
        <f>SUMIF('Contract level'!$A:$A,"="&amp;'DFP-Com'!$A24,'Contract level'!AR:AR)</f>
        <v>0</v>
      </c>
      <c r="J24" s="205">
        <f>SUMIF('Contract level'!$A:$A,"="&amp;'DFP-Com'!$A24,'Contract level'!AS:AS)</f>
        <v>0</v>
      </c>
      <c r="K24" s="205">
        <f>SUMIF('Contract level'!$A:$A,"="&amp;'DFP-Com'!$A24,'Contract level'!AT:AT)</f>
        <v>0</v>
      </c>
      <c r="L24" s="205">
        <f>SUMIF('Contract level'!$A:$A,"="&amp;'DFP-Com'!$A24,'Contract level'!AU:AU)</f>
        <v>0</v>
      </c>
      <c r="M24" s="205">
        <f>SUMIF('Contract level'!$A:$A,"="&amp;'DFP-Com'!$A24,'Contract level'!AV:AV)</f>
        <v>0</v>
      </c>
      <c r="N24" s="205">
        <f>SUMIF('Contract level'!$A:$A,"="&amp;'DFP-Com'!$A24,'Contract level'!AW:AW)</f>
        <v>0</v>
      </c>
      <c r="O24" s="205">
        <f>SUMIF('Contract level'!$A:$A,"="&amp;'DFP-Com'!$A24,'Contract level'!AX:AX)</f>
        <v>0</v>
      </c>
      <c r="P24" s="205">
        <f>SUMIF('Contract level'!$A:$A,"="&amp;'DFP-Com'!$A24,'Contract level'!AY:AY)</f>
        <v>0</v>
      </c>
      <c r="Q24" s="205">
        <f>SUMIF('Contract level'!$A:$A,"="&amp;'DFP-Com'!$A24,'Contract level'!AZ:AZ)</f>
        <v>0</v>
      </c>
      <c r="R24" s="205">
        <f>SUMIF('Contract level'!$A:$A,"="&amp;'DFP-Com'!$A24,'Contract level'!BA:BA)</f>
        <v>0</v>
      </c>
      <c r="S24" s="205">
        <f>SUMIF('Contract level'!$A:$A,"="&amp;'DFP-Com'!$A24,'Contract level'!BB:BB)</f>
        <v>0</v>
      </c>
      <c r="T24" s="305"/>
      <c r="U24" s="205">
        <f>SUM(H24:S24)+D24+C24</f>
        <v>0</v>
      </c>
      <c r="V24" s="206"/>
      <c r="W24" s="291"/>
      <c r="X24" s="209"/>
    </row>
    <row r="25" spans="1:24" s="210" customFormat="1" ht="15">
      <c r="A25" s="207" t="str">
        <f t="shared" si="2"/>
        <v>TOTA</v>
      </c>
      <c r="B25" s="53" t="s">
        <v>65</v>
      </c>
      <c r="C25" s="200">
        <f>C21+C19+C15</f>
        <v>40400</v>
      </c>
      <c r="D25" s="200">
        <f aca="true" t="shared" si="6" ref="D25:U25">D21+D19+D15</f>
        <v>11000000</v>
      </c>
      <c r="E25" s="200">
        <f t="shared" si="6"/>
        <v>0</v>
      </c>
      <c r="F25" s="200">
        <f t="shared" si="6"/>
        <v>48000</v>
      </c>
      <c r="G25" s="200">
        <f t="shared" si="6"/>
        <v>0</v>
      </c>
      <c r="H25" s="200">
        <f t="shared" si="6"/>
        <v>48000</v>
      </c>
      <c r="I25" s="200">
        <f t="shared" si="6"/>
        <v>4000000</v>
      </c>
      <c r="J25" s="200">
        <f t="shared" si="6"/>
        <v>3036000</v>
      </c>
      <c r="K25" s="200">
        <f t="shared" si="6"/>
        <v>200000</v>
      </c>
      <c r="L25" s="200">
        <f t="shared" si="6"/>
        <v>56500</v>
      </c>
      <c r="M25" s="200">
        <f t="shared" si="6"/>
        <v>0</v>
      </c>
      <c r="N25" s="200">
        <f t="shared" si="6"/>
        <v>36000</v>
      </c>
      <c r="O25" s="200">
        <f t="shared" si="6"/>
        <v>0</v>
      </c>
      <c r="P25" s="200">
        <f aca="true" t="shared" si="7" ref="P25:S25">P21+P19+P15</f>
        <v>66000</v>
      </c>
      <c r="Q25" s="200">
        <f t="shared" si="7"/>
        <v>0</v>
      </c>
      <c r="R25" s="200">
        <f t="shared" si="7"/>
        <v>18000</v>
      </c>
      <c r="S25" s="200">
        <f t="shared" si="7"/>
        <v>0</v>
      </c>
      <c r="T25" s="200"/>
      <c r="U25" s="200">
        <f t="shared" si="6"/>
        <v>18500900</v>
      </c>
      <c r="V25" s="202">
        <f>V15+V19+V21</f>
        <v>19300000</v>
      </c>
      <c r="W25" s="292">
        <f>W15+W19+W21</f>
        <v>799100</v>
      </c>
      <c r="X25" s="209"/>
    </row>
    <row r="26" spans="1:24" s="39" customFormat="1" ht="15">
      <c r="A26" s="207" t="str">
        <f t="shared" si="2"/>
        <v/>
      </c>
      <c r="B26" s="55"/>
      <c r="C26" s="279"/>
      <c r="D26" s="219"/>
      <c r="E26" s="219"/>
      <c r="F26" s="219"/>
      <c r="G26" s="219"/>
      <c r="H26" s="219"/>
      <c r="I26" s="219"/>
      <c r="J26" s="219"/>
      <c r="K26" s="219"/>
      <c r="L26" s="219"/>
      <c r="M26" s="219"/>
      <c r="N26" s="219"/>
      <c r="O26" s="219"/>
      <c r="P26" s="219"/>
      <c r="Q26" s="219"/>
      <c r="R26" s="219"/>
      <c r="S26" s="219"/>
      <c r="T26" s="219"/>
      <c r="U26" s="219"/>
      <c r="V26" s="275"/>
      <c r="W26" s="293"/>
      <c r="X26" s="38"/>
    </row>
    <row r="27" spans="1:24" s="39" customFormat="1" ht="15">
      <c r="A27" s="207" t="str">
        <f t="shared" si="2"/>
        <v>2. R</v>
      </c>
      <c r="B27" s="46" t="s">
        <v>94</v>
      </c>
      <c r="C27" s="280"/>
      <c r="D27" s="220"/>
      <c r="E27" s="220"/>
      <c r="F27" s="220"/>
      <c r="G27" s="220"/>
      <c r="H27" s="220"/>
      <c r="I27" s="220"/>
      <c r="J27" s="220"/>
      <c r="K27" s="220"/>
      <c r="L27" s="220"/>
      <c r="M27" s="220"/>
      <c r="N27" s="220"/>
      <c r="O27" s="220"/>
      <c r="P27" s="220"/>
      <c r="Q27" s="220"/>
      <c r="R27" s="220"/>
      <c r="S27" s="220"/>
      <c r="T27" s="220"/>
      <c r="U27" s="220"/>
      <c r="V27" s="276"/>
      <c r="W27" s="294"/>
      <c r="X27" s="38"/>
    </row>
    <row r="28" spans="1:24" s="39" customFormat="1" ht="15" outlineLevel="1">
      <c r="A28" s="207">
        <v>2.1</v>
      </c>
      <c r="B28" s="51" t="s">
        <v>147</v>
      </c>
      <c r="C28" s="222">
        <f aca="true" t="shared" si="8" ref="C28:U28">SUM(C29:C29)</f>
        <v>0</v>
      </c>
      <c r="D28" s="222">
        <f t="shared" si="8"/>
        <v>150375</v>
      </c>
      <c r="E28" s="222">
        <f t="shared" si="8"/>
        <v>0</v>
      </c>
      <c r="F28" s="222">
        <f t="shared" si="8"/>
        <v>0</v>
      </c>
      <c r="G28" s="222">
        <f t="shared" si="8"/>
        <v>495000</v>
      </c>
      <c r="H28" s="222">
        <f t="shared" si="8"/>
        <v>495000</v>
      </c>
      <c r="I28" s="222">
        <f t="shared" si="8"/>
        <v>0</v>
      </c>
      <c r="J28" s="222">
        <f t="shared" si="8"/>
        <v>0</v>
      </c>
      <c r="K28" s="222">
        <f t="shared" si="8"/>
        <v>140000</v>
      </c>
      <c r="L28" s="222">
        <f t="shared" si="8"/>
        <v>0</v>
      </c>
      <c r="M28" s="222">
        <f t="shared" si="8"/>
        <v>0</v>
      </c>
      <c r="N28" s="222">
        <f t="shared" si="8"/>
        <v>0</v>
      </c>
      <c r="O28" s="222">
        <f t="shared" si="8"/>
        <v>0</v>
      </c>
      <c r="P28" s="222">
        <f t="shared" si="8"/>
        <v>0</v>
      </c>
      <c r="Q28" s="222">
        <f t="shared" si="8"/>
        <v>0</v>
      </c>
      <c r="R28" s="222">
        <f t="shared" si="8"/>
        <v>0</v>
      </c>
      <c r="S28" s="222">
        <f t="shared" si="8"/>
        <v>0</v>
      </c>
      <c r="T28" s="222"/>
      <c r="U28" s="222">
        <f t="shared" si="8"/>
        <v>785375</v>
      </c>
      <c r="V28" s="201">
        <f>'QFR - B'!G20</f>
        <v>800000</v>
      </c>
      <c r="W28" s="290">
        <f>V28-U28</f>
        <v>14625</v>
      </c>
      <c r="X28" s="38"/>
    </row>
    <row r="29" spans="1:24" s="210" customFormat="1" ht="15" outlineLevel="1">
      <c r="A29" s="207" t="s">
        <v>165</v>
      </c>
      <c r="B29" s="203" t="s">
        <v>140</v>
      </c>
      <c r="C29" s="204"/>
      <c r="D29" s="205">
        <v>150375</v>
      </c>
      <c r="E29" s="205">
        <v>0</v>
      </c>
      <c r="F29" s="205">
        <v>0</v>
      </c>
      <c r="G29" s="205">
        <v>495000</v>
      </c>
      <c r="H29" s="205">
        <f>SUMIF('Contract level'!$A:$A,"="&amp;'DFP-Com'!$A29,'Contract level'!AQ:AQ)</f>
        <v>495000</v>
      </c>
      <c r="I29" s="205">
        <f>SUMIF('Contract level'!$A:$A,"="&amp;'DFP-Com'!$A29,'Contract level'!AR:AR)</f>
        <v>0</v>
      </c>
      <c r="J29" s="205">
        <f>SUMIF('Contract level'!$A:$A,"="&amp;'DFP-Com'!$A29,'Contract level'!AS:AS)</f>
        <v>0</v>
      </c>
      <c r="K29" s="205">
        <f>SUMIF('Contract level'!$A:$A,"="&amp;'DFP-Com'!$A29,'Contract level'!AT:AT)</f>
        <v>140000</v>
      </c>
      <c r="L29" s="205">
        <f>SUMIF('Contract level'!$A:$A,"="&amp;'DFP-Com'!$A29,'Contract level'!AU:AU)</f>
        <v>0</v>
      </c>
      <c r="M29" s="205">
        <f>SUMIF('Contract level'!$A:$A,"="&amp;'DFP-Com'!$A29,'Contract level'!AV:AV)</f>
        <v>0</v>
      </c>
      <c r="N29" s="205">
        <f>SUMIF('Contract level'!$A:$A,"="&amp;'DFP-Com'!$A29,'Contract level'!AW:AW)</f>
        <v>0</v>
      </c>
      <c r="O29" s="205">
        <f>SUMIF('Contract level'!$A:$A,"="&amp;'DFP-Com'!$A29,'Contract level'!AX:AX)</f>
        <v>0</v>
      </c>
      <c r="P29" s="205">
        <f>SUMIF('Contract level'!$A:$A,"="&amp;'DFP-Com'!$A29,'Contract level'!AY:AY)</f>
        <v>0</v>
      </c>
      <c r="Q29" s="205">
        <f>SUMIF('Contract level'!$A:$A,"="&amp;'DFP-Com'!$A29,'Contract level'!AZ:AZ)</f>
        <v>0</v>
      </c>
      <c r="R29" s="205">
        <f>SUMIF('Contract level'!$A:$A,"="&amp;'DFP-Com'!$A29,'Contract level'!BA:BA)</f>
        <v>0</v>
      </c>
      <c r="S29" s="205">
        <f>SUMIF('Contract level'!$A:$A,"="&amp;'DFP-Com'!$A29,'Contract level'!BB:BB)</f>
        <v>0</v>
      </c>
      <c r="T29" s="305"/>
      <c r="U29" s="205">
        <f>SUM(H29:T29)+D29+C29</f>
        <v>785375</v>
      </c>
      <c r="V29" s="206"/>
      <c r="W29" s="291"/>
      <c r="X29" s="209"/>
    </row>
    <row r="30" spans="1:24" s="39" customFormat="1" ht="15" outlineLevel="1">
      <c r="A30" s="207">
        <v>2.2</v>
      </c>
      <c r="B30" s="51" t="s">
        <v>98</v>
      </c>
      <c r="C30" s="199">
        <f>SUM(C31:C33)</f>
        <v>61250</v>
      </c>
      <c r="D30" s="199">
        <f aca="true" t="shared" si="9" ref="D30:O30">SUM(D31:D33)</f>
        <v>121200</v>
      </c>
      <c r="E30" s="199">
        <f t="shared" si="9"/>
        <v>5000</v>
      </c>
      <c r="F30" s="199">
        <f t="shared" si="9"/>
        <v>0</v>
      </c>
      <c r="G30" s="199">
        <f t="shared" si="9"/>
        <v>75000</v>
      </c>
      <c r="H30" s="199">
        <f t="shared" si="9"/>
        <v>80000</v>
      </c>
      <c r="I30" s="199">
        <f t="shared" si="9"/>
        <v>0</v>
      </c>
      <c r="J30" s="199">
        <f t="shared" si="9"/>
        <v>1197000</v>
      </c>
      <c r="K30" s="199">
        <f t="shared" si="9"/>
        <v>0</v>
      </c>
      <c r="L30" s="199">
        <f t="shared" si="9"/>
        <v>147000</v>
      </c>
      <c r="M30" s="199">
        <f t="shared" si="9"/>
        <v>0</v>
      </c>
      <c r="N30" s="199">
        <f t="shared" si="9"/>
        <v>0</v>
      </c>
      <c r="O30" s="199">
        <f t="shared" si="9"/>
        <v>0</v>
      </c>
      <c r="P30" s="199">
        <f aca="true" t="shared" si="10" ref="P30:S30">SUM(P31:P33)</f>
        <v>0</v>
      </c>
      <c r="Q30" s="199">
        <f t="shared" si="10"/>
        <v>0</v>
      </c>
      <c r="R30" s="199">
        <f t="shared" si="10"/>
        <v>0</v>
      </c>
      <c r="S30" s="199">
        <f t="shared" si="10"/>
        <v>0</v>
      </c>
      <c r="T30" s="199"/>
      <c r="U30" s="199">
        <f>SUM(U31:U33)</f>
        <v>1606450</v>
      </c>
      <c r="V30" s="201">
        <f>'QFR - B'!G21</f>
        <v>3600000</v>
      </c>
      <c r="W30" s="290">
        <f>V30-U30</f>
        <v>1993550</v>
      </c>
      <c r="X30" s="38"/>
    </row>
    <row r="31" spans="1:24" s="210" customFormat="1" ht="15" outlineLevel="1">
      <c r="A31" s="207" t="s">
        <v>166</v>
      </c>
      <c r="B31" s="203" t="s">
        <v>141</v>
      </c>
      <c r="C31" s="204">
        <v>61250</v>
      </c>
      <c r="D31" s="205">
        <v>121200</v>
      </c>
      <c r="E31" s="205"/>
      <c r="F31" s="205"/>
      <c r="G31" s="205">
        <v>75000</v>
      </c>
      <c r="H31" s="205">
        <f>SUMIF('Contract level'!$A:$A,"="&amp;'DFP-Com'!$A31,'Contract level'!AQ:AQ)</f>
        <v>75000</v>
      </c>
      <c r="I31" s="205">
        <f>SUMIF('Contract level'!$A:$A,"="&amp;'DFP-Com'!$A31,'Contract level'!AR:AR)</f>
        <v>0</v>
      </c>
      <c r="J31" s="205">
        <f>SUMIF('Contract level'!$A:$A,"="&amp;'DFP-Com'!$A31,'Contract level'!AS:AS)</f>
        <v>297000</v>
      </c>
      <c r="K31" s="205">
        <f>SUMIF('Contract level'!$A:$A,"="&amp;'DFP-Com'!$A31,'Contract level'!AT:AT)</f>
        <v>0</v>
      </c>
      <c r="L31" s="205">
        <f>SUMIF('Contract level'!$A:$A,"="&amp;'DFP-Com'!$A31,'Contract level'!AU:AU)</f>
        <v>147000</v>
      </c>
      <c r="M31" s="205">
        <f>SUMIF('Contract level'!$A:$A,"="&amp;'DFP-Com'!$A31,'Contract level'!AV:AV)</f>
        <v>0</v>
      </c>
      <c r="N31" s="205">
        <f>SUMIF('Contract level'!$A:$A,"="&amp;'DFP-Com'!$A31,'Contract level'!AW:AW)</f>
        <v>0</v>
      </c>
      <c r="O31" s="205">
        <f>SUMIF('Contract level'!$A:$A,"="&amp;'DFP-Com'!$A31,'Contract level'!AX:AX)</f>
        <v>0</v>
      </c>
      <c r="P31" s="205">
        <f>SUMIF('Contract level'!$A:$A,"="&amp;'DFP-Com'!$A31,'Contract level'!AY:AY)</f>
        <v>0</v>
      </c>
      <c r="Q31" s="205">
        <f>SUMIF('Contract level'!$A:$A,"="&amp;'DFP-Com'!$A31,'Contract level'!AZ:AZ)</f>
        <v>0</v>
      </c>
      <c r="R31" s="205">
        <f>SUMIF('Contract level'!$A:$A,"="&amp;'DFP-Com'!$A31,'Contract level'!BA:BA)</f>
        <v>0</v>
      </c>
      <c r="S31" s="205">
        <f>SUMIF('Contract level'!$A:$A,"="&amp;'DFP-Com'!$A31,'Contract level'!BB:BB)</f>
        <v>0</v>
      </c>
      <c r="T31" s="305"/>
      <c r="U31" s="205">
        <f>SUM(H31:T31)+D31+C31</f>
        <v>701450</v>
      </c>
      <c r="V31" s="206"/>
      <c r="W31" s="291"/>
      <c r="X31" s="209"/>
    </row>
    <row r="32" spans="1:24" s="210" customFormat="1" ht="15" outlineLevel="1">
      <c r="A32" s="207" t="s">
        <v>167</v>
      </c>
      <c r="B32" s="203" t="s">
        <v>142</v>
      </c>
      <c r="C32" s="204"/>
      <c r="D32" s="205">
        <v>0</v>
      </c>
      <c r="E32" s="205"/>
      <c r="F32" s="205">
        <v>0</v>
      </c>
      <c r="G32" s="305">
        <v>0</v>
      </c>
      <c r="H32" s="205">
        <f>SUMIF('Contract level'!$A:$A,"="&amp;'DFP-Com'!$A32,'Contract level'!AQ:AQ)</f>
        <v>0</v>
      </c>
      <c r="I32" s="205">
        <f>SUMIF('Contract level'!$A:$A,"="&amp;'DFP-Com'!$A32,'Contract level'!AR:AR)</f>
        <v>0</v>
      </c>
      <c r="J32" s="205">
        <f>SUMIF('Contract level'!$A:$A,"="&amp;'DFP-Com'!$A32,'Contract level'!AS:AS)</f>
        <v>900000</v>
      </c>
      <c r="K32" s="205">
        <f>SUMIF('Contract level'!$A:$A,"="&amp;'DFP-Com'!$A32,'Contract level'!AT:AT)</f>
        <v>0</v>
      </c>
      <c r="L32" s="205">
        <f>SUMIF('Contract level'!$A:$A,"="&amp;'DFP-Com'!$A32,'Contract level'!AU:AU)</f>
        <v>0</v>
      </c>
      <c r="M32" s="205">
        <f>SUMIF('Contract level'!$A:$A,"="&amp;'DFP-Com'!$A32,'Contract level'!AV:AV)</f>
        <v>0</v>
      </c>
      <c r="N32" s="205">
        <f>SUMIF('Contract level'!$A:$A,"="&amp;'DFP-Com'!$A32,'Contract level'!AW:AW)</f>
        <v>0</v>
      </c>
      <c r="O32" s="205">
        <f>SUMIF('Contract level'!$A:$A,"="&amp;'DFP-Com'!$A32,'Contract level'!AX:AX)</f>
        <v>0</v>
      </c>
      <c r="P32" s="205">
        <f>SUMIF('Contract level'!$A:$A,"="&amp;'DFP-Com'!$A32,'Contract level'!AY:AY)</f>
        <v>0</v>
      </c>
      <c r="Q32" s="205">
        <f>SUMIF('Contract level'!$A:$A,"="&amp;'DFP-Com'!$A32,'Contract level'!AZ:AZ)</f>
        <v>0</v>
      </c>
      <c r="R32" s="205">
        <f>SUMIF('Contract level'!$A:$A,"="&amp;'DFP-Com'!$A32,'Contract level'!BA:BA)</f>
        <v>0</v>
      </c>
      <c r="S32" s="205">
        <f>SUMIF('Contract level'!$A:$A,"="&amp;'DFP-Com'!$A32,'Contract level'!BB:BB)</f>
        <v>0</v>
      </c>
      <c r="T32" s="305"/>
      <c r="U32" s="305">
        <f>SUM(H32:T32)+D32+C32</f>
        <v>900000</v>
      </c>
      <c r="V32" s="206"/>
      <c r="W32" s="291"/>
      <c r="X32" s="209"/>
    </row>
    <row r="33" spans="1:24" s="210" customFormat="1" ht="15" outlineLevel="1">
      <c r="A33" s="207" t="s">
        <v>168</v>
      </c>
      <c r="B33" s="203" t="s">
        <v>144</v>
      </c>
      <c r="C33" s="204"/>
      <c r="D33" s="205">
        <v>0</v>
      </c>
      <c r="E33" s="205">
        <v>5000</v>
      </c>
      <c r="F33" s="205"/>
      <c r="G33" s="205"/>
      <c r="H33" s="205">
        <f>SUMIF('Contract level'!$A:$A,"="&amp;'DFP-Com'!$A33,'Contract level'!AQ:AQ)</f>
        <v>5000</v>
      </c>
      <c r="I33" s="205">
        <f>SUMIF('Contract level'!$A:$A,"="&amp;'DFP-Com'!$A33,'Contract level'!AR:AR)</f>
        <v>0</v>
      </c>
      <c r="J33" s="205">
        <f>SUMIF('Contract level'!$A:$A,"="&amp;'DFP-Com'!$A33,'Contract level'!AS:AS)</f>
        <v>0</v>
      </c>
      <c r="K33" s="205">
        <f>SUMIF('Contract level'!$A:$A,"="&amp;'DFP-Com'!$A33,'Contract level'!AT:AT)</f>
        <v>0</v>
      </c>
      <c r="L33" s="205">
        <f>SUMIF('Contract level'!$A:$A,"="&amp;'DFP-Com'!$A33,'Contract level'!AU:AU)</f>
        <v>0</v>
      </c>
      <c r="M33" s="205">
        <f>SUMIF('Contract level'!$A:$A,"="&amp;'DFP-Com'!$A33,'Contract level'!AV:AV)</f>
        <v>0</v>
      </c>
      <c r="N33" s="205">
        <f>SUMIF('Contract level'!$A:$A,"="&amp;'DFP-Com'!$A33,'Contract level'!AW:AW)</f>
        <v>0</v>
      </c>
      <c r="O33" s="205">
        <f>SUMIF('Contract level'!$A:$A,"="&amp;'DFP-Com'!$A33,'Contract level'!AX:AX)</f>
        <v>0</v>
      </c>
      <c r="P33" s="205">
        <f>SUMIF('Contract level'!$A:$A,"="&amp;'DFP-Com'!$A33,'Contract level'!AY:AY)</f>
        <v>0</v>
      </c>
      <c r="Q33" s="205">
        <f>SUMIF('Contract level'!$A:$A,"="&amp;'DFP-Com'!$A33,'Contract level'!AZ:AZ)</f>
        <v>0</v>
      </c>
      <c r="R33" s="205">
        <f>SUMIF('Contract level'!$A:$A,"="&amp;'DFP-Com'!$A33,'Contract level'!BA:BA)</f>
        <v>0</v>
      </c>
      <c r="S33" s="205">
        <f>SUMIF('Contract level'!$A:$A,"="&amp;'DFP-Com'!$A33,'Contract level'!BB:BB)</f>
        <v>0</v>
      </c>
      <c r="T33" s="305"/>
      <c r="U33" s="205">
        <f>SUM(H33:S33)+D33+C33</f>
        <v>5000</v>
      </c>
      <c r="V33" s="206"/>
      <c r="W33" s="291"/>
      <c r="X33" s="209"/>
    </row>
    <row r="34" spans="1:24" s="39" customFormat="1" ht="15">
      <c r="A34" s="207" t="str">
        <f t="shared" si="2"/>
        <v>TOTA</v>
      </c>
      <c r="B34" s="60" t="s">
        <v>66</v>
      </c>
      <c r="C34" s="200">
        <f>C30</f>
        <v>61250</v>
      </c>
      <c r="D34" s="200">
        <f>D30+D28</f>
        <v>271575</v>
      </c>
      <c r="E34" s="200">
        <f>+E28+E30</f>
        <v>5000</v>
      </c>
      <c r="F34" s="200">
        <f>+F28+F30</f>
        <v>0</v>
      </c>
      <c r="G34" s="200">
        <f>+G28+G30</f>
        <v>570000</v>
      </c>
      <c r="H34" s="200">
        <f aca="true" t="shared" si="11" ref="H34:S34">H30+H28</f>
        <v>575000</v>
      </c>
      <c r="I34" s="200">
        <f t="shared" si="11"/>
        <v>0</v>
      </c>
      <c r="J34" s="200">
        <f t="shared" si="11"/>
        <v>1197000</v>
      </c>
      <c r="K34" s="200">
        <f t="shared" si="11"/>
        <v>140000</v>
      </c>
      <c r="L34" s="200">
        <f t="shared" si="11"/>
        <v>147000</v>
      </c>
      <c r="M34" s="200">
        <f t="shared" si="11"/>
        <v>0</v>
      </c>
      <c r="N34" s="200">
        <f t="shared" si="11"/>
        <v>0</v>
      </c>
      <c r="O34" s="200">
        <f t="shared" si="11"/>
        <v>0</v>
      </c>
      <c r="P34" s="200">
        <f t="shared" si="11"/>
        <v>0</v>
      </c>
      <c r="Q34" s="200">
        <f t="shared" si="11"/>
        <v>0</v>
      </c>
      <c r="R34" s="200">
        <f t="shared" si="11"/>
        <v>0</v>
      </c>
      <c r="S34" s="200">
        <f t="shared" si="11"/>
        <v>0</v>
      </c>
      <c r="T34" s="200"/>
      <c r="U34" s="200">
        <f>U28+U30</f>
        <v>2391825</v>
      </c>
      <c r="V34" s="278">
        <f>SUM(V28:V33)</f>
        <v>4400000</v>
      </c>
      <c r="W34" s="292">
        <f>SUM(W27:W33)</f>
        <v>2008175</v>
      </c>
      <c r="X34" s="38"/>
    </row>
    <row r="35" spans="1:24" s="39" customFormat="1" ht="15">
      <c r="A35" s="207" t="str">
        <f t="shared" si="2"/>
        <v/>
      </c>
      <c r="B35" s="55"/>
      <c r="C35" s="279"/>
      <c r="D35" s="219"/>
      <c r="E35" s="219"/>
      <c r="F35" s="219"/>
      <c r="G35" s="219"/>
      <c r="H35" s="219"/>
      <c r="I35" s="219"/>
      <c r="J35" s="219"/>
      <c r="K35" s="219"/>
      <c r="L35" s="219"/>
      <c r="M35" s="219"/>
      <c r="N35" s="219"/>
      <c r="O35" s="219"/>
      <c r="P35" s="219"/>
      <c r="Q35" s="219"/>
      <c r="R35" s="219"/>
      <c r="S35" s="219"/>
      <c r="T35" s="219"/>
      <c r="U35" s="219"/>
      <c r="V35" s="275"/>
      <c r="W35" s="293"/>
      <c r="X35" s="38"/>
    </row>
    <row r="36" spans="1:24" s="65" customFormat="1" ht="15">
      <c r="A36" s="207" t="str">
        <f t="shared" si="2"/>
        <v>3. M</v>
      </c>
      <c r="B36" s="46" t="s">
        <v>103</v>
      </c>
      <c r="C36" s="281"/>
      <c r="D36" s="272"/>
      <c r="E36" s="272"/>
      <c r="F36" s="272"/>
      <c r="G36" s="272"/>
      <c r="H36" s="272"/>
      <c r="I36" s="272"/>
      <c r="J36" s="272"/>
      <c r="K36" s="272"/>
      <c r="L36" s="272"/>
      <c r="M36" s="272"/>
      <c r="N36" s="272"/>
      <c r="O36" s="272"/>
      <c r="P36" s="272"/>
      <c r="Q36" s="272"/>
      <c r="R36" s="272"/>
      <c r="S36" s="272"/>
      <c r="T36" s="272"/>
      <c r="U36" s="220"/>
      <c r="V36" s="276"/>
      <c r="W36" s="294"/>
      <c r="X36" s="64"/>
    </row>
    <row r="37" spans="1:24" s="65" customFormat="1" ht="15" outlineLevel="1">
      <c r="A37" s="207" t="str">
        <f t="shared" si="2"/>
        <v xml:space="preserve">   M</v>
      </c>
      <c r="B37" s="66" t="s">
        <v>104</v>
      </c>
      <c r="C37" s="199">
        <f>SUM(C38:C40)</f>
        <v>0</v>
      </c>
      <c r="D37" s="199">
        <f aca="true" t="shared" si="12" ref="D37:O37">SUM(D38:D40)</f>
        <v>86400</v>
      </c>
      <c r="E37" s="199">
        <f t="shared" si="12"/>
        <v>0</v>
      </c>
      <c r="F37" s="199">
        <f t="shared" si="12"/>
        <v>0</v>
      </c>
      <c r="G37" s="199">
        <f t="shared" si="12"/>
        <v>0</v>
      </c>
      <c r="H37" s="199">
        <f t="shared" si="12"/>
        <v>0</v>
      </c>
      <c r="I37" s="199">
        <f t="shared" si="12"/>
        <v>200000</v>
      </c>
      <c r="J37" s="199">
        <f t="shared" si="12"/>
        <v>0</v>
      </c>
      <c r="K37" s="199">
        <f t="shared" si="12"/>
        <v>100000</v>
      </c>
      <c r="L37" s="199">
        <f t="shared" si="12"/>
        <v>0</v>
      </c>
      <c r="M37" s="199">
        <f t="shared" si="12"/>
        <v>0</v>
      </c>
      <c r="N37" s="199">
        <f t="shared" si="12"/>
        <v>0</v>
      </c>
      <c r="O37" s="199">
        <f t="shared" si="12"/>
        <v>0</v>
      </c>
      <c r="P37" s="199">
        <f aca="true" t="shared" si="13" ref="P37:S37">SUM(P38:P40)</f>
        <v>500000</v>
      </c>
      <c r="Q37" s="199">
        <f t="shared" si="13"/>
        <v>0</v>
      </c>
      <c r="R37" s="199">
        <f t="shared" si="13"/>
        <v>0</v>
      </c>
      <c r="S37" s="199">
        <f t="shared" si="13"/>
        <v>400000</v>
      </c>
      <c r="T37" s="199"/>
      <c r="U37" s="222">
        <f>SUM(U38:U40)</f>
        <v>1286400</v>
      </c>
      <c r="V37" s="201">
        <f>'QFR - B'!G24</f>
        <v>1700000</v>
      </c>
      <c r="W37" s="290">
        <f>V37-U37</f>
        <v>413600</v>
      </c>
      <c r="X37" s="64"/>
    </row>
    <row r="38" spans="1:24" s="217" customFormat="1" ht="15" outlineLevel="1">
      <c r="A38" s="207" t="s">
        <v>169</v>
      </c>
      <c r="B38" s="214" t="s">
        <v>131</v>
      </c>
      <c r="C38" s="204"/>
      <c r="D38" s="205">
        <f>60000+26400</f>
        <v>86400</v>
      </c>
      <c r="E38" s="204">
        <v>0</v>
      </c>
      <c r="F38" s="204"/>
      <c r="G38" s="204">
        <v>0</v>
      </c>
      <c r="H38" s="205">
        <f>SUMIF('Contract level'!$A:$A,"="&amp;'DFP-Com'!$A38,'Contract level'!AQ:AQ)</f>
        <v>0</v>
      </c>
      <c r="I38" s="205">
        <f>SUMIF('Contract level'!$A:$A,"="&amp;'DFP-Com'!$A38,'Contract level'!AR:AR)</f>
        <v>100000</v>
      </c>
      <c r="J38" s="205">
        <f>SUMIF('Contract level'!$A:$A,"="&amp;'DFP-Com'!$A38,'Contract level'!AS:AS)</f>
        <v>0</v>
      </c>
      <c r="K38" s="205">
        <f>SUMIF('Contract level'!$A:$A,"="&amp;'DFP-Com'!$A38,'Contract level'!AT:AT)</f>
        <v>0</v>
      </c>
      <c r="L38" s="205">
        <f>SUMIF('Contract level'!$A:$A,"="&amp;'DFP-Com'!$A38,'Contract level'!AU:AU)</f>
        <v>0</v>
      </c>
      <c r="M38" s="205">
        <f>SUMIF('Contract level'!$A:$A,"="&amp;'DFP-Com'!$A38,'Contract level'!AV:AV)</f>
        <v>0</v>
      </c>
      <c r="N38" s="205">
        <f>SUMIF('Contract level'!$A:$A,"="&amp;'DFP-Com'!$A38,'Contract level'!AW:AW)</f>
        <v>0</v>
      </c>
      <c r="O38" s="205">
        <f>SUMIF('Contract level'!$A:$A,"="&amp;'DFP-Com'!$A38,'Contract level'!AX:AX)</f>
        <v>0</v>
      </c>
      <c r="P38" s="205">
        <f>SUMIF('Contract level'!$A:$A,"="&amp;'DFP-Com'!$A38,'Contract level'!AY:AY)</f>
        <v>500000</v>
      </c>
      <c r="Q38" s="205">
        <f>SUMIF('Contract level'!$A:$A,"="&amp;'DFP-Com'!$A38,'Contract level'!AZ:AZ)</f>
        <v>0</v>
      </c>
      <c r="R38" s="205">
        <f>SUMIF('Contract level'!$A:$A,"="&amp;'DFP-Com'!$A38,'Contract level'!BA:BA)</f>
        <v>0</v>
      </c>
      <c r="S38" s="205">
        <f>SUMIF('Contract level'!$A:$A,"="&amp;'DFP-Com'!$A38,'Contract level'!BB:BB)</f>
        <v>0</v>
      </c>
      <c r="T38" s="305"/>
      <c r="U38" s="205">
        <f>SUM(H38:T38)+D38+C38</f>
        <v>686400</v>
      </c>
      <c r="V38" s="277"/>
      <c r="W38" s="295"/>
      <c r="X38" s="216"/>
    </row>
    <row r="39" spans="1:24" s="217" customFormat="1" ht="15" outlineLevel="1">
      <c r="A39" s="207" t="s">
        <v>170</v>
      </c>
      <c r="B39" s="214" t="s">
        <v>132</v>
      </c>
      <c r="C39" s="204"/>
      <c r="D39" s="205">
        <v>0</v>
      </c>
      <c r="E39" s="204"/>
      <c r="F39" s="204"/>
      <c r="G39" s="204"/>
      <c r="H39" s="205">
        <f>SUMIF('Contract level'!$A:$A,"="&amp;'DFP-Com'!$A39,'Contract level'!AQ:AQ)</f>
        <v>0</v>
      </c>
      <c r="I39" s="205">
        <f>SUMIF('Contract level'!$A:$A,"="&amp;'DFP-Com'!$A39,'Contract level'!AR:AR)</f>
        <v>100000</v>
      </c>
      <c r="J39" s="205">
        <f>SUMIF('Contract level'!$A:$A,"="&amp;'DFP-Com'!$A39,'Contract level'!AS:AS)</f>
        <v>0</v>
      </c>
      <c r="K39" s="205">
        <f>SUMIF('Contract level'!$A:$A,"="&amp;'DFP-Com'!$A39,'Contract level'!AT:AT)</f>
        <v>0</v>
      </c>
      <c r="L39" s="205">
        <f>SUMIF('Contract level'!$A:$A,"="&amp;'DFP-Com'!$A39,'Contract level'!AU:AU)</f>
        <v>0</v>
      </c>
      <c r="M39" s="205">
        <f>SUMIF('Contract level'!$A:$A,"="&amp;'DFP-Com'!$A39,'Contract level'!AV:AV)</f>
        <v>0</v>
      </c>
      <c r="N39" s="205">
        <f>SUMIF('Contract level'!$A:$A,"="&amp;'DFP-Com'!$A39,'Contract level'!AW:AW)</f>
        <v>0</v>
      </c>
      <c r="O39" s="205">
        <f>SUMIF('Contract level'!$A:$A,"="&amp;'DFP-Com'!$A39,'Contract level'!AX:AX)</f>
        <v>0</v>
      </c>
      <c r="P39" s="205">
        <f>SUMIF('Contract level'!$A:$A,"="&amp;'DFP-Com'!$A39,'Contract level'!AY:AY)</f>
        <v>0</v>
      </c>
      <c r="Q39" s="205">
        <f>SUMIF('Contract level'!$A:$A,"="&amp;'DFP-Com'!$A39,'Contract level'!AZ:AZ)</f>
        <v>0</v>
      </c>
      <c r="R39" s="205">
        <f>SUMIF('Contract level'!$A:$A,"="&amp;'DFP-Com'!$A39,'Contract level'!BA:BA)</f>
        <v>0</v>
      </c>
      <c r="S39" s="205">
        <f>SUMIF('Contract level'!$A:$A,"="&amp;'DFP-Com'!$A39,'Contract level'!BB:BB)</f>
        <v>200000</v>
      </c>
      <c r="T39" s="305"/>
      <c r="U39" s="305">
        <f aca="true" t="shared" si="14" ref="U39:U41">SUM(H39:T39)+D39+C39</f>
        <v>300000</v>
      </c>
      <c r="V39" s="277"/>
      <c r="W39" s="295"/>
      <c r="X39" s="216"/>
    </row>
    <row r="40" spans="1:24" s="217" customFormat="1" ht="15" outlineLevel="1">
      <c r="A40" s="207" t="s">
        <v>171</v>
      </c>
      <c r="B40" s="214" t="s">
        <v>133</v>
      </c>
      <c r="C40" s="204"/>
      <c r="D40" s="205">
        <v>0</v>
      </c>
      <c r="E40" s="204"/>
      <c r="F40" s="204"/>
      <c r="G40" s="204"/>
      <c r="H40" s="205">
        <f>SUMIF('Contract level'!$A:$A,"="&amp;'DFP-Com'!$A40,'Contract level'!AQ:AQ)</f>
        <v>0</v>
      </c>
      <c r="I40" s="205">
        <f>SUMIF('Contract level'!$A:$A,"="&amp;'DFP-Com'!$A40,'Contract level'!AR:AR)</f>
        <v>0</v>
      </c>
      <c r="J40" s="205">
        <f>SUMIF('Contract level'!$A:$A,"="&amp;'DFP-Com'!$A40,'Contract level'!AS:AS)</f>
        <v>0</v>
      </c>
      <c r="K40" s="205">
        <f>SUMIF('Contract level'!$A:$A,"="&amp;'DFP-Com'!$A40,'Contract level'!AT:AT)</f>
        <v>100000</v>
      </c>
      <c r="L40" s="205">
        <f>SUMIF('Contract level'!$A:$A,"="&amp;'DFP-Com'!$A40,'Contract level'!AU:AU)</f>
        <v>0</v>
      </c>
      <c r="M40" s="205">
        <f>SUMIF('Contract level'!$A:$A,"="&amp;'DFP-Com'!$A40,'Contract level'!AV:AV)</f>
        <v>0</v>
      </c>
      <c r="N40" s="205">
        <f>SUMIF('Contract level'!$A:$A,"="&amp;'DFP-Com'!$A40,'Contract level'!AW:AW)</f>
        <v>0</v>
      </c>
      <c r="O40" s="205">
        <f>SUMIF('Contract level'!$A:$A,"="&amp;'DFP-Com'!$A40,'Contract level'!AX:AX)</f>
        <v>0</v>
      </c>
      <c r="P40" s="205">
        <f>SUMIF('Contract level'!$A:$A,"="&amp;'DFP-Com'!$A40,'Contract level'!AY:AY)</f>
        <v>0</v>
      </c>
      <c r="Q40" s="205">
        <f>SUMIF('Contract level'!$A:$A,"="&amp;'DFP-Com'!$A40,'Contract level'!AZ:AZ)</f>
        <v>0</v>
      </c>
      <c r="R40" s="205">
        <f>SUMIF('Contract level'!$A:$A,"="&amp;'DFP-Com'!$A40,'Contract level'!BA:BA)</f>
        <v>0</v>
      </c>
      <c r="S40" s="205">
        <f>SUMIF('Contract level'!$A:$A,"="&amp;'DFP-Com'!$A40,'Contract level'!BB:BB)</f>
        <v>200000</v>
      </c>
      <c r="T40" s="305"/>
      <c r="U40" s="305">
        <f t="shared" si="14"/>
        <v>300000</v>
      </c>
      <c r="V40" s="277"/>
      <c r="W40" s="295"/>
      <c r="X40" s="216"/>
    </row>
    <row r="41" spans="1:24" s="217" customFormat="1" ht="15" outlineLevel="1">
      <c r="A41" s="207" t="s">
        <v>172</v>
      </c>
      <c r="B41" s="214" t="s">
        <v>143</v>
      </c>
      <c r="C41" s="204"/>
      <c r="D41" s="205">
        <v>0</v>
      </c>
      <c r="E41" s="204"/>
      <c r="F41" s="204"/>
      <c r="G41" s="204"/>
      <c r="H41" s="205">
        <f>SUMIF('Contract level'!$A:$A,"="&amp;'DFP-Com'!$A41,'Contract level'!AQ:AQ)</f>
        <v>0</v>
      </c>
      <c r="I41" s="205">
        <f>SUMIF('Contract level'!$A:$A,"="&amp;'DFP-Com'!$A41,'Contract level'!AR:AR)</f>
        <v>0</v>
      </c>
      <c r="J41" s="205">
        <f>SUMIF('Contract level'!$A:$A,"="&amp;'DFP-Com'!$A41,'Contract level'!AS:AS)</f>
        <v>0</v>
      </c>
      <c r="K41" s="205">
        <f>SUMIF('Contract level'!$A:$A,"="&amp;'DFP-Com'!$A41,'Contract level'!AT:AT)</f>
        <v>0</v>
      </c>
      <c r="L41" s="205">
        <f>SUMIF('Contract level'!$A:$A,"="&amp;'DFP-Com'!$A41,'Contract level'!AU:AU)</f>
        <v>0</v>
      </c>
      <c r="M41" s="205">
        <f>SUMIF('Contract level'!$A:$A,"="&amp;'DFP-Com'!$A41,'Contract level'!AV:AV)</f>
        <v>0</v>
      </c>
      <c r="N41" s="205">
        <f>SUMIF('Contract level'!$A:$A,"="&amp;'DFP-Com'!$A41,'Contract level'!AW:AW)</f>
        <v>0</v>
      </c>
      <c r="O41" s="205">
        <f>SUMIF('Contract level'!$A:$A,"="&amp;'DFP-Com'!$A41,'Contract level'!AX:AX)</f>
        <v>0</v>
      </c>
      <c r="P41" s="205">
        <f>SUMIF('Contract level'!$A:$A,"="&amp;'DFP-Com'!$A41,'Contract level'!AY:AY)</f>
        <v>0</v>
      </c>
      <c r="Q41" s="205">
        <f>SUMIF('Contract level'!$A:$A,"="&amp;'DFP-Com'!$A41,'Contract level'!AZ:AZ)</f>
        <v>0</v>
      </c>
      <c r="R41" s="205">
        <f>SUMIF('Contract level'!$A:$A,"="&amp;'DFP-Com'!$A41,'Contract level'!BA:BA)</f>
        <v>0</v>
      </c>
      <c r="S41" s="205">
        <f>SUMIF('Contract level'!$A:$A,"="&amp;'DFP-Com'!$A41,'Contract level'!BB:BB)</f>
        <v>200000</v>
      </c>
      <c r="T41" s="305"/>
      <c r="U41" s="305">
        <f t="shared" si="14"/>
        <v>200000</v>
      </c>
      <c r="V41" s="277"/>
      <c r="W41" s="295"/>
      <c r="X41" s="216"/>
    </row>
    <row r="42" spans="1:24" s="39" customFormat="1" ht="15">
      <c r="A42" s="207"/>
      <c r="B42" s="60" t="s">
        <v>19</v>
      </c>
      <c r="C42" s="200">
        <f>C37</f>
        <v>0</v>
      </c>
      <c r="D42" s="200">
        <f aca="true" t="shared" si="15" ref="D42:W42">D37</f>
        <v>86400</v>
      </c>
      <c r="E42" s="200">
        <f t="shared" si="15"/>
        <v>0</v>
      </c>
      <c r="F42" s="200">
        <f t="shared" si="15"/>
        <v>0</v>
      </c>
      <c r="G42" s="200">
        <f t="shared" si="15"/>
        <v>0</v>
      </c>
      <c r="H42" s="200">
        <f t="shared" si="15"/>
        <v>0</v>
      </c>
      <c r="I42" s="200">
        <f t="shared" si="15"/>
        <v>200000</v>
      </c>
      <c r="J42" s="200">
        <f t="shared" si="15"/>
        <v>0</v>
      </c>
      <c r="K42" s="200">
        <f t="shared" si="15"/>
        <v>100000</v>
      </c>
      <c r="L42" s="200">
        <f t="shared" si="15"/>
        <v>0</v>
      </c>
      <c r="M42" s="200">
        <f t="shared" si="15"/>
        <v>0</v>
      </c>
      <c r="N42" s="200">
        <f t="shared" si="15"/>
        <v>0</v>
      </c>
      <c r="O42" s="200">
        <f t="shared" si="15"/>
        <v>0</v>
      </c>
      <c r="P42" s="200">
        <f aca="true" t="shared" si="16" ref="P42:S42">P37</f>
        <v>500000</v>
      </c>
      <c r="Q42" s="200">
        <f t="shared" si="16"/>
        <v>0</v>
      </c>
      <c r="R42" s="200">
        <f t="shared" si="16"/>
        <v>0</v>
      </c>
      <c r="S42" s="200">
        <f t="shared" si="16"/>
        <v>400000</v>
      </c>
      <c r="T42" s="200"/>
      <c r="U42" s="200">
        <f t="shared" si="15"/>
        <v>1286400</v>
      </c>
      <c r="V42" s="278">
        <f t="shared" si="15"/>
        <v>1700000</v>
      </c>
      <c r="W42" s="296">
        <f t="shared" si="15"/>
        <v>413600</v>
      </c>
      <c r="X42" s="38"/>
    </row>
    <row r="43" spans="1:24" s="39" customFormat="1" ht="15">
      <c r="A43" s="207"/>
      <c r="B43" s="55"/>
      <c r="C43" s="279"/>
      <c r="D43" s="219"/>
      <c r="E43" s="219"/>
      <c r="F43" s="219"/>
      <c r="G43" s="219"/>
      <c r="H43" s="219"/>
      <c r="I43" s="219"/>
      <c r="J43" s="219"/>
      <c r="K43" s="219"/>
      <c r="L43" s="219"/>
      <c r="M43" s="219"/>
      <c r="N43" s="219"/>
      <c r="O43" s="219"/>
      <c r="P43" s="219"/>
      <c r="Q43" s="219"/>
      <c r="R43" s="219"/>
      <c r="S43" s="219"/>
      <c r="T43" s="219"/>
      <c r="U43" s="219"/>
      <c r="V43" s="275"/>
      <c r="W43" s="293"/>
      <c r="X43" s="38"/>
    </row>
    <row r="44" spans="1:24" s="65" customFormat="1" ht="15">
      <c r="A44" s="207"/>
      <c r="B44" s="46" t="s">
        <v>96</v>
      </c>
      <c r="C44" s="281"/>
      <c r="D44" s="272"/>
      <c r="E44" s="272"/>
      <c r="F44" s="272"/>
      <c r="G44" s="272"/>
      <c r="H44" s="272"/>
      <c r="I44" s="272"/>
      <c r="J44" s="272"/>
      <c r="K44" s="272"/>
      <c r="L44" s="272"/>
      <c r="M44" s="272"/>
      <c r="N44" s="272"/>
      <c r="O44" s="272"/>
      <c r="P44" s="272"/>
      <c r="Q44" s="272"/>
      <c r="R44" s="272"/>
      <c r="S44" s="272"/>
      <c r="T44" s="272"/>
      <c r="U44" s="220"/>
      <c r="V44" s="276"/>
      <c r="W44" s="294"/>
      <c r="X44" s="64"/>
    </row>
    <row r="45" spans="1:24" s="39" customFormat="1" ht="15" outlineLevel="1">
      <c r="A45" s="207"/>
      <c r="B45" s="67" t="s">
        <v>106</v>
      </c>
      <c r="C45" s="199">
        <f aca="true" t="shared" si="17" ref="C45:O45">SUM(C46:C49)</f>
        <v>185458.4</v>
      </c>
      <c r="D45" s="199">
        <f t="shared" si="17"/>
        <v>16105.46</v>
      </c>
      <c r="E45" s="199">
        <f t="shared" si="17"/>
        <v>29200</v>
      </c>
      <c r="F45" s="199">
        <f t="shared" si="17"/>
        <v>2000</v>
      </c>
      <c r="G45" s="199">
        <f t="shared" si="17"/>
        <v>6500</v>
      </c>
      <c r="H45" s="199">
        <f t="shared" si="17"/>
        <v>37700</v>
      </c>
      <c r="I45" s="199">
        <f t="shared" si="17"/>
        <v>141900</v>
      </c>
      <c r="J45" s="199">
        <f t="shared" si="17"/>
        <v>98700</v>
      </c>
      <c r="K45" s="199">
        <f t="shared" si="17"/>
        <v>22900</v>
      </c>
      <c r="L45" s="199">
        <f t="shared" si="17"/>
        <v>3900</v>
      </c>
      <c r="M45" s="199">
        <f t="shared" si="17"/>
        <v>51900</v>
      </c>
      <c r="N45" s="199">
        <f t="shared" si="17"/>
        <v>98700</v>
      </c>
      <c r="O45" s="199">
        <f t="shared" si="17"/>
        <v>21900</v>
      </c>
      <c r="P45" s="199">
        <f aca="true" t="shared" si="18" ref="P45:S45">SUM(P46:P49)</f>
        <v>3900</v>
      </c>
      <c r="Q45" s="199">
        <f t="shared" si="18"/>
        <v>39900</v>
      </c>
      <c r="R45" s="199">
        <f t="shared" si="18"/>
        <v>51300</v>
      </c>
      <c r="S45" s="199">
        <f t="shared" si="18"/>
        <v>8332</v>
      </c>
      <c r="T45" s="199"/>
      <c r="U45" s="222">
        <f>C45+D45+SUM(H45:S45)</f>
        <v>782595.86</v>
      </c>
      <c r="V45" s="201">
        <f>'QFR - B'!G27</f>
        <v>800000</v>
      </c>
      <c r="W45" s="290">
        <f>V45-U45</f>
        <v>17404.140000000014</v>
      </c>
      <c r="X45" s="38"/>
    </row>
    <row r="46" spans="1:24" s="210" customFormat="1" ht="12.75" customHeight="1" outlineLevel="1">
      <c r="A46" s="207" t="s">
        <v>173</v>
      </c>
      <c r="B46" s="218" t="s">
        <v>153</v>
      </c>
      <c r="C46" s="204">
        <f>73000+102720</f>
        <v>175720</v>
      </c>
      <c r="D46" s="205">
        <v>9999</v>
      </c>
      <c r="E46" s="304">
        <v>26400</v>
      </c>
      <c r="F46" s="304"/>
      <c r="G46" s="304"/>
      <c r="H46" s="205">
        <f>SUMIF('Contract level'!$A:$A,"="&amp;'DFP-Com'!$A46,'Contract level'!AQ:AQ)</f>
        <v>26400</v>
      </c>
      <c r="I46" s="205">
        <f>SUMIF('Contract level'!$A:$A,"="&amp;'DFP-Com'!$A46,'Contract level'!AR:AR)</f>
        <v>48000</v>
      </c>
      <c r="J46" s="205">
        <f>SUMIF('Contract level'!$A:$A,"="&amp;'DFP-Com'!$A46,'Contract level'!AS:AS)</f>
        <v>94800</v>
      </c>
      <c r="K46" s="205">
        <f>SUMIF('Contract level'!$A:$A,"="&amp;'DFP-Com'!$A46,'Contract level'!AT:AT)</f>
        <v>18000</v>
      </c>
      <c r="L46" s="205">
        <f>SUMIF('Contract level'!$A:$A,"="&amp;'DFP-Com'!$A46,'Contract level'!AU:AU)</f>
        <v>0</v>
      </c>
      <c r="M46" s="205">
        <f>SUMIF('Contract level'!$A:$A,"="&amp;'DFP-Com'!$A46,'Contract level'!AV:AV)</f>
        <v>48000</v>
      </c>
      <c r="N46" s="205">
        <f>SUMIF('Contract level'!$A:$A,"="&amp;'DFP-Com'!$A46,'Contract level'!AW:AW)</f>
        <v>94800</v>
      </c>
      <c r="O46" s="205">
        <f>SUMIF('Contract level'!$A:$A,"="&amp;'DFP-Com'!$A46,'Contract level'!AX:AX)</f>
        <v>18000</v>
      </c>
      <c r="P46" s="205">
        <f>SUMIF('Contract level'!$A:$A,"="&amp;'DFP-Com'!$A46,'Contract level'!AY:AY)</f>
        <v>0</v>
      </c>
      <c r="Q46" s="205">
        <f>SUMIF('Contract level'!$A:$A,"="&amp;'DFP-Com'!$A46,'Contract level'!AZ:AZ)</f>
        <v>36000</v>
      </c>
      <c r="R46" s="205">
        <f>SUMIF('Contract level'!$A:$A,"="&amp;'DFP-Com'!$A46,'Contract level'!BA:BA)</f>
        <v>47400</v>
      </c>
      <c r="S46" s="205">
        <f>SUMIF('Contract level'!$A:$A,"="&amp;'DFP-Com'!$A46,'Contract level'!BB:BB)</f>
        <v>4500</v>
      </c>
      <c r="T46" s="305"/>
      <c r="U46" s="205">
        <f>SUM(H46:T46)+D46+C46</f>
        <v>621619</v>
      </c>
      <c r="V46" s="277"/>
      <c r="W46" s="291"/>
      <c r="X46" s="209"/>
    </row>
    <row r="47" spans="1:24" s="210" customFormat="1" ht="15" outlineLevel="1">
      <c r="A47" s="207" t="s">
        <v>174</v>
      </c>
      <c r="B47" s="218" t="s">
        <v>154</v>
      </c>
      <c r="C47" s="204"/>
      <c r="D47" s="205">
        <v>0</v>
      </c>
      <c r="E47" s="204">
        <v>2000</v>
      </c>
      <c r="F47" s="204">
        <v>0</v>
      </c>
      <c r="G47" s="204">
        <v>4500</v>
      </c>
      <c r="H47" s="205">
        <f>SUMIF('Contract level'!$A:$A,"="&amp;'DFP-Com'!$A47,'Contract level'!AQ:AQ)</f>
        <v>6500</v>
      </c>
      <c r="I47" s="205">
        <f>SUMIF('Contract level'!$A:$A,"="&amp;'DFP-Com'!$A47,'Contract level'!AR:AR)</f>
        <v>2500</v>
      </c>
      <c r="J47" s="205">
        <f>SUMIF('Contract level'!$A:$A,"="&amp;'DFP-Com'!$A47,'Contract level'!AS:AS)</f>
        <v>2500</v>
      </c>
      <c r="K47" s="205">
        <f>SUMIF('Contract level'!$A:$A,"="&amp;'DFP-Com'!$A47,'Contract level'!AT:AT)</f>
        <v>3500</v>
      </c>
      <c r="L47" s="205">
        <f>SUMIF('Contract level'!$A:$A,"="&amp;'DFP-Com'!$A47,'Contract level'!AU:AU)</f>
        <v>2500</v>
      </c>
      <c r="M47" s="205">
        <f>SUMIF('Contract level'!$A:$A,"="&amp;'DFP-Com'!$A47,'Contract level'!AV:AV)</f>
        <v>2500</v>
      </c>
      <c r="N47" s="205">
        <f>SUMIF('Contract level'!$A:$A,"="&amp;'DFP-Com'!$A47,'Contract level'!AW:AW)</f>
        <v>2500</v>
      </c>
      <c r="O47" s="205">
        <f>SUMIF('Contract level'!$A:$A,"="&amp;'DFP-Com'!$A47,'Contract level'!AX:AX)</f>
        <v>2500</v>
      </c>
      <c r="P47" s="205">
        <f>SUMIF('Contract level'!$A:$A,"="&amp;'DFP-Com'!$A47,'Contract level'!AY:AY)</f>
        <v>2500</v>
      </c>
      <c r="Q47" s="205">
        <f>SUMIF('Contract level'!$A:$A,"="&amp;'DFP-Com'!$A47,'Contract level'!AZ:AZ)</f>
        <v>2500</v>
      </c>
      <c r="R47" s="205">
        <f>SUMIF('Contract level'!$A:$A,"="&amp;'DFP-Com'!$A47,'Contract level'!BA:BA)</f>
        <v>2500</v>
      </c>
      <c r="S47" s="205">
        <f>SUMIF('Contract level'!$A:$A,"="&amp;'DFP-Com'!$A47,'Contract level'!BB:BB)</f>
        <v>2500</v>
      </c>
      <c r="T47" s="305"/>
      <c r="U47" s="305">
        <f aca="true" t="shared" si="19" ref="U47:U49">SUM(H47:T47)+D47+C47</f>
        <v>35000</v>
      </c>
      <c r="V47" s="277"/>
      <c r="W47" s="295"/>
      <c r="X47" s="209"/>
    </row>
    <row r="48" spans="1:24" s="210" customFormat="1" ht="15" outlineLevel="1">
      <c r="A48" s="207" t="s">
        <v>175</v>
      </c>
      <c r="B48" s="218" t="s">
        <v>155</v>
      </c>
      <c r="C48" s="204"/>
      <c r="D48" s="205">
        <v>0</v>
      </c>
      <c r="E48" s="204"/>
      <c r="F48" s="204"/>
      <c r="G48" s="204"/>
      <c r="H48" s="205">
        <f>SUMIF('Contract level'!$A:$A,"="&amp;'DFP-Com'!$A48,'Contract level'!AQ:AQ)</f>
        <v>0</v>
      </c>
      <c r="I48" s="205">
        <f>SUMIF('Contract level'!$A:$A,"="&amp;'DFP-Com'!$A48,'Contract level'!AR:AR)</f>
        <v>90000</v>
      </c>
      <c r="J48" s="205">
        <f>SUMIF('Contract level'!$A:$A,"="&amp;'DFP-Com'!$A48,'Contract level'!AS:AS)</f>
        <v>0</v>
      </c>
      <c r="K48" s="205">
        <f>SUMIF('Contract level'!$A:$A,"="&amp;'DFP-Com'!$A48,'Contract level'!AT:AT)</f>
        <v>0</v>
      </c>
      <c r="L48" s="205">
        <f>SUMIF('Contract level'!$A:$A,"="&amp;'DFP-Com'!$A48,'Contract level'!AU:AU)</f>
        <v>0</v>
      </c>
      <c r="M48" s="205">
        <f>SUMIF('Contract level'!$A:$A,"="&amp;'DFP-Com'!$A48,'Contract level'!AV:AV)</f>
        <v>0</v>
      </c>
      <c r="N48" s="205">
        <f>SUMIF('Contract level'!$A:$A,"="&amp;'DFP-Com'!$A48,'Contract level'!AW:AW)</f>
        <v>0</v>
      </c>
      <c r="O48" s="205">
        <f>SUMIF('Contract level'!$A:$A,"="&amp;'DFP-Com'!$A48,'Contract level'!AX:AX)</f>
        <v>0</v>
      </c>
      <c r="P48" s="205">
        <f>SUMIF('Contract level'!$A:$A,"="&amp;'DFP-Com'!$A48,'Contract level'!AY:AY)</f>
        <v>0</v>
      </c>
      <c r="Q48" s="205">
        <f>SUMIF('Contract level'!$A:$A,"="&amp;'DFP-Com'!$A48,'Contract level'!AZ:AZ)</f>
        <v>0</v>
      </c>
      <c r="R48" s="205">
        <f>SUMIF('Contract level'!$A:$A,"="&amp;'DFP-Com'!$A48,'Contract level'!BA:BA)</f>
        <v>0</v>
      </c>
      <c r="S48" s="205">
        <f>SUMIF('Contract level'!$A:$A,"="&amp;'DFP-Com'!$A48,'Contract level'!BB:BB)</f>
        <v>0</v>
      </c>
      <c r="T48" s="305"/>
      <c r="U48" s="305">
        <f t="shared" si="19"/>
        <v>90000</v>
      </c>
      <c r="V48" s="277"/>
      <c r="W48" s="295"/>
      <c r="X48" s="209"/>
    </row>
    <row r="49" spans="1:24" s="210" customFormat="1" ht="15" outlineLevel="1">
      <c r="A49" s="207" t="s">
        <v>176</v>
      </c>
      <c r="B49" s="218" t="s">
        <v>156</v>
      </c>
      <c r="C49" s="204">
        <v>9738.4</v>
      </c>
      <c r="D49" s="305">
        <v>6106.46</v>
      </c>
      <c r="E49" s="304">
        <v>800</v>
      </c>
      <c r="F49" s="204">
        <v>2000</v>
      </c>
      <c r="G49" s="304">
        <v>2000</v>
      </c>
      <c r="H49" s="205">
        <f>SUMIF('Contract level'!$A:$A,"="&amp;'DFP-Com'!$A49,'Contract level'!AQ:AQ)</f>
        <v>4800</v>
      </c>
      <c r="I49" s="205">
        <f>SUMIF('Contract level'!$A:$A,"="&amp;'DFP-Com'!$A49,'Contract level'!AR:AR)</f>
        <v>1400</v>
      </c>
      <c r="J49" s="205">
        <f>SUMIF('Contract level'!$A:$A,"="&amp;'DFP-Com'!$A49,'Contract level'!AS:AS)</f>
        <v>1400</v>
      </c>
      <c r="K49" s="205">
        <f>SUMIF('Contract level'!$A:$A,"="&amp;'DFP-Com'!$A49,'Contract level'!AT:AT)</f>
        <v>1400</v>
      </c>
      <c r="L49" s="205">
        <f>SUMIF('Contract level'!$A:$A,"="&amp;'DFP-Com'!$A49,'Contract level'!AU:AU)</f>
        <v>1400</v>
      </c>
      <c r="M49" s="205">
        <f>SUMIF('Contract level'!$A:$A,"="&amp;'DFP-Com'!$A49,'Contract level'!AV:AV)</f>
        <v>1400</v>
      </c>
      <c r="N49" s="205">
        <f>SUMIF('Contract level'!$A:$A,"="&amp;'DFP-Com'!$A49,'Contract level'!AW:AW)</f>
        <v>1400</v>
      </c>
      <c r="O49" s="205">
        <f>SUMIF('Contract level'!$A:$A,"="&amp;'DFP-Com'!$A49,'Contract level'!AX:AX)</f>
        <v>1400</v>
      </c>
      <c r="P49" s="205">
        <f>SUMIF('Contract level'!$A:$A,"="&amp;'DFP-Com'!$A49,'Contract level'!AY:AY)</f>
        <v>1400</v>
      </c>
      <c r="Q49" s="205">
        <f>SUMIF('Contract level'!$A:$A,"="&amp;'DFP-Com'!$A49,'Contract level'!AZ:AZ)</f>
        <v>1400</v>
      </c>
      <c r="R49" s="205">
        <f>SUMIF('Contract level'!$A:$A,"="&amp;'DFP-Com'!$A49,'Contract level'!BA:BA)</f>
        <v>1400</v>
      </c>
      <c r="S49" s="205">
        <f>SUMIF('Contract level'!$A:$A,"="&amp;'DFP-Com'!$A49,'Contract level'!BB:BB)</f>
        <v>1332</v>
      </c>
      <c r="T49" s="305"/>
      <c r="U49" s="305">
        <f t="shared" si="19"/>
        <v>35976.86</v>
      </c>
      <c r="V49" s="277"/>
      <c r="W49" s="295"/>
      <c r="X49" s="209"/>
    </row>
    <row r="50" spans="1:24" s="65" customFormat="1" ht="15">
      <c r="A50" s="10"/>
      <c r="B50" s="68" t="s">
        <v>105</v>
      </c>
      <c r="C50" s="200">
        <f aca="true" t="shared" si="20" ref="C50:W50">C45</f>
        <v>185458.4</v>
      </c>
      <c r="D50" s="200">
        <f t="shared" si="20"/>
        <v>16105.46</v>
      </c>
      <c r="E50" s="200">
        <f t="shared" si="20"/>
        <v>29200</v>
      </c>
      <c r="F50" s="200">
        <f t="shared" si="20"/>
        <v>2000</v>
      </c>
      <c r="G50" s="200">
        <f t="shared" si="20"/>
        <v>6500</v>
      </c>
      <c r="H50" s="200">
        <f t="shared" si="20"/>
        <v>37700</v>
      </c>
      <c r="I50" s="200">
        <f t="shared" si="20"/>
        <v>141900</v>
      </c>
      <c r="J50" s="200">
        <f t="shared" si="20"/>
        <v>98700</v>
      </c>
      <c r="K50" s="200">
        <f t="shared" si="20"/>
        <v>22900</v>
      </c>
      <c r="L50" s="200">
        <f t="shared" si="20"/>
        <v>3900</v>
      </c>
      <c r="M50" s="200">
        <f t="shared" si="20"/>
        <v>51900</v>
      </c>
      <c r="N50" s="200">
        <f t="shared" si="20"/>
        <v>98700</v>
      </c>
      <c r="O50" s="200">
        <f t="shared" si="20"/>
        <v>21900</v>
      </c>
      <c r="P50" s="200">
        <f aca="true" t="shared" si="21" ref="P50:S50">P45</f>
        <v>3900</v>
      </c>
      <c r="Q50" s="200">
        <f t="shared" si="21"/>
        <v>39900</v>
      </c>
      <c r="R50" s="200">
        <f t="shared" si="21"/>
        <v>51300</v>
      </c>
      <c r="S50" s="200">
        <f t="shared" si="21"/>
        <v>8332</v>
      </c>
      <c r="T50" s="200"/>
      <c r="U50" s="200">
        <f t="shared" si="20"/>
        <v>782595.86</v>
      </c>
      <c r="V50" s="278">
        <f t="shared" si="20"/>
        <v>800000</v>
      </c>
      <c r="W50" s="296">
        <f t="shared" si="20"/>
        <v>17404.140000000014</v>
      </c>
      <c r="X50" s="64"/>
    </row>
    <row r="51" spans="1:24" s="39" customFormat="1" ht="15">
      <c r="A51" s="5"/>
      <c r="B51" s="55"/>
      <c r="C51" s="279"/>
      <c r="D51" s="219"/>
      <c r="E51" s="219"/>
      <c r="F51" s="219"/>
      <c r="G51" s="219"/>
      <c r="H51" s="219"/>
      <c r="I51" s="219"/>
      <c r="J51" s="219"/>
      <c r="K51" s="219"/>
      <c r="L51" s="219"/>
      <c r="M51" s="219"/>
      <c r="N51" s="219"/>
      <c r="O51" s="219"/>
      <c r="P51" s="219"/>
      <c r="Q51" s="219"/>
      <c r="R51" s="219"/>
      <c r="S51" s="219"/>
      <c r="T51" s="219"/>
      <c r="U51" s="221"/>
      <c r="V51" s="275"/>
      <c r="W51" s="297"/>
      <c r="X51" s="38"/>
    </row>
    <row r="52" spans="1:24" s="230" customFormat="1" ht="13.5" customHeight="1" thickBot="1">
      <c r="A52" s="226"/>
      <c r="B52" s="231" t="s">
        <v>149</v>
      </c>
      <c r="C52" s="228">
        <f aca="true" t="shared" si="22" ref="C52:W52">C50+C42+C34+C25</f>
        <v>287108.4</v>
      </c>
      <c r="D52" s="228">
        <f t="shared" si="22"/>
        <v>11374080.46</v>
      </c>
      <c r="E52" s="228">
        <f t="shared" si="22"/>
        <v>34200</v>
      </c>
      <c r="F52" s="228">
        <f t="shared" si="22"/>
        <v>50000</v>
      </c>
      <c r="G52" s="228">
        <f t="shared" si="22"/>
        <v>576500</v>
      </c>
      <c r="H52" s="228">
        <f t="shared" si="22"/>
        <v>660700</v>
      </c>
      <c r="I52" s="228">
        <f t="shared" si="22"/>
        <v>4341900</v>
      </c>
      <c r="J52" s="228">
        <f t="shared" si="22"/>
        <v>4331700</v>
      </c>
      <c r="K52" s="228">
        <f t="shared" si="22"/>
        <v>462900</v>
      </c>
      <c r="L52" s="228">
        <f t="shared" si="22"/>
        <v>207400</v>
      </c>
      <c r="M52" s="228">
        <f t="shared" si="22"/>
        <v>51900</v>
      </c>
      <c r="N52" s="228">
        <f t="shared" si="22"/>
        <v>134700</v>
      </c>
      <c r="O52" s="228">
        <f t="shared" si="22"/>
        <v>21900</v>
      </c>
      <c r="P52" s="228">
        <f aca="true" t="shared" si="23" ref="P52:S52">P50+P42+P34+P25</f>
        <v>569900</v>
      </c>
      <c r="Q52" s="228">
        <f t="shared" si="23"/>
        <v>39900</v>
      </c>
      <c r="R52" s="228">
        <f t="shared" si="23"/>
        <v>69300</v>
      </c>
      <c r="S52" s="228">
        <f t="shared" si="23"/>
        <v>408332</v>
      </c>
      <c r="T52" s="228"/>
      <c r="U52" s="228">
        <f t="shared" si="22"/>
        <v>22961720.86</v>
      </c>
      <c r="V52" s="228">
        <f t="shared" si="22"/>
        <v>26200000</v>
      </c>
      <c r="W52" s="298">
        <f t="shared" si="22"/>
        <v>3238279.14</v>
      </c>
      <c r="X52" s="229"/>
    </row>
    <row r="53" spans="2:23" ht="13.5" thickTop="1">
      <c r="B53" s="7" t="s">
        <v>288</v>
      </c>
      <c r="C53" s="282"/>
      <c r="D53" s="273"/>
      <c r="H53" s="273"/>
      <c r="I53" s="273"/>
      <c r="J53" s="273"/>
      <c r="K53" s="273"/>
      <c r="L53" s="273"/>
      <c r="M53" s="273"/>
      <c r="N53" s="273"/>
      <c r="O53" s="273"/>
      <c r="P53" s="273"/>
      <c r="Q53" s="273"/>
      <c r="R53" s="273"/>
      <c r="S53" s="273"/>
      <c r="T53" s="273"/>
      <c r="U53" s="273"/>
      <c r="V53" s="283"/>
      <c r="W53" s="299"/>
    </row>
    <row r="54" spans="2:23" ht="25.35" customHeight="1">
      <c r="B54" s="343" t="s">
        <v>152</v>
      </c>
      <c r="C54" s="343"/>
      <c r="D54" s="343"/>
      <c r="E54" s="343"/>
      <c r="F54" s="343"/>
      <c r="G54" s="343"/>
      <c r="H54" s="273"/>
      <c r="I54" s="273"/>
      <c r="J54" s="273"/>
      <c r="K54" s="273"/>
      <c r="L54" s="273"/>
      <c r="M54" s="273"/>
      <c r="N54" s="273"/>
      <c r="O54" s="273"/>
      <c r="P54" s="273"/>
      <c r="Q54" s="273"/>
      <c r="R54" s="273"/>
      <c r="S54" s="273"/>
      <c r="T54" s="273"/>
      <c r="U54" s="273"/>
      <c r="V54" s="283"/>
      <c r="W54" s="300"/>
    </row>
    <row r="55" spans="2:23" ht="15">
      <c r="B55" s="7"/>
      <c r="C55" s="282"/>
      <c r="D55" s="273"/>
      <c r="H55" s="273"/>
      <c r="I55" s="273"/>
      <c r="J55" s="273"/>
      <c r="K55" s="273"/>
      <c r="L55" s="273"/>
      <c r="M55" s="273"/>
      <c r="N55" s="273"/>
      <c r="O55" s="273"/>
      <c r="P55" s="273"/>
      <c r="Q55" s="273"/>
      <c r="R55" s="273"/>
      <c r="S55" s="273">
        <f>120000-42000</f>
        <v>78000</v>
      </c>
      <c r="T55" s="273"/>
      <c r="U55" s="273"/>
      <c r="V55" s="283"/>
      <c r="W55" s="299"/>
    </row>
    <row r="56" spans="2:23" ht="15">
      <c r="B56" s="7"/>
      <c r="C56" s="282"/>
      <c r="D56" s="273"/>
      <c r="H56" s="273"/>
      <c r="I56" s="273"/>
      <c r="J56" s="273"/>
      <c r="K56" s="273"/>
      <c r="L56" s="273"/>
      <c r="M56" s="273"/>
      <c r="N56" s="273"/>
      <c r="O56" s="273"/>
      <c r="P56" s="273"/>
      <c r="Q56" s="273"/>
      <c r="R56" s="273"/>
      <c r="S56" s="273"/>
      <c r="T56" s="273"/>
      <c r="U56" s="273"/>
      <c r="V56" s="283"/>
      <c r="W56" s="300"/>
    </row>
    <row r="57" spans="2:23" ht="15">
      <c r="B57" s="7"/>
      <c r="C57" s="282"/>
      <c r="D57" s="273"/>
      <c r="H57" s="273"/>
      <c r="I57" s="273"/>
      <c r="J57" s="273"/>
      <c r="K57" s="273"/>
      <c r="L57" s="273"/>
      <c r="M57" s="273"/>
      <c r="N57" s="273"/>
      <c r="O57" s="273"/>
      <c r="P57" s="273"/>
      <c r="Q57" s="273"/>
      <c r="R57" s="273"/>
      <c r="S57" s="273"/>
      <c r="T57" s="273"/>
      <c r="U57" s="273"/>
      <c r="V57" s="283"/>
      <c r="W57" s="300"/>
    </row>
    <row r="58" spans="2:23" ht="15">
      <c r="B58" s="7"/>
      <c r="C58" s="282"/>
      <c r="D58" s="273"/>
      <c r="H58" s="273"/>
      <c r="I58" s="273"/>
      <c r="J58" s="273"/>
      <c r="K58" s="273"/>
      <c r="L58" s="273"/>
      <c r="M58" s="273"/>
      <c r="N58" s="273"/>
      <c r="O58" s="273"/>
      <c r="P58" s="273"/>
      <c r="Q58" s="273"/>
      <c r="R58" s="273"/>
      <c r="S58" s="273"/>
      <c r="T58" s="273"/>
      <c r="U58" s="273"/>
      <c r="V58" s="283"/>
      <c r="W58" s="300"/>
    </row>
    <row r="59" spans="2:23" ht="15">
      <c r="B59" s="7"/>
      <c r="C59" s="282"/>
      <c r="D59" s="273"/>
      <c r="H59" s="273"/>
      <c r="I59" s="273"/>
      <c r="J59" s="273"/>
      <c r="K59" s="273"/>
      <c r="L59" s="273"/>
      <c r="M59" s="273"/>
      <c r="N59" s="273"/>
      <c r="O59" s="273"/>
      <c r="P59" s="273"/>
      <c r="Q59" s="273"/>
      <c r="R59" s="273"/>
      <c r="S59" s="273"/>
      <c r="T59" s="273"/>
      <c r="U59" s="273"/>
      <c r="V59" s="283"/>
      <c r="W59" s="300"/>
    </row>
    <row r="60" spans="2:23" ht="15">
      <c r="B60" s="7"/>
      <c r="C60" s="282"/>
      <c r="D60" s="273"/>
      <c r="H60" s="273"/>
      <c r="I60" s="273"/>
      <c r="J60" s="273"/>
      <c r="K60" s="273"/>
      <c r="L60" s="273"/>
      <c r="M60" s="273"/>
      <c r="N60" s="273"/>
      <c r="O60" s="273"/>
      <c r="P60" s="273"/>
      <c r="Q60" s="273"/>
      <c r="R60" s="273"/>
      <c r="S60" s="273"/>
      <c r="T60" s="273"/>
      <c r="U60" s="273"/>
      <c r="V60" s="283"/>
      <c r="W60" s="300"/>
    </row>
    <row r="61" spans="2:23" ht="15">
      <c r="B61" s="7"/>
      <c r="C61" s="282"/>
      <c r="D61" s="273"/>
      <c r="H61" s="273"/>
      <c r="I61" s="273"/>
      <c r="J61" s="273"/>
      <c r="K61" s="273"/>
      <c r="L61" s="273"/>
      <c r="M61" s="273"/>
      <c r="N61" s="273"/>
      <c r="O61" s="273"/>
      <c r="P61" s="273"/>
      <c r="Q61" s="273"/>
      <c r="R61" s="273"/>
      <c r="S61" s="273"/>
      <c r="T61" s="273"/>
      <c r="U61" s="273"/>
      <c r="V61" s="283"/>
      <c r="W61" s="300"/>
    </row>
    <row r="62" spans="2:23" ht="15">
      <c r="B62" s="7"/>
      <c r="C62" s="282"/>
      <c r="D62" s="273"/>
      <c r="H62" s="273"/>
      <c r="I62" s="273"/>
      <c r="J62" s="273"/>
      <c r="K62" s="273"/>
      <c r="L62" s="273"/>
      <c r="M62" s="273"/>
      <c r="N62" s="273"/>
      <c r="O62" s="273"/>
      <c r="P62" s="273"/>
      <c r="Q62" s="273"/>
      <c r="R62" s="273"/>
      <c r="S62" s="273"/>
      <c r="T62" s="273"/>
      <c r="U62" s="273"/>
      <c r="V62" s="283"/>
      <c r="W62" s="300"/>
    </row>
    <row r="63" spans="2:23" ht="15">
      <c r="B63" s="7"/>
      <c r="C63" s="282"/>
      <c r="D63" s="273"/>
      <c r="H63" s="273"/>
      <c r="I63" s="273"/>
      <c r="J63" s="273"/>
      <c r="K63" s="273"/>
      <c r="L63" s="273"/>
      <c r="M63" s="273"/>
      <c r="N63" s="273"/>
      <c r="O63" s="273"/>
      <c r="P63" s="273"/>
      <c r="Q63" s="273"/>
      <c r="R63" s="273"/>
      <c r="S63" s="273"/>
      <c r="T63" s="273"/>
      <c r="U63" s="273"/>
      <c r="V63" s="283"/>
      <c r="W63" s="300"/>
    </row>
    <row r="64" spans="2:23" ht="15">
      <c r="B64" s="7"/>
      <c r="C64" s="282"/>
      <c r="D64" s="273"/>
      <c r="H64" s="273"/>
      <c r="I64" s="273"/>
      <c r="J64" s="273"/>
      <c r="K64" s="273"/>
      <c r="L64" s="273"/>
      <c r="M64" s="273"/>
      <c r="N64" s="273"/>
      <c r="O64" s="273"/>
      <c r="P64" s="273"/>
      <c r="Q64" s="273"/>
      <c r="R64" s="273"/>
      <c r="S64" s="273"/>
      <c r="T64" s="273"/>
      <c r="U64" s="273"/>
      <c r="V64" s="283"/>
      <c r="W64" s="300"/>
    </row>
    <row r="65" spans="3:23" ht="15">
      <c r="C65" s="282"/>
      <c r="D65" s="273"/>
      <c r="H65" s="273"/>
      <c r="I65" s="273"/>
      <c r="J65" s="273"/>
      <c r="K65" s="273"/>
      <c r="L65" s="273"/>
      <c r="M65" s="273"/>
      <c r="N65" s="273"/>
      <c r="O65" s="273"/>
      <c r="P65" s="273"/>
      <c r="Q65" s="273"/>
      <c r="R65" s="273"/>
      <c r="S65" s="273"/>
      <c r="T65" s="273"/>
      <c r="U65" s="273"/>
      <c r="V65" s="283"/>
      <c r="W65" s="300"/>
    </row>
    <row r="66" spans="3:23" ht="15">
      <c r="C66" s="282"/>
      <c r="D66" s="273"/>
      <c r="H66" s="273"/>
      <c r="I66" s="273"/>
      <c r="J66" s="273"/>
      <c r="K66" s="273"/>
      <c r="L66" s="273"/>
      <c r="M66" s="273"/>
      <c r="N66" s="273"/>
      <c r="O66" s="273"/>
      <c r="P66" s="273"/>
      <c r="Q66" s="273"/>
      <c r="R66" s="273"/>
      <c r="S66" s="273"/>
      <c r="T66" s="273"/>
      <c r="U66" s="273"/>
      <c r="V66" s="283"/>
      <c r="W66" s="300"/>
    </row>
    <row r="67" spans="3:23" ht="15">
      <c r="C67" s="282"/>
      <c r="D67" s="273"/>
      <c r="H67" s="273"/>
      <c r="I67" s="273"/>
      <c r="J67" s="273"/>
      <c r="K67" s="273"/>
      <c r="L67" s="273"/>
      <c r="M67" s="273"/>
      <c r="N67" s="273"/>
      <c r="O67" s="273"/>
      <c r="P67" s="273"/>
      <c r="Q67" s="273"/>
      <c r="R67" s="273"/>
      <c r="S67" s="273"/>
      <c r="T67" s="273"/>
      <c r="U67" s="273"/>
      <c r="V67" s="283"/>
      <c r="W67" s="300"/>
    </row>
    <row r="68" spans="3:23" ht="15">
      <c r="C68" s="282"/>
      <c r="D68" s="273"/>
      <c r="H68" s="273"/>
      <c r="I68" s="273"/>
      <c r="J68" s="273"/>
      <c r="K68" s="273"/>
      <c r="L68" s="273"/>
      <c r="M68" s="273"/>
      <c r="N68" s="273"/>
      <c r="O68" s="273"/>
      <c r="P68" s="273"/>
      <c r="Q68" s="273"/>
      <c r="R68" s="273"/>
      <c r="S68" s="273"/>
      <c r="T68" s="273"/>
      <c r="U68" s="273"/>
      <c r="V68" s="283"/>
      <c r="W68" s="300"/>
    </row>
    <row r="69" spans="3:23" ht="15">
      <c r="C69" s="282"/>
      <c r="D69" s="273"/>
      <c r="H69" s="273"/>
      <c r="I69" s="273"/>
      <c r="J69" s="273"/>
      <c r="K69" s="273"/>
      <c r="L69" s="273"/>
      <c r="M69" s="273"/>
      <c r="N69" s="273"/>
      <c r="O69" s="273"/>
      <c r="P69" s="273"/>
      <c r="Q69" s="273"/>
      <c r="R69" s="273"/>
      <c r="S69" s="273"/>
      <c r="T69" s="273"/>
      <c r="U69" s="273"/>
      <c r="V69" s="283"/>
      <c r="W69" s="300"/>
    </row>
    <row r="70" spans="3:23" ht="15">
      <c r="C70" s="282"/>
      <c r="D70" s="273"/>
      <c r="H70" s="273"/>
      <c r="I70" s="273"/>
      <c r="J70" s="273"/>
      <c r="K70" s="273"/>
      <c r="L70" s="273"/>
      <c r="M70" s="273"/>
      <c r="N70" s="273"/>
      <c r="O70" s="273"/>
      <c r="P70" s="273"/>
      <c r="Q70" s="273"/>
      <c r="R70" s="273"/>
      <c r="S70" s="273"/>
      <c r="T70" s="273"/>
      <c r="U70" s="273"/>
      <c r="V70" s="283"/>
      <c r="W70" s="300"/>
    </row>
    <row r="71" ht="15">
      <c r="W71" s="300"/>
    </row>
    <row r="72" ht="15">
      <c r="W72" s="300"/>
    </row>
    <row r="73" ht="15">
      <c r="W73" s="300"/>
    </row>
    <row r="74" ht="15">
      <c r="W74" s="300"/>
    </row>
    <row r="75" ht="15">
      <c r="W75" s="300"/>
    </row>
    <row r="76" ht="15">
      <c r="W76" s="300"/>
    </row>
    <row r="77" ht="15">
      <c r="W77" s="300"/>
    </row>
    <row r="87" spans="8:21" ht="15">
      <c r="H87" s="71"/>
      <c r="I87" s="71"/>
      <c r="J87" s="71"/>
      <c r="K87" s="71"/>
      <c r="L87" s="71"/>
      <c r="M87" s="71"/>
      <c r="N87" s="71"/>
      <c r="O87" s="71"/>
      <c r="P87" s="71"/>
      <c r="Q87" s="71"/>
      <c r="R87" s="71"/>
      <c r="S87" s="71"/>
      <c r="T87" s="71"/>
      <c r="U87" s="72"/>
    </row>
    <row r="88" ht="15">
      <c r="D88" s="73"/>
    </row>
  </sheetData>
  <mergeCells count="7">
    <mergeCell ref="B54:G54"/>
    <mergeCell ref="W10:W11"/>
    <mergeCell ref="B9:B10"/>
    <mergeCell ref="E9:G9"/>
    <mergeCell ref="E10:G10"/>
    <mergeCell ref="V10:V11"/>
    <mergeCell ref="U10:U11"/>
  </mergeCells>
  <printOptions horizontalCentered="1"/>
  <pageMargins left="0.7086614173228347" right="0.7086614173228347" top="0.7480314960629921" bottom="0.7480314960629921" header="0.31496062992125984" footer="0.31496062992125984"/>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5"/>
  <sheetViews>
    <sheetView showGridLines="0" tabSelected="1" zoomScale="85" zoomScaleNormal="85" zoomScalePageLayoutView="85" workbookViewId="0" topLeftCell="H10">
      <pane ySplit="5" topLeftCell="A21" activePane="bottomLeft" state="frozen"/>
      <selection pane="topLeft" activeCell="B10" sqref="B10"/>
      <selection pane="bottomLeft" activeCell="D62" sqref="D62"/>
    </sheetView>
  </sheetViews>
  <sheetFormatPr defaultColWidth="0" defaultRowHeight="15" outlineLevelRow="1" outlineLevelCol="1"/>
  <cols>
    <col min="1" max="1" width="8.57421875" style="1" hidden="1" customWidth="1" outlineLevel="1"/>
    <col min="2" max="2" width="49.421875" style="1" customWidth="1" collapsed="1"/>
    <col min="3" max="3" width="17.421875" style="69" customWidth="1"/>
    <col min="4" max="4" width="17.57421875" style="1" customWidth="1"/>
    <col min="5" max="6" width="17.421875" style="1" customWidth="1"/>
    <col min="7" max="9" width="17.421875" style="273" customWidth="1"/>
    <col min="10" max="22" width="17.421875" style="1" customWidth="1"/>
    <col min="23" max="23" width="19.421875" style="6" customWidth="1"/>
    <col min="24" max="24" width="17.421875" style="1" customWidth="1"/>
    <col min="25" max="25" width="17.421875" style="7" customWidth="1"/>
    <col min="26" max="26" width="22.421875" style="7" customWidth="1"/>
    <col min="27" max="28" width="11.421875" style="1" customWidth="1"/>
    <col min="29" max="16384" width="0" style="1" hidden="1" customWidth="1"/>
  </cols>
  <sheetData>
    <row r="1" spans="2:9" ht="13.5" outlineLevel="1" thickBot="1">
      <c r="B1" s="2" t="s">
        <v>20</v>
      </c>
      <c r="C1" s="3"/>
      <c r="D1" s="4"/>
      <c r="E1" s="5"/>
      <c r="F1" s="5"/>
      <c r="G1" s="264"/>
      <c r="H1" s="264"/>
      <c r="I1" s="264"/>
    </row>
    <row r="2" spans="2:27" ht="13.5" outlineLevel="1" thickBot="1">
      <c r="B2" s="8"/>
      <c r="C2" s="3"/>
      <c r="D2" s="4"/>
      <c r="E2" s="5"/>
      <c r="F2" s="5"/>
      <c r="G2" s="264"/>
      <c r="H2" s="264"/>
      <c r="I2" s="264"/>
      <c r="X2" s="9"/>
      <c r="AA2" s="10"/>
    </row>
    <row r="3" spans="2:27" ht="12.75" customHeight="1" outlineLevel="1">
      <c r="B3" s="11" t="s">
        <v>1</v>
      </c>
      <c r="C3" s="12"/>
      <c r="D3" s="13" t="s">
        <v>74</v>
      </c>
      <c r="E3" s="79"/>
      <c r="F3" s="79"/>
      <c r="G3" s="265"/>
      <c r="H3" s="265"/>
      <c r="I3" s="265"/>
      <c r="AA3" s="5"/>
    </row>
    <row r="4" spans="2:27" ht="12.75" customHeight="1" outlineLevel="1">
      <c r="B4" s="14" t="s">
        <v>2</v>
      </c>
      <c r="C4" s="15"/>
      <c r="D4" s="16" t="s">
        <v>75</v>
      </c>
      <c r="E4" s="79"/>
      <c r="F4" s="79"/>
      <c r="G4" s="265"/>
      <c r="H4" s="265"/>
      <c r="I4" s="265"/>
      <c r="AA4" s="5"/>
    </row>
    <row r="5" spans="2:27" ht="12.75" customHeight="1" outlineLevel="1">
      <c r="B5" s="17" t="s">
        <v>3</v>
      </c>
      <c r="C5" s="15"/>
      <c r="D5" s="16" t="str">
        <f>'THP DR'!B7</f>
        <v>TR14GTM15001</v>
      </c>
      <c r="E5" s="79"/>
      <c r="F5" s="79"/>
      <c r="G5" s="265"/>
      <c r="H5" s="265"/>
      <c r="I5" s="265"/>
      <c r="AA5" s="5"/>
    </row>
    <row r="6" spans="2:27" ht="12.75" customHeight="1" outlineLevel="1">
      <c r="B6" s="14" t="s">
        <v>4</v>
      </c>
      <c r="C6" s="15"/>
      <c r="D6" s="18">
        <f>'THP DR'!B10</f>
        <v>42804</v>
      </c>
      <c r="E6" s="83"/>
      <c r="F6" s="83"/>
      <c r="G6" s="265"/>
      <c r="H6" s="265"/>
      <c r="I6" s="265"/>
      <c r="X6" s="7"/>
      <c r="AA6" s="10"/>
    </row>
    <row r="7" spans="2:24" ht="13.5" customHeight="1" outlineLevel="1" thickBot="1">
      <c r="B7" s="19" t="s">
        <v>5</v>
      </c>
      <c r="C7" s="20"/>
      <c r="D7" s="192">
        <f>'THP DR'!B13</f>
        <v>4</v>
      </c>
      <c r="E7" s="317"/>
      <c r="F7" s="317"/>
      <c r="G7" s="265"/>
      <c r="H7" s="265"/>
      <c r="I7" s="265"/>
      <c r="X7" s="21"/>
    </row>
    <row r="8" spans="2:24" ht="12.75" customHeight="1" outlineLevel="1">
      <c r="B8" s="5"/>
      <c r="C8" s="22"/>
      <c r="D8" s="23"/>
      <c r="E8" s="23"/>
      <c r="F8" s="23"/>
      <c r="G8" s="266"/>
      <c r="H8" s="266"/>
      <c r="I8" s="266"/>
      <c r="X8" s="21"/>
    </row>
    <row r="9" spans="2:24" ht="12.75" customHeight="1" outlineLevel="1">
      <c r="B9" s="24"/>
      <c r="C9" s="24"/>
      <c r="D9" s="24"/>
      <c r="E9" s="24"/>
      <c r="F9" s="24"/>
      <c r="G9" s="267"/>
      <c r="H9" s="267"/>
      <c r="I9" s="267"/>
      <c r="W9" s="25"/>
      <c r="X9" s="21"/>
    </row>
    <row r="10" spans="2:26" s="26" customFormat="1" ht="13.5" customHeight="1" outlineLevel="1">
      <c r="B10" s="27"/>
      <c r="C10" s="28"/>
      <c r="D10" s="29"/>
      <c r="E10" s="29"/>
      <c r="F10" s="29"/>
      <c r="G10" s="268"/>
      <c r="H10" s="268"/>
      <c r="I10" s="268"/>
      <c r="W10" s="25"/>
      <c r="X10" s="21"/>
      <c r="Y10" s="7"/>
      <c r="Z10" s="7"/>
    </row>
    <row r="11" spans="1:26" ht="15.75" outlineLevel="1">
      <c r="A11" s="5"/>
      <c r="B11" s="345" t="s">
        <v>21</v>
      </c>
      <c r="C11" s="30" t="s">
        <v>7</v>
      </c>
      <c r="D11" s="31" t="s">
        <v>8</v>
      </c>
      <c r="E11" s="357" t="s">
        <v>9</v>
      </c>
      <c r="F11" s="358"/>
      <c r="G11" s="358"/>
      <c r="H11" s="358"/>
      <c r="I11" s="331"/>
      <c r="J11" s="331"/>
      <c r="K11" s="331"/>
      <c r="L11" s="331"/>
      <c r="M11" s="331"/>
      <c r="N11" s="331"/>
      <c r="O11" s="331"/>
      <c r="P11" s="331"/>
      <c r="Q11" s="233"/>
      <c r="R11" s="233"/>
      <c r="S11" s="233"/>
      <c r="T11" s="233"/>
      <c r="U11" s="32" t="s">
        <v>10</v>
      </c>
      <c r="V11" s="32" t="s">
        <v>10</v>
      </c>
      <c r="W11" s="32" t="s">
        <v>11</v>
      </c>
      <c r="X11" s="33"/>
      <c r="Y11" s="1"/>
      <c r="Z11" s="1"/>
    </row>
    <row r="12" spans="1:27" s="39" customFormat="1" ht="87" customHeight="1">
      <c r="A12" s="5"/>
      <c r="B12" s="345"/>
      <c r="C12" s="34" t="s">
        <v>238</v>
      </c>
      <c r="D12" s="318" t="s">
        <v>239</v>
      </c>
      <c r="E12" s="348" t="str">
        <f>"Grant Quarter #"&amp;$D$7</f>
        <v>Grant Quarter #4</v>
      </c>
      <c r="F12" s="349"/>
      <c r="G12" s="349"/>
      <c r="H12" s="350"/>
      <c r="I12" s="340" t="s">
        <v>78</v>
      </c>
      <c r="J12" s="340" t="s">
        <v>79</v>
      </c>
      <c r="K12" s="340" t="s">
        <v>80</v>
      </c>
      <c r="L12" s="340" t="s">
        <v>81</v>
      </c>
      <c r="M12" s="340" t="s">
        <v>286</v>
      </c>
      <c r="N12" s="340" t="s">
        <v>82</v>
      </c>
      <c r="O12" s="340" t="s">
        <v>83</v>
      </c>
      <c r="P12" s="340" t="s">
        <v>84</v>
      </c>
      <c r="Q12" s="340" t="s">
        <v>85</v>
      </c>
      <c r="R12" s="340" t="s">
        <v>86</v>
      </c>
      <c r="S12" s="340" t="s">
        <v>232</v>
      </c>
      <c r="T12" s="340" t="s">
        <v>233</v>
      </c>
      <c r="U12" s="355" t="s">
        <v>22</v>
      </c>
      <c r="V12" s="356" t="s">
        <v>135</v>
      </c>
      <c r="W12" s="354" t="s">
        <v>15</v>
      </c>
      <c r="X12" s="37"/>
      <c r="Y12" s="5"/>
      <c r="Z12" s="5"/>
      <c r="AA12" s="38"/>
    </row>
    <row r="13" spans="1:24" s="39" customFormat="1" ht="25.5">
      <c r="A13" s="5"/>
      <c r="B13" s="40" t="s">
        <v>16</v>
      </c>
      <c r="C13" s="41" t="s">
        <v>281</v>
      </c>
      <c r="D13" s="42" t="s">
        <v>17</v>
      </c>
      <c r="E13" s="274" t="s">
        <v>278</v>
      </c>
      <c r="F13" s="274" t="s">
        <v>279</v>
      </c>
      <c r="G13" s="274" t="s">
        <v>280</v>
      </c>
      <c r="H13" s="335" t="s">
        <v>18</v>
      </c>
      <c r="I13" s="340" t="s">
        <v>283</v>
      </c>
      <c r="J13" s="340" t="s">
        <v>69</v>
      </c>
      <c r="K13" s="340" t="s">
        <v>67</v>
      </c>
      <c r="L13" s="340" t="s">
        <v>68</v>
      </c>
      <c r="M13" s="340" t="s">
        <v>284</v>
      </c>
      <c r="N13" s="340" t="s">
        <v>70</v>
      </c>
      <c r="O13" s="340" t="s">
        <v>71</v>
      </c>
      <c r="P13" s="340" t="s">
        <v>72</v>
      </c>
      <c r="Q13" s="340" t="s">
        <v>285</v>
      </c>
      <c r="R13" s="340" t="s">
        <v>234</v>
      </c>
      <c r="S13" s="340" t="s">
        <v>235</v>
      </c>
      <c r="T13" s="340" t="s">
        <v>287</v>
      </c>
      <c r="U13" s="355"/>
      <c r="V13" s="356"/>
      <c r="W13" s="354"/>
      <c r="X13" s="38"/>
    </row>
    <row r="14" spans="2:23" ht="15">
      <c r="B14" s="190" t="s">
        <v>107</v>
      </c>
      <c r="C14" s="190" t="s">
        <v>108</v>
      </c>
      <c r="D14" s="190" t="s">
        <v>109</v>
      </c>
      <c r="E14" s="269" t="s">
        <v>110</v>
      </c>
      <c r="F14" s="269" t="s">
        <v>111</v>
      </c>
      <c r="G14" s="263" t="s">
        <v>112</v>
      </c>
      <c r="H14" s="190" t="s">
        <v>113</v>
      </c>
      <c r="I14" s="190" t="s">
        <v>114</v>
      </c>
      <c r="J14" s="190" t="s">
        <v>115</v>
      </c>
      <c r="K14" s="190" t="s">
        <v>116</v>
      </c>
      <c r="L14" s="190" t="s">
        <v>117</v>
      </c>
      <c r="M14" s="190" t="s">
        <v>118</v>
      </c>
      <c r="N14" s="190" t="s">
        <v>119</v>
      </c>
      <c r="O14" s="190" t="s">
        <v>120</v>
      </c>
      <c r="P14" s="190" t="s">
        <v>121</v>
      </c>
      <c r="Q14" s="190" t="s">
        <v>122</v>
      </c>
      <c r="R14" s="190" t="s">
        <v>123</v>
      </c>
      <c r="S14" s="190" t="s">
        <v>124</v>
      </c>
      <c r="T14" s="190" t="s">
        <v>237</v>
      </c>
      <c r="U14" s="190" t="s">
        <v>125</v>
      </c>
      <c r="V14" s="197" t="s">
        <v>126</v>
      </c>
      <c r="W14" s="190" t="s">
        <v>127</v>
      </c>
    </row>
    <row r="15" spans="1:24" s="39" customFormat="1" ht="15">
      <c r="A15" s="5"/>
      <c r="B15" s="44"/>
      <c r="C15" s="45"/>
      <c r="D15" s="44"/>
      <c r="E15" s="270"/>
      <c r="F15" s="270"/>
      <c r="G15" s="270"/>
      <c r="H15" s="44"/>
      <c r="I15" s="44"/>
      <c r="J15" s="44"/>
      <c r="K15" s="44"/>
      <c r="L15" s="44"/>
      <c r="M15" s="44"/>
      <c r="N15" s="44"/>
      <c r="O15" s="44"/>
      <c r="P15" s="44"/>
      <c r="Q15" s="44"/>
      <c r="R15" s="44"/>
      <c r="S15" s="44"/>
      <c r="T15" s="44"/>
      <c r="U15" s="44"/>
      <c r="V15" s="44"/>
      <c r="W15" s="301"/>
      <c r="X15" s="38"/>
    </row>
    <row r="16" spans="1:27" s="39" customFormat="1" ht="15">
      <c r="A16" s="5"/>
      <c r="B16" s="46" t="s">
        <v>88</v>
      </c>
      <c r="C16" s="47"/>
      <c r="D16" s="48"/>
      <c r="E16" s="271"/>
      <c r="F16" s="271"/>
      <c r="G16" s="271"/>
      <c r="H16" s="48"/>
      <c r="I16" s="48"/>
      <c r="J16" s="48"/>
      <c r="K16" s="48"/>
      <c r="L16" s="48"/>
      <c r="M16" s="48"/>
      <c r="N16" s="48"/>
      <c r="O16" s="48"/>
      <c r="P16" s="48"/>
      <c r="Q16" s="48"/>
      <c r="R16" s="48"/>
      <c r="S16" s="48"/>
      <c r="T16" s="48"/>
      <c r="U16" s="49"/>
      <c r="V16" s="198"/>
      <c r="W16" s="302"/>
      <c r="X16" s="7"/>
      <c r="Y16" s="5"/>
      <c r="Z16" s="5"/>
      <c r="AA16" s="38"/>
    </row>
    <row r="17" spans="1:27" s="210" customFormat="1" ht="15" outlineLevel="1">
      <c r="A17" s="207"/>
      <c r="B17" s="51" t="s">
        <v>89</v>
      </c>
      <c r="C17" s="199">
        <f>SUM(C18:C20)</f>
        <v>0</v>
      </c>
      <c r="D17" s="199">
        <f>SUM(D18:D20)</f>
        <v>0</v>
      </c>
      <c r="E17" s="199">
        <f aca="true" t="shared" si="0" ref="E17:O17">SUM(E18:E20)</f>
        <v>0</v>
      </c>
      <c r="F17" s="199">
        <f t="shared" si="0"/>
        <v>0</v>
      </c>
      <c r="G17" s="199">
        <f t="shared" si="0"/>
        <v>0</v>
      </c>
      <c r="H17" s="199">
        <f t="shared" si="0"/>
        <v>0</v>
      </c>
      <c r="I17" s="199">
        <f t="shared" si="0"/>
        <v>680000</v>
      </c>
      <c r="J17" s="199">
        <f t="shared" si="0"/>
        <v>425000</v>
      </c>
      <c r="K17" s="199">
        <f t="shared" si="0"/>
        <v>850000</v>
      </c>
      <c r="L17" s="199">
        <f t="shared" si="0"/>
        <v>1275000</v>
      </c>
      <c r="M17" s="199">
        <f t="shared" si="0"/>
        <v>1275000</v>
      </c>
      <c r="N17" s="199">
        <f t="shared" si="0"/>
        <v>1275000</v>
      </c>
      <c r="O17" s="199">
        <f t="shared" si="0"/>
        <v>1225000</v>
      </c>
      <c r="P17" s="199">
        <f aca="true" t="shared" si="1" ref="P17">SUM(P18:P20)</f>
        <v>1225000</v>
      </c>
      <c r="Q17" s="199">
        <f aca="true" t="shared" si="2" ref="Q17:T17">SUM(Q18:Q20)</f>
        <v>1225000</v>
      </c>
      <c r="R17" s="199">
        <f t="shared" si="2"/>
        <v>1225000</v>
      </c>
      <c r="S17" s="199"/>
      <c r="T17" s="199">
        <f t="shared" si="2"/>
        <v>1020000</v>
      </c>
      <c r="U17" s="199">
        <f>SUM(U18:U20)</f>
        <v>11700000</v>
      </c>
      <c r="V17" s="201">
        <f>'QFR - B'!G15</f>
        <v>12000000</v>
      </c>
      <c r="W17" s="290">
        <f>V17-U17</f>
        <v>300000</v>
      </c>
      <c r="X17" s="70"/>
      <c r="Y17" s="208"/>
      <c r="Z17" s="208"/>
      <c r="AA17" s="209"/>
    </row>
    <row r="18" spans="1:27" s="210" customFormat="1" ht="15" outlineLevel="1">
      <c r="A18" s="207"/>
      <c r="B18" s="203" t="s">
        <v>128</v>
      </c>
      <c r="C18" s="204"/>
      <c r="D18" s="305"/>
      <c r="E18" s="205"/>
      <c r="F18" s="205"/>
      <c r="G18" s="205"/>
      <c r="H18" s="205">
        <f>SUMIF('Contract level'!$A:$A,"="&amp;'DFP-Com'!$A16,'Contract level'!AA:AA)</f>
        <v>0</v>
      </c>
      <c r="I18" s="205">
        <f>SUMIF('Contract level'!$A:$A,"="&amp;'DFP-Com'!$A16,'Contract level'!AB:AB)</f>
        <v>680000</v>
      </c>
      <c r="J18" s="205">
        <f>SUMIF('Contract level'!$A:$A,"="&amp;'DFP-Com'!$A16,'Contract level'!AC:AC)</f>
        <v>425000</v>
      </c>
      <c r="K18" s="205">
        <f>SUMIF('Contract level'!$A:$A,"="&amp;'DFP-Com'!$A16,'Contract level'!AD:AD)</f>
        <v>475000</v>
      </c>
      <c r="L18" s="205">
        <f>SUMIF('Contract level'!$A:$A,"="&amp;'DFP-Com'!$A16,'Contract level'!AE:AE)</f>
        <v>900000</v>
      </c>
      <c r="M18" s="205">
        <f>SUMIF('Contract level'!$A:$A,"="&amp;'DFP-Com'!$A16,'Contract level'!AF:AF)</f>
        <v>900000</v>
      </c>
      <c r="N18" s="205">
        <f>SUMIF('Contract level'!$A:$A,"="&amp;'DFP-Com'!$A16,'Contract level'!AG:AG)</f>
        <v>900000</v>
      </c>
      <c r="O18" s="205">
        <f>SUMIF('Contract level'!$A:$A,"="&amp;'DFP-Com'!$A16,'Contract level'!AH:AH)</f>
        <v>850000</v>
      </c>
      <c r="P18" s="205">
        <f>SUMIF('Contract level'!$A:$A,"="&amp;'DFP-Com'!$A16,'Contract level'!AI:AI)</f>
        <v>850000</v>
      </c>
      <c r="Q18" s="205">
        <f>SUMIF('Contract level'!$A:$A,"="&amp;'DFP-Com'!$A16,'Contract level'!AJ:AJ)</f>
        <v>850000</v>
      </c>
      <c r="R18" s="205">
        <f>SUMIF('Contract level'!$A:$A,"="&amp;'DFP-Com'!$A16,'Contract level'!AK:AK)</f>
        <v>850000</v>
      </c>
      <c r="S18" s="305"/>
      <c r="T18" s="205">
        <f>SUMIF('Contract level'!$A:$A,"="&amp;'DFP-Com'!$A16,'Contract level'!AL:AL)</f>
        <v>1020000</v>
      </c>
      <c r="U18" s="205">
        <f>SUM(H18:T18)+D18+C18</f>
        <v>8700000</v>
      </c>
      <c r="V18" s="206" t="s">
        <v>134</v>
      </c>
      <c r="W18" s="291"/>
      <c r="X18" s="70"/>
      <c r="Y18" s="208"/>
      <c r="Z18" s="208"/>
      <c r="AA18" s="209"/>
    </row>
    <row r="19" spans="1:27" s="210" customFormat="1" ht="15" outlineLevel="1">
      <c r="A19" s="207"/>
      <c r="B19" s="203" t="s">
        <v>129</v>
      </c>
      <c r="C19" s="204"/>
      <c r="D19" s="305"/>
      <c r="E19" s="205"/>
      <c r="F19" s="205"/>
      <c r="G19" s="205"/>
      <c r="H19" s="205">
        <f>SUMIF('Contract level'!$A:$A,"="&amp;'DFP-Com'!$A17,'Contract level'!AA:AA)</f>
        <v>0</v>
      </c>
      <c r="I19" s="205">
        <f>SUMIF('Contract level'!$A:$A,"="&amp;'DFP-Com'!$A17,'Contract level'!AB:AB)</f>
        <v>0</v>
      </c>
      <c r="J19" s="205">
        <f>SUMIF('Contract level'!$A:$A,"="&amp;'DFP-Com'!$A17,'Contract level'!AC:AC)</f>
        <v>0</v>
      </c>
      <c r="K19" s="205">
        <f>SUMIF('Contract level'!$A:$A,"="&amp;'DFP-Com'!$A17,'Contract level'!AD:AD)</f>
        <v>375000</v>
      </c>
      <c r="L19" s="205">
        <f>SUMIF('Contract level'!$A:$A,"="&amp;'DFP-Com'!$A17,'Contract level'!AE:AE)</f>
        <v>375000</v>
      </c>
      <c r="M19" s="205">
        <f>SUMIF('Contract level'!$A:$A,"="&amp;'DFP-Com'!$A17,'Contract level'!AF:AF)</f>
        <v>375000</v>
      </c>
      <c r="N19" s="205">
        <f>SUMIF('Contract level'!$A:$A,"="&amp;'DFP-Com'!$A17,'Contract level'!AG:AG)</f>
        <v>375000</v>
      </c>
      <c r="O19" s="205">
        <f>SUMIF('Contract level'!$A:$A,"="&amp;'DFP-Com'!$A17,'Contract level'!AH:AH)</f>
        <v>375000</v>
      </c>
      <c r="P19" s="205">
        <f>SUMIF('Contract level'!$A:$A,"="&amp;'DFP-Com'!$A17,'Contract level'!AI:AI)</f>
        <v>375000</v>
      </c>
      <c r="Q19" s="205">
        <f>SUMIF('Contract level'!$A:$A,"="&amp;'DFP-Com'!$A17,'Contract level'!AJ:AJ)</f>
        <v>375000</v>
      </c>
      <c r="R19" s="205">
        <f>SUMIF('Contract level'!$A:$A,"="&amp;'DFP-Com'!$A17,'Contract level'!AK:AK)</f>
        <v>375000</v>
      </c>
      <c r="S19" s="305"/>
      <c r="T19" s="205">
        <f>SUMIF('Contract level'!$A:$A,"="&amp;'DFP-Com'!$A17,'Contract level'!AL:AL)</f>
        <v>0</v>
      </c>
      <c r="U19" s="305">
        <f aca="true" t="shared" si="3" ref="U19:U20">SUM(H19:T19)+D19+C19</f>
        <v>3000000</v>
      </c>
      <c r="V19" s="206"/>
      <c r="W19" s="291"/>
      <c r="X19" s="70"/>
      <c r="Y19" s="208"/>
      <c r="Z19" s="208"/>
      <c r="AA19" s="209"/>
    </row>
    <row r="20" spans="1:27" s="210" customFormat="1" ht="15" outlineLevel="1">
      <c r="A20" s="207"/>
      <c r="B20" s="203" t="s">
        <v>136</v>
      </c>
      <c r="C20" s="204"/>
      <c r="D20" s="305"/>
      <c r="E20" s="205"/>
      <c r="F20" s="205"/>
      <c r="G20" s="205"/>
      <c r="H20" s="205">
        <f>SUMIF('Contract level'!$A:$A,"="&amp;'DFP-Com'!$A18,'Contract level'!AA:AA)</f>
        <v>0</v>
      </c>
      <c r="I20" s="205">
        <f>SUMIF('Contract level'!$A:$A,"="&amp;'DFP-Com'!$A18,'Contract level'!AB:AB)</f>
        <v>0</v>
      </c>
      <c r="J20" s="205">
        <f>SUMIF('Contract level'!$A:$A,"="&amp;'DFP-Com'!$A18,'Contract level'!AC:AC)</f>
        <v>0</v>
      </c>
      <c r="K20" s="205">
        <f>SUMIF('Contract level'!$A:$A,"="&amp;'DFP-Com'!$A18,'Contract level'!AD:AD)</f>
        <v>0</v>
      </c>
      <c r="L20" s="205">
        <f>SUMIF('Contract level'!$A:$A,"="&amp;'DFP-Com'!$A18,'Contract level'!AE:AE)</f>
        <v>0</v>
      </c>
      <c r="M20" s="205">
        <f>SUMIF('Contract level'!$A:$A,"="&amp;'DFP-Com'!$A18,'Contract level'!AF:AF)</f>
        <v>0</v>
      </c>
      <c r="N20" s="205">
        <f>SUMIF('Contract level'!$A:$A,"="&amp;'DFP-Com'!$A18,'Contract level'!AG:AG)</f>
        <v>0</v>
      </c>
      <c r="O20" s="205">
        <f>SUMIF('Contract level'!$A:$A,"="&amp;'DFP-Com'!$A18,'Contract level'!AH:AH)</f>
        <v>0</v>
      </c>
      <c r="P20" s="205">
        <f>SUMIF('Contract level'!$A:$A,"="&amp;'DFP-Com'!$A18,'Contract level'!AI:AI)</f>
        <v>0</v>
      </c>
      <c r="Q20" s="205">
        <f>SUMIF('Contract level'!$A:$A,"="&amp;'DFP-Com'!$A18,'Contract level'!AJ:AJ)</f>
        <v>0</v>
      </c>
      <c r="R20" s="205">
        <f>SUMIF('Contract level'!$A:$A,"="&amp;'DFP-Com'!$A18,'Contract level'!AK:AK)</f>
        <v>0</v>
      </c>
      <c r="S20" s="305"/>
      <c r="T20" s="205">
        <f>SUMIF('Contract level'!$A:$A,"="&amp;'DFP-Com'!$A18,'Contract level'!AL:AL)</f>
        <v>0</v>
      </c>
      <c r="U20" s="305">
        <f t="shared" si="3"/>
        <v>0</v>
      </c>
      <c r="V20" s="206"/>
      <c r="W20" s="291"/>
      <c r="X20" s="70"/>
      <c r="Y20" s="208"/>
      <c r="Z20" s="208"/>
      <c r="AA20" s="209"/>
    </row>
    <row r="21" spans="1:27" s="210" customFormat="1" ht="25.5" outlineLevel="1">
      <c r="A21" s="207"/>
      <c r="B21" s="51" t="s">
        <v>90</v>
      </c>
      <c r="C21" s="199">
        <f>C22</f>
        <v>0</v>
      </c>
      <c r="D21" s="199">
        <f>D22</f>
        <v>0</v>
      </c>
      <c r="E21" s="199">
        <f aca="true" t="shared" si="4" ref="E21:U21">E22</f>
        <v>0</v>
      </c>
      <c r="F21" s="199">
        <f t="shared" si="4"/>
        <v>2500</v>
      </c>
      <c r="G21" s="199">
        <f t="shared" si="4"/>
        <v>2500</v>
      </c>
      <c r="H21" s="199">
        <f t="shared" si="4"/>
        <v>5000</v>
      </c>
      <c r="I21" s="199">
        <f t="shared" si="4"/>
        <v>207500</v>
      </c>
      <c r="J21" s="199">
        <f t="shared" si="4"/>
        <v>407500</v>
      </c>
      <c r="K21" s="199">
        <f t="shared" si="4"/>
        <v>407500</v>
      </c>
      <c r="L21" s="199">
        <f t="shared" si="4"/>
        <v>402500</v>
      </c>
      <c r="M21" s="199">
        <f t="shared" si="4"/>
        <v>412000</v>
      </c>
      <c r="N21" s="199">
        <f t="shared" si="4"/>
        <v>412000</v>
      </c>
      <c r="O21" s="199">
        <f t="shared" si="4"/>
        <v>412000</v>
      </c>
      <c r="P21" s="199">
        <f t="shared" si="4"/>
        <v>412000</v>
      </c>
      <c r="Q21" s="199">
        <f t="shared" si="4"/>
        <v>412000</v>
      </c>
      <c r="R21" s="199">
        <f t="shared" si="4"/>
        <v>412000</v>
      </c>
      <c r="S21" s="199"/>
      <c r="T21" s="199">
        <f t="shared" si="4"/>
        <v>212000</v>
      </c>
      <c r="U21" s="199">
        <f t="shared" si="4"/>
        <v>4114000</v>
      </c>
      <c r="V21" s="201">
        <f>'QFR - B'!G16</f>
        <v>4300000</v>
      </c>
      <c r="W21" s="290">
        <f>V21-U21</f>
        <v>186000</v>
      </c>
      <c r="X21" s="70"/>
      <c r="Y21" s="208"/>
      <c r="Z21" s="208"/>
      <c r="AA21" s="209"/>
    </row>
    <row r="22" spans="1:27" s="210" customFormat="1" ht="12.95" customHeight="1" outlineLevel="1">
      <c r="A22" s="207"/>
      <c r="B22" s="203" t="s">
        <v>137</v>
      </c>
      <c r="C22" s="204"/>
      <c r="D22" s="305"/>
      <c r="E22" s="205"/>
      <c r="F22" s="205">
        <v>2500</v>
      </c>
      <c r="G22" s="304">
        <v>2500</v>
      </c>
      <c r="H22" s="205">
        <f>SUMIF('Contract level'!$A:$A,"="&amp;'DFP-Com'!$A20,'Contract level'!AA:AA)</f>
        <v>5000</v>
      </c>
      <c r="I22" s="205">
        <f>SUMIF('Contract level'!$A:$A,"="&amp;'DFP-Com'!$A20,'Contract level'!AB:AB)</f>
        <v>207500</v>
      </c>
      <c r="J22" s="205">
        <f>SUMIF('Contract level'!$A:$A,"="&amp;'DFP-Com'!$A20,'Contract level'!AC:AC)</f>
        <v>407500</v>
      </c>
      <c r="K22" s="205">
        <f>SUMIF('Contract level'!$A:$A,"="&amp;'DFP-Com'!$A20,'Contract level'!AD:AD)</f>
        <v>407500</v>
      </c>
      <c r="L22" s="205">
        <f>SUMIF('Contract level'!$A:$A,"="&amp;'DFP-Com'!$A20,'Contract level'!AE:AE)</f>
        <v>402500</v>
      </c>
      <c r="M22" s="205">
        <f>SUMIF('Contract level'!$A:$A,"="&amp;'DFP-Com'!$A20,'Contract level'!AF:AF)</f>
        <v>412000</v>
      </c>
      <c r="N22" s="205">
        <f>SUMIF('Contract level'!$A:$A,"="&amp;'DFP-Com'!$A20,'Contract level'!AG:AG)</f>
        <v>412000</v>
      </c>
      <c r="O22" s="205">
        <f>SUMIF('Contract level'!$A:$A,"="&amp;'DFP-Com'!$A20,'Contract level'!AH:AH)</f>
        <v>412000</v>
      </c>
      <c r="P22" s="205">
        <f>SUMIF('Contract level'!$A:$A,"="&amp;'DFP-Com'!$A20,'Contract level'!AI:AI)</f>
        <v>412000</v>
      </c>
      <c r="Q22" s="205">
        <f>SUMIF('Contract level'!$A:$A,"="&amp;'DFP-Com'!$A20,'Contract level'!AJ:AJ)</f>
        <v>412000</v>
      </c>
      <c r="R22" s="205">
        <f>SUMIF('Contract level'!$A:$A,"="&amp;'DFP-Com'!$A20,'Contract level'!AK:AK)</f>
        <v>412000</v>
      </c>
      <c r="S22" s="305"/>
      <c r="T22" s="205">
        <f>SUMIF('Contract level'!$A:$A,"="&amp;'DFP-Com'!$A20,'Contract level'!AL:AL)</f>
        <v>212000</v>
      </c>
      <c r="U22" s="205">
        <f>SUM(H22:T22)+D22+C22</f>
        <v>4114000</v>
      </c>
      <c r="V22" s="206"/>
      <c r="W22" s="291"/>
      <c r="X22" s="70"/>
      <c r="Y22" s="208"/>
      <c r="Z22" s="208"/>
      <c r="AA22" s="209"/>
    </row>
    <row r="23" spans="1:27" s="210" customFormat="1" ht="15" outlineLevel="1">
      <c r="A23" s="207"/>
      <c r="B23" s="51" t="s">
        <v>91</v>
      </c>
      <c r="C23" s="199">
        <f>SUM(C24:C26)</f>
        <v>4400</v>
      </c>
      <c r="D23" s="199">
        <f aca="true" t="shared" si="5" ref="D23:U23">SUM(D24:D26)</f>
        <v>9000</v>
      </c>
      <c r="E23" s="199">
        <f t="shared" si="5"/>
        <v>3000</v>
      </c>
      <c r="F23" s="199">
        <f t="shared" si="5"/>
        <v>4500</v>
      </c>
      <c r="G23" s="199">
        <f t="shared" si="5"/>
        <v>4500</v>
      </c>
      <c r="H23" s="199">
        <f t="shared" si="5"/>
        <v>12000</v>
      </c>
      <c r="I23" s="199">
        <f t="shared" si="5"/>
        <v>213500</v>
      </c>
      <c r="J23" s="199">
        <f t="shared" si="5"/>
        <v>138500</v>
      </c>
      <c r="K23" s="199">
        <f t="shared" si="5"/>
        <v>138500</v>
      </c>
      <c r="L23" s="199">
        <f t="shared" si="5"/>
        <v>263500</v>
      </c>
      <c r="M23" s="199">
        <f t="shared" si="5"/>
        <v>263500</v>
      </c>
      <c r="N23" s="199">
        <f t="shared" si="5"/>
        <v>263500</v>
      </c>
      <c r="O23" s="199">
        <f t="shared" si="5"/>
        <v>263500</v>
      </c>
      <c r="P23" s="199">
        <f aca="true" t="shared" si="6" ref="P23">SUM(P24:P26)</f>
        <v>263500</v>
      </c>
      <c r="Q23" s="199">
        <f aca="true" t="shared" si="7" ref="Q23:T23">SUM(Q24:Q26)</f>
        <v>263500</v>
      </c>
      <c r="R23" s="199">
        <f t="shared" si="7"/>
        <v>263500</v>
      </c>
      <c r="S23" s="199"/>
      <c r="T23" s="199">
        <f t="shared" si="7"/>
        <v>313500</v>
      </c>
      <c r="U23" s="199">
        <f t="shared" si="5"/>
        <v>2673900</v>
      </c>
      <c r="V23" s="201">
        <f>'QFR - B'!G17</f>
        <v>3000000</v>
      </c>
      <c r="W23" s="290">
        <f>V23-U23</f>
        <v>326100</v>
      </c>
      <c r="X23" s="70"/>
      <c r="Y23" s="208"/>
      <c r="Z23" s="208"/>
      <c r="AA23" s="209"/>
    </row>
    <row r="24" spans="1:27" s="210" customFormat="1" ht="12.95" customHeight="1" outlineLevel="1">
      <c r="A24" s="207"/>
      <c r="B24" s="203" t="s">
        <v>130</v>
      </c>
      <c r="C24" s="204"/>
      <c r="D24" s="305"/>
      <c r="E24" s="205"/>
      <c r="F24" s="205"/>
      <c r="G24" s="205"/>
      <c r="H24" s="205">
        <f>SUMIF('Contract level'!$A:$A,"="&amp;'DFP-Com'!$A22,'Contract level'!AA:AA)</f>
        <v>0</v>
      </c>
      <c r="I24" s="205">
        <f>SUMIF('Contract level'!$A:$A,"="&amp;'DFP-Com'!$A22,'Contract level'!AB:AB)</f>
        <v>200000</v>
      </c>
      <c r="J24" s="205">
        <f>SUMIF('Contract level'!$A:$A,"="&amp;'DFP-Com'!$A22,'Contract level'!AC:AC)</f>
        <v>125000</v>
      </c>
      <c r="K24" s="205">
        <f>SUMIF('Contract level'!$A:$A,"="&amp;'DFP-Com'!$A22,'Contract level'!AD:AD)</f>
        <v>125000</v>
      </c>
      <c r="L24" s="205">
        <f>SUMIF('Contract level'!$A:$A,"="&amp;'DFP-Com'!$A22,'Contract level'!AE:AE)</f>
        <v>250000</v>
      </c>
      <c r="M24" s="205">
        <f>SUMIF('Contract level'!$A:$A,"="&amp;'DFP-Com'!$A22,'Contract level'!AF:AF)</f>
        <v>250000</v>
      </c>
      <c r="N24" s="205">
        <f>SUMIF('Contract level'!$A:$A,"="&amp;'DFP-Com'!$A22,'Contract level'!AG:AG)</f>
        <v>250000</v>
      </c>
      <c r="O24" s="205">
        <f>SUMIF('Contract level'!$A:$A,"="&amp;'DFP-Com'!$A22,'Contract level'!AH:AH)</f>
        <v>250000</v>
      </c>
      <c r="P24" s="205">
        <f>SUMIF('Contract level'!$A:$A,"="&amp;'DFP-Com'!$A22,'Contract level'!AI:AI)</f>
        <v>250000</v>
      </c>
      <c r="Q24" s="205">
        <f>SUMIF('Contract level'!$A:$A,"="&amp;'DFP-Com'!$A22,'Contract level'!AJ:AJ)</f>
        <v>250000</v>
      </c>
      <c r="R24" s="205">
        <f>SUMIF('Contract level'!$A:$A,"="&amp;'DFP-Com'!$A22,'Contract level'!AK:AK)</f>
        <v>250000</v>
      </c>
      <c r="S24" s="305"/>
      <c r="T24" s="205">
        <f>SUMIF('Contract level'!$A:$A,"="&amp;'DFP-Com'!$A22,'Contract level'!AL:AL)</f>
        <v>300000</v>
      </c>
      <c r="U24" s="205">
        <f>SUM(H24:T24)+D24+C24</f>
        <v>2500000</v>
      </c>
      <c r="V24" s="206"/>
      <c r="W24" s="291"/>
      <c r="X24" s="70"/>
      <c r="Y24" s="208"/>
      <c r="Z24" s="208"/>
      <c r="AA24" s="209"/>
    </row>
    <row r="25" spans="1:27" s="210" customFormat="1" ht="12.95" customHeight="1" outlineLevel="1">
      <c r="A25" s="207"/>
      <c r="B25" s="203" t="s">
        <v>146</v>
      </c>
      <c r="C25" s="204">
        <v>4400</v>
      </c>
      <c r="D25" s="305">
        <v>9000</v>
      </c>
      <c r="E25" s="305">
        <v>3000</v>
      </c>
      <c r="F25" s="305">
        <v>4500</v>
      </c>
      <c r="G25" s="205">
        <v>4500</v>
      </c>
      <c r="H25" s="205">
        <f>SUMIF('Contract level'!$A:$A,"="&amp;'DFP-Com'!$A23,'Contract level'!AA:AA)</f>
        <v>12000</v>
      </c>
      <c r="I25" s="205">
        <f>SUMIF('Contract level'!$A:$A,"="&amp;'DFP-Com'!$A23,'Contract level'!AB:AB)</f>
        <v>13500</v>
      </c>
      <c r="J25" s="205">
        <f>SUMIF('Contract level'!$A:$A,"="&amp;'DFP-Com'!$A23,'Contract level'!AC:AC)</f>
        <v>13500</v>
      </c>
      <c r="K25" s="205">
        <f>SUMIF('Contract level'!$A:$A,"="&amp;'DFP-Com'!$A23,'Contract level'!AD:AD)</f>
        <v>13500</v>
      </c>
      <c r="L25" s="205">
        <f>SUMIF('Contract level'!$A:$A,"="&amp;'DFP-Com'!$A23,'Contract level'!AE:AE)</f>
        <v>13500</v>
      </c>
      <c r="M25" s="205">
        <f>SUMIF('Contract level'!$A:$A,"="&amp;'DFP-Com'!$A23,'Contract level'!AF:AF)</f>
        <v>13500</v>
      </c>
      <c r="N25" s="205">
        <f>SUMIF('Contract level'!$A:$A,"="&amp;'DFP-Com'!$A23,'Contract level'!AG:AG)</f>
        <v>13500</v>
      </c>
      <c r="O25" s="205">
        <f>SUMIF('Contract level'!$A:$A,"="&amp;'DFP-Com'!$A23,'Contract level'!AH:AH)</f>
        <v>13500</v>
      </c>
      <c r="P25" s="205">
        <f>SUMIF('Contract level'!$A:$A,"="&amp;'DFP-Com'!$A23,'Contract level'!AI:AI)</f>
        <v>13500</v>
      </c>
      <c r="Q25" s="205">
        <f>SUMIF('Contract level'!$A:$A,"="&amp;'DFP-Com'!$A23,'Contract level'!AJ:AJ)</f>
        <v>13500</v>
      </c>
      <c r="R25" s="205">
        <f>SUMIF('Contract level'!$A:$A,"="&amp;'DFP-Com'!$A23,'Contract level'!AK:AK)</f>
        <v>13500</v>
      </c>
      <c r="S25" s="305"/>
      <c r="T25" s="205">
        <f>SUMIF('Contract level'!$A:$A,"="&amp;'DFP-Com'!$A23,'Contract level'!AL:AL)</f>
        <v>13500</v>
      </c>
      <c r="U25" s="305">
        <f aca="true" t="shared" si="8" ref="U25:U26">SUM(H25:T25)+D25+C25</f>
        <v>173900</v>
      </c>
      <c r="V25" s="206"/>
      <c r="W25" s="291"/>
      <c r="X25" s="70"/>
      <c r="Y25" s="208"/>
      <c r="Z25" s="208"/>
      <c r="AA25" s="209"/>
    </row>
    <row r="26" spans="1:27" s="210" customFormat="1" ht="15" outlineLevel="1">
      <c r="A26" s="207"/>
      <c r="B26" s="203" t="s">
        <v>145</v>
      </c>
      <c r="C26" s="204"/>
      <c r="D26" s="305"/>
      <c r="E26" s="205"/>
      <c r="F26" s="205"/>
      <c r="G26" s="205"/>
      <c r="H26" s="205">
        <f>SUMIF('Contract level'!$A:$A,"="&amp;'DFP-Com'!$A24,'Contract level'!AA:AA)</f>
        <v>0</v>
      </c>
      <c r="I26" s="205">
        <f>SUMIF('Contract level'!$A:$A,"="&amp;'DFP-Com'!$A24,'Contract level'!AB:AB)</f>
        <v>0</v>
      </c>
      <c r="J26" s="205">
        <f>SUMIF('Contract level'!$A:$A,"="&amp;'DFP-Com'!$A24,'Contract level'!AC:AC)</f>
        <v>0</v>
      </c>
      <c r="K26" s="205">
        <f>SUMIF('Contract level'!$A:$A,"="&amp;'DFP-Com'!$A24,'Contract level'!AD:AD)</f>
        <v>0</v>
      </c>
      <c r="L26" s="205">
        <f>SUMIF('Contract level'!$A:$A,"="&amp;'DFP-Com'!$A24,'Contract level'!AE:AE)</f>
        <v>0</v>
      </c>
      <c r="M26" s="205">
        <f>SUMIF('Contract level'!$A:$A,"="&amp;'DFP-Com'!$A24,'Contract level'!AF:AF)</f>
        <v>0</v>
      </c>
      <c r="N26" s="205">
        <f>SUMIF('Contract level'!$A:$A,"="&amp;'DFP-Com'!$A24,'Contract level'!AG:AG)</f>
        <v>0</v>
      </c>
      <c r="O26" s="205">
        <f>SUMIF('Contract level'!$A:$A,"="&amp;'DFP-Com'!$A24,'Contract level'!AH:AH)</f>
        <v>0</v>
      </c>
      <c r="P26" s="205">
        <f>SUMIF('Contract level'!$A:$A,"="&amp;'DFP-Com'!$A24,'Contract level'!AI:AI)</f>
        <v>0</v>
      </c>
      <c r="Q26" s="205">
        <f>SUMIF('Contract level'!$A:$A,"="&amp;'DFP-Com'!$A24,'Contract level'!AJ:AJ)</f>
        <v>0</v>
      </c>
      <c r="R26" s="205">
        <f>SUMIF('Contract level'!$A:$A,"="&amp;'DFP-Com'!$A24,'Contract level'!AK:AK)</f>
        <v>0</v>
      </c>
      <c r="S26" s="305"/>
      <c r="T26" s="205">
        <f>SUMIF('Contract level'!$A:$A,"="&amp;'DFP-Com'!$A24,'Contract level'!AL:AL)</f>
        <v>0</v>
      </c>
      <c r="U26" s="305">
        <f t="shared" si="8"/>
        <v>0</v>
      </c>
      <c r="V26" s="206"/>
      <c r="W26" s="291"/>
      <c r="X26" s="70"/>
      <c r="Y26" s="208"/>
      <c r="Z26" s="208"/>
      <c r="AA26" s="209"/>
    </row>
    <row r="27" spans="1:27" s="210" customFormat="1" ht="15">
      <c r="A27" s="207"/>
      <c r="B27" s="53" t="s">
        <v>65</v>
      </c>
      <c r="C27" s="200">
        <f>C23+C21+C17</f>
        <v>4400</v>
      </c>
      <c r="D27" s="200">
        <f aca="true" t="shared" si="9" ref="D27:U27">D23+D21+D17</f>
        <v>9000</v>
      </c>
      <c r="E27" s="200">
        <f t="shared" si="9"/>
        <v>3000</v>
      </c>
      <c r="F27" s="200">
        <f t="shared" si="9"/>
        <v>7000</v>
      </c>
      <c r="G27" s="200">
        <f t="shared" si="9"/>
        <v>7000</v>
      </c>
      <c r="H27" s="200">
        <f t="shared" si="9"/>
        <v>17000</v>
      </c>
      <c r="I27" s="200">
        <f t="shared" si="9"/>
        <v>1101000</v>
      </c>
      <c r="J27" s="200">
        <f t="shared" si="9"/>
        <v>971000</v>
      </c>
      <c r="K27" s="200">
        <f t="shared" si="9"/>
        <v>1396000</v>
      </c>
      <c r="L27" s="200">
        <f t="shared" si="9"/>
        <v>1941000</v>
      </c>
      <c r="M27" s="200">
        <f t="shared" si="9"/>
        <v>1950500</v>
      </c>
      <c r="N27" s="200">
        <f t="shared" si="9"/>
        <v>1950500</v>
      </c>
      <c r="O27" s="200">
        <f t="shared" si="9"/>
        <v>1900500</v>
      </c>
      <c r="P27" s="200">
        <f aca="true" t="shared" si="10" ref="P27">P23+P21+P17</f>
        <v>1900500</v>
      </c>
      <c r="Q27" s="200">
        <f aca="true" t="shared" si="11" ref="Q27:T27">Q23+Q21+Q17</f>
        <v>1900500</v>
      </c>
      <c r="R27" s="200">
        <f t="shared" si="11"/>
        <v>1900500</v>
      </c>
      <c r="S27" s="200"/>
      <c r="T27" s="200">
        <f t="shared" si="11"/>
        <v>1545500</v>
      </c>
      <c r="U27" s="200">
        <f t="shared" si="9"/>
        <v>18487900</v>
      </c>
      <c r="V27" s="202">
        <f>V17+V21+V23</f>
        <v>19300000</v>
      </c>
      <c r="W27" s="292">
        <f>W17+W21+W23</f>
        <v>812100</v>
      </c>
      <c r="X27" s="70"/>
      <c r="Y27" s="208"/>
      <c r="Z27" s="208"/>
      <c r="AA27" s="209"/>
    </row>
    <row r="28" spans="1:27" s="39" customFormat="1" ht="15">
      <c r="A28" s="50"/>
      <c r="B28" s="55"/>
      <c r="C28" s="56"/>
      <c r="D28" s="57"/>
      <c r="E28" s="219"/>
      <c r="F28" s="219"/>
      <c r="G28" s="219"/>
      <c r="H28" s="219"/>
      <c r="I28" s="219"/>
      <c r="J28" s="219"/>
      <c r="K28" s="219"/>
      <c r="L28" s="219"/>
      <c r="M28" s="219"/>
      <c r="N28" s="219"/>
      <c r="O28" s="219"/>
      <c r="P28" s="219"/>
      <c r="Q28" s="219"/>
      <c r="R28" s="219"/>
      <c r="S28" s="219"/>
      <c r="T28" s="219"/>
      <c r="U28" s="219"/>
      <c r="V28" s="275"/>
      <c r="W28" s="293"/>
      <c r="X28" s="7"/>
      <c r="Y28" s="5"/>
      <c r="Z28" s="5"/>
      <c r="AA28" s="38"/>
    </row>
    <row r="29" spans="1:27" s="39" customFormat="1" ht="15">
      <c r="A29" s="50"/>
      <c r="B29" s="46" t="s">
        <v>94</v>
      </c>
      <c r="C29" s="58"/>
      <c r="D29" s="59"/>
      <c r="E29" s="220"/>
      <c r="F29" s="220"/>
      <c r="G29" s="220"/>
      <c r="H29" s="220"/>
      <c r="I29" s="220"/>
      <c r="J29" s="220"/>
      <c r="K29" s="220"/>
      <c r="L29" s="220"/>
      <c r="M29" s="220"/>
      <c r="N29" s="220"/>
      <c r="O29" s="220"/>
      <c r="P29" s="220"/>
      <c r="Q29" s="220"/>
      <c r="R29" s="220"/>
      <c r="S29" s="220"/>
      <c r="T29" s="220"/>
      <c r="U29" s="220"/>
      <c r="V29" s="276"/>
      <c r="W29" s="294"/>
      <c r="X29" s="7"/>
      <c r="Y29" s="5"/>
      <c r="Z29" s="5"/>
      <c r="AA29" s="38"/>
    </row>
    <row r="30" spans="1:27" s="39" customFormat="1" ht="15" outlineLevel="1">
      <c r="A30" s="50"/>
      <c r="B30" s="51" t="s">
        <v>147</v>
      </c>
      <c r="C30" s="43">
        <f aca="true" t="shared" si="12" ref="C30:U30">SUM(C31:C31)</f>
        <v>0</v>
      </c>
      <c r="D30" s="43">
        <f t="shared" si="12"/>
        <v>0</v>
      </c>
      <c r="E30" s="222">
        <f t="shared" si="12"/>
        <v>11250</v>
      </c>
      <c r="F30" s="222">
        <f t="shared" si="12"/>
        <v>11250</v>
      </c>
      <c r="G30" s="222">
        <f t="shared" si="12"/>
        <v>11500</v>
      </c>
      <c r="H30" s="222">
        <f t="shared" si="12"/>
        <v>34000</v>
      </c>
      <c r="I30" s="222">
        <f t="shared" si="12"/>
        <v>34000</v>
      </c>
      <c r="J30" s="222">
        <f t="shared" si="12"/>
        <v>34000</v>
      </c>
      <c r="K30" s="222">
        <f t="shared" si="12"/>
        <v>44000</v>
      </c>
      <c r="L30" s="222">
        <f t="shared" si="12"/>
        <v>35000</v>
      </c>
      <c r="M30" s="222">
        <f t="shared" si="12"/>
        <v>35000</v>
      </c>
      <c r="N30" s="222">
        <f t="shared" si="12"/>
        <v>35000</v>
      </c>
      <c r="O30" s="222">
        <f t="shared" si="12"/>
        <v>0</v>
      </c>
      <c r="P30" s="222">
        <f t="shared" si="12"/>
        <v>0</v>
      </c>
      <c r="Q30" s="222">
        <f t="shared" si="12"/>
        <v>0</v>
      </c>
      <c r="R30" s="222">
        <f t="shared" si="12"/>
        <v>0</v>
      </c>
      <c r="S30" s="222"/>
      <c r="T30" s="222">
        <f t="shared" si="12"/>
        <v>0</v>
      </c>
      <c r="U30" s="222">
        <f t="shared" si="12"/>
        <v>251000</v>
      </c>
      <c r="V30" s="201">
        <f>'QFR - B'!G20</f>
        <v>800000</v>
      </c>
      <c r="W30" s="290">
        <f>V30-U30</f>
        <v>549000</v>
      </c>
      <c r="X30" s="247"/>
      <c r="Y30" s="5"/>
      <c r="Z30" s="5"/>
      <c r="AA30" s="38"/>
    </row>
    <row r="31" spans="1:27" s="210" customFormat="1" ht="15" outlineLevel="1">
      <c r="A31" s="207"/>
      <c r="B31" s="203" t="s">
        <v>140</v>
      </c>
      <c r="C31" s="211"/>
      <c r="D31" s="212"/>
      <c r="E31" s="205">
        <v>11250</v>
      </c>
      <c r="F31" s="305">
        <v>11250</v>
      </c>
      <c r="G31" s="305">
        <v>11500</v>
      </c>
      <c r="H31" s="205">
        <f>SUMIF('Contract level'!$A:$A,"="&amp;'DFP-Com'!$A29,'Contract level'!AA:AA)</f>
        <v>34000</v>
      </c>
      <c r="I31" s="205">
        <f>SUMIF('Contract level'!$A:$A,"="&amp;'DFP-Com'!$A29,'Contract level'!AB:AB)</f>
        <v>34000</v>
      </c>
      <c r="J31" s="205">
        <f>SUMIF('Contract level'!$A:$A,"="&amp;'DFP-Com'!$A29,'Contract level'!AC:AC)</f>
        <v>34000</v>
      </c>
      <c r="K31" s="205">
        <f>SUMIF('Contract level'!$A:$A,"="&amp;'DFP-Com'!$A29,'Contract level'!AD:AD)</f>
        <v>44000</v>
      </c>
      <c r="L31" s="205">
        <f>SUMIF('Contract level'!$A:$A,"="&amp;'DFP-Com'!$A29,'Contract level'!AE:AE)</f>
        <v>35000</v>
      </c>
      <c r="M31" s="205">
        <f>SUMIF('Contract level'!$A:$A,"="&amp;'DFP-Com'!$A29,'Contract level'!AF:AF)</f>
        <v>35000</v>
      </c>
      <c r="N31" s="205">
        <f>SUMIF('Contract level'!$A:$A,"="&amp;'DFP-Com'!$A29,'Contract level'!AG:AG)</f>
        <v>35000</v>
      </c>
      <c r="O31" s="205">
        <f>SUMIF('Contract level'!$A:$A,"="&amp;'DFP-Com'!$A29,'Contract level'!AH:AH)</f>
        <v>0</v>
      </c>
      <c r="P31" s="205">
        <f>SUMIF('Contract level'!$A:$A,"="&amp;'DFP-Com'!$A29,'Contract level'!AI:AI)</f>
        <v>0</v>
      </c>
      <c r="Q31" s="205">
        <f>SUMIF('Contract level'!$A:$A,"="&amp;'DFP-Com'!$A29,'Contract level'!AJ:AJ)</f>
        <v>0</v>
      </c>
      <c r="R31" s="205">
        <f>SUMIF('Contract level'!$A:$A,"="&amp;'DFP-Com'!$A29,'Contract level'!AK:AK)</f>
        <v>0</v>
      </c>
      <c r="S31" s="305"/>
      <c r="T31" s="205">
        <f>SUMIF('Contract level'!$A:$A,"="&amp;'DFP-Com'!$A29,'Contract level'!AL:AL)</f>
        <v>0</v>
      </c>
      <c r="U31" s="205">
        <f>SUM(H31:T31)+D31+C31</f>
        <v>251000</v>
      </c>
      <c r="V31" s="206"/>
      <c r="W31" s="291"/>
      <c r="X31" s="247"/>
      <c r="Y31" s="208"/>
      <c r="Z31" s="208"/>
      <c r="AA31" s="209"/>
    </row>
    <row r="32" spans="1:27" s="39" customFormat="1" ht="15" outlineLevel="1">
      <c r="A32" s="50"/>
      <c r="B32" s="51" t="s">
        <v>98</v>
      </c>
      <c r="C32" s="52">
        <f>SUM(C33:C35)</f>
        <v>0</v>
      </c>
      <c r="D32" s="52">
        <f aca="true" t="shared" si="13" ref="D32:O32">SUM(D33:D35)</f>
        <v>36750</v>
      </c>
      <c r="E32" s="199">
        <f t="shared" si="13"/>
        <v>27350</v>
      </c>
      <c r="F32" s="199">
        <f t="shared" si="13"/>
        <v>10100</v>
      </c>
      <c r="G32" s="199">
        <f t="shared" si="13"/>
        <v>10100</v>
      </c>
      <c r="H32" s="199">
        <f t="shared" si="13"/>
        <v>47550</v>
      </c>
      <c r="I32" s="199">
        <f t="shared" si="13"/>
        <v>130300</v>
      </c>
      <c r="J32" s="199">
        <f t="shared" si="13"/>
        <v>454800.00000000006</v>
      </c>
      <c r="K32" s="199">
        <f t="shared" si="13"/>
        <v>429550</v>
      </c>
      <c r="L32" s="199">
        <f t="shared" si="13"/>
        <v>311750</v>
      </c>
      <c r="M32" s="199">
        <f t="shared" si="13"/>
        <v>249250</v>
      </c>
      <c r="N32" s="199">
        <f t="shared" si="13"/>
        <v>36750.000000000044</v>
      </c>
      <c r="O32" s="199">
        <f t="shared" si="13"/>
        <v>36750</v>
      </c>
      <c r="P32" s="199">
        <f aca="true" t="shared" si="14" ref="P32">SUM(P33:P35)</f>
        <v>36750</v>
      </c>
      <c r="Q32" s="199">
        <f aca="true" t="shared" si="15" ref="Q32:T32">SUM(Q33:Q35)</f>
        <v>36750</v>
      </c>
      <c r="R32" s="199">
        <f t="shared" si="15"/>
        <v>12250</v>
      </c>
      <c r="S32" s="199"/>
      <c r="T32" s="199">
        <f t="shared" si="15"/>
        <v>0</v>
      </c>
      <c r="U32" s="199">
        <f>SUM(U33:U35)</f>
        <v>1819200</v>
      </c>
      <c r="V32" s="201">
        <f>'QFR - B'!G21</f>
        <v>3600000</v>
      </c>
      <c r="W32" s="290">
        <f>V32-U32</f>
        <v>1780800</v>
      </c>
      <c r="X32" s="247"/>
      <c r="Y32" s="5"/>
      <c r="Z32" s="5"/>
      <c r="AA32" s="38"/>
    </row>
    <row r="33" spans="1:27" s="210" customFormat="1" ht="15" outlineLevel="1">
      <c r="A33" s="207"/>
      <c r="B33" s="203" t="s">
        <v>141</v>
      </c>
      <c r="C33" s="211">
        <v>0</v>
      </c>
      <c r="D33" s="212">
        <f>24500+12250</f>
        <v>36750</v>
      </c>
      <c r="E33" s="205">
        <v>22350</v>
      </c>
      <c r="F33" s="305">
        <v>10100</v>
      </c>
      <c r="G33" s="305">
        <v>10100</v>
      </c>
      <c r="H33" s="205">
        <f>SUMIF('Contract level'!$A:$A,"="&amp;'DFP-Com'!$A31,'Contract level'!AA:AA)</f>
        <v>42550</v>
      </c>
      <c r="I33" s="205">
        <f>SUMIF('Contract level'!$A:$A,"="&amp;'DFP-Com'!$A31,'Contract level'!AB:AB)</f>
        <v>67800</v>
      </c>
      <c r="J33" s="205">
        <f>SUMIF('Contract level'!$A:$A,"="&amp;'DFP-Com'!$A31,'Contract level'!AC:AC)</f>
        <v>129800.00000000004</v>
      </c>
      <c r="K33" s="205">
        <f>SUMIF('Contract level'!$A:$A,"="&amp;'DFP-Com'!$A31,'Contract level'!AD:AD)</f>
        <v>104550</v>
      </c>
      <c r="L33" s="205">
        <f>SUMIF('Contract level'!$A:$A,"="&amp;'DFP-Com'!$A31,'Contract level'!AE:AE)</f>
        <v>74250</v>
      </c>
      <c r="M33" s="205">
        <f>SUMIF('Contract level'!$A:$A,"="&amp;'DFP-Com'!$A31,'Contract level'!AF:AF)</f>
        <v>74250</v>
      </c>
      <c r="N33" s="205">
        <f>SUMIF('Contract level'!$A:$A,"="&amp;'DFP-Com'!$A31,'Contract level'!AG:AG)</f>
        <v>36750.000000000044</v>
      </c>
      <c r="O33" s="205">
        <f>SUMIF('Contract level'!$A:$A,"="&amp;'DFP-Com'!$A31,'Contract level'!AH:AH)</f>
        <v>36750</v>
      </c>
      <c r="P33" s="205">
        <f>SUMIF('Contract level'!$A:$A,"="&amp;'DFP-Com'!$A31,'Contract level'!AI:AI)</f>
        <v>36750</v>
      </c>
      <c r="Q33" s="205">
        <f>SUMIF('Contract level'!$A:$A,"="&amp;'DFP-Com'!$A31,'Contract level'!AJ:AJ)</f>
        <v>36750</v>
      </c>
      <c r="R33" s="205">
        <f>SUMIF('Contract level'!$A:$A,"="&amp;'DFP-Com'!$A31,'Contract level'!AK:AK)</f>
        <v>12250</v>
      </c>
      <c r="S33" s="305"/>
      <c r="T33" s="205">
        <f>SUMIF('Contract level'!$A:$A,"="&amp;'DFP-Com'!$A31,'Contract level'!AL:AL)</f>
        <v>0</v>
      </c>
      <c r="U33" s="205">
        <f>SUM(H33:T33)+D33+C33</f>
        <v>689200.0000000001</v>
      </c>
      <c r="V33" s="206"/>
      <c r="W33" s="291"/>
      <c r="X33" s="247"/>
      <c r="Y33" s="208"/>
      <c r="Z33" s="208"/>
      <c r="AA33" s="209"/>
    </row>
    <row r="34" spans="1:27" s="210" customFormat="1" ht="15" outlineLevel="1">
      <c r="A34" s="207"/>
      <c r="B34" s="203" t="s">
        <v>142</v>
      </c>
      <c r="C34" s="211"/>
      <c r="D34" s="212">
        <v>0</v>
      </c>
      <c r="E34" s="205"/>
      <c r="F34" s="205"/>
      <c r="G34" s="205">
        <v>0</v>
      </c>
      <c r="H34" s="205">
        <f>SUMIF('Contract level'!$A:$A,"="&amp;'DFP-Com'!$A32,'Contract level'!AA:AA)</f>
        <v>0</v>
      </c>
      <c r="I34" s="205">
        <f>SUMIF('Contract level'!$A:$A,"="&amp;'DFP-Com'!$A32,'Contract level'!AB:AB)</f>
        <v>62500</v>
      </c>
      <c r="J34" s="205">
        <f>SUMIF('Contract level'!$A:$A,"="&amp;'DFP-Com'!$A32,'Contract level'!AC:AC)</f>
        <v>325000</v>
      </c>
      <c r="K34" s="205">
        <f>SUMIF('Contract level'!$A:$A,"="&amp;'DFP-Com'!$A32,'Contract level'!AD:AD)</f>
        <v>325000</v>
      </c>
      <c r="L34" s="205">
        <f>SUMIF('Contract level'!$A:$A,"="&amp;'DFP-Com'!$A32,'Contract level'!AE:AE)</f>
        <v>237500</v>
      </c>
      <c r="M34" s="205">
        <f>SUMIF('Contract level'!$A:$A,"="&amp;'DFP-Com'!$A32,'Contract level'!AF:AF)</f>
        <v>175000</v>
      </c>
      <c r="N34" s="205">
        <f>SUMIF('Contract level'!$A:$A,"="&amp;'DFP-Com'!$A32,'Contract level'!AG:AG)</f>
        <v>0</v>
      </c>
      <c r="O34" s="205">
        <f>SUMIF('Contract level'!$A:$A,"="&amp;'DFP-Com'!$A32,'Contract level'!AH:AH)</f>
        <v>0</v>
      </c>
      <c r="P34" s="205">
        <f>SUMIF('Contract level'!$A:$A,"="&amp;'DFP-Com'!$A32,'Contract level'!AI:AI)</f>
        <v>0</v>
      </c>
      <c r="Q34" s="205">
        <f>SUMIF('Contract level'!$A:$A,"="&amp;'DFP-Com'!$A32,'Contract level'!AJ:AJ)</f>
        <v>0</v>
      </c>
      <c r="R34" s="205">
        <f>SUMIF('Contract level'!$A:$A,"="&amp;'DFP-Com'!$A32,'Contract level'!AK:AK)</f>
        <v>0</v>
      </c>
      <c r="S34" s="305"/>
      <c r="T34" s="205">
        <f>SUMIF('Contract level'!$A:$A,"="&amp;'DFP-Com'!$A32,'Contract level'!AL:AL)</f>
        <v>0</v>
      </c>
      <c r="U34" s="305">
        <f aca="true" t="shared" si="16" ref="U34:U35">SUM(H34:T34)+D34+C34</f>
        <v>1125000</v>
      </c>
      <c r="V34" s="206"/>
      <c r="W34" s="291"/>
      <c r="X34" s="247"/>
      <c r="Y34" s="208"/>
      <c r="Z34" s="208"/>
      <c r="AA34" s="209"/>
    </row>
    <row r="35" spans="1:27" s="210" customFormat="1" ht="15" outlineLevel="1">
      <c r="A35" s="207"/>
      <c r="B35" s="203" t="s">
        <v>144</v>
      </c>
      <c r="C35" s="211"/>
      <c r="D35" s="212">
        <v>0</v>
      </c>
      <c r="E35" s="205">
        <v>5000</v>
      </c>
      <c r="F35" s="205"/>
      <c r="G35" s="205"/>
      <c r="H35" s="205">
        <f>SUMIF('Contract level'!$A:$A,"="&amp;'DFP-Com'!$A33,'Contract level'!AA:AA)</f>
        <v>5000</v>
      </c>
      <c r="I35" s="205">
        <f>SUMIF('Contract level'!$A:$A,"="&amp;'DFP-Com'!$A33,'Contract level'!AB:AB)</f>
        <v>0</v>
      </c>
      <c r="J35" s="205">
        <f>SUMIF('Contract level'!$A:$A,"="&amp;'DFP-Com'!$A33,'Contract level'!AC:AC)</f>
        <v>0</v>
      </c>
      <c r="K35" s="205">
        <f>SUMIF('Contract level'!$A:$A,"="&amp;'DFP-Com'!$A33,'Contract level'!AD:AD)</f>
        <v>0</v>
      </c>
      <c r="L35" s="205">
        <f>SUMIF('Contract level'!$A:$A,"="&amp;'DFP-Com'!$A33,'Contract level'!AE:AE)</f>
        <v>0</v>
      </c>
      <c r="M35" s="205">
        <f>SUMIF('Contract level'!$A:$A,"="&amp;'DFP-Com'!$A33,'Contract level'!AF:AF)</f>
        <v>0</v>
      </c>
      <c r="N35" s="205">
        <f>SUMIF('Contract level'!$A:$A,"="&amp;'DFP-Com'!$A33,'Contract level'!AG:AG)</f>
        <v>0</v>
      </c>
      <c r="O35" s="205">
        <f>SUMIF('Contract level'!$A:$A,"="&amp;'DFP-Com'!$A33,'Contract level'!AH:AH)</f>
        <v>0</v>
      </c>
      <c r="P35" s="205">
        <f>SUMIF('Contract level'!$A:$A,"="&amp;'DFP-Com'!$A33,'Contract level'!AI:AI)</f>
        <v>0</v>
      </c>
      <c r="Q35" s="205">
        <f>SUMIF('Contract level'!$A:$A,"="&amp;'DFP-Com'!$A33,'Contract level'!AJ:AJ)</f>
        <v>0</v>
      </c>
      <c r="R35" s="205">
        <f>SUMIF('Contract level'!$A:$A,"="&amp;'DFP-Com'!$A33,'Contract level'!AK:AK)</f>
        <v>0</v>
      </c>
      <c r="S35" s="305"/>
      <c r="T35" s="205">
        <f>SUMIF('Contract level'!$A:$A,"="&amp;'DFP-Com'!$A33,'Contract level'!AL:AL)</f>
        <v>0</v>
      </c>
      <c r="U35" s="305">
        <f t="shared" si="16"/>
        <v>5000</v>
      </c>
      <c r="V35" s="206"/>
      <c r="W35" s="291"/>
      <c r="X35" s="70"/>
      <c r="Y35" s="208"/>
      <c r="Z35" s="208"/>
      <c r="AA35" s="209"/>
    </row>
    <row r="36" spans="1:27" s="39" customFormat="1" ht="15">
      <c r="A36" s="50"/>
      <c r="B36" s="60" t="s">
        <v>66</v>
      </c>
      <c r="C36" s="54">
        <f>C32+C30</f>
        <v>0</v>
      </c>
      <c r="D36" s="54">
        <f aca="true" t="shared" si="17" ref="D36:W36">D32+D30</f>
        <v>36750</v>
      </c>
      <c r="E36" s="200">
        <f t="shared" si="17"/>
        <v>38600</v>
      </c>
      <c r="F36" s="200">
        <f t="shared" si="17"/>
        <v>21350</v>
      </c>
      <c r="G36" s="200">
        <f t="shared" si="17"/>
        <v>21600</v>
      </c>
      <c r="H36" s="200">
        <f t="shared" si="17"/>
        <v>81550</v>
      </c>
      <c r="I36" s="200">
        <f t="shared" si="17"/>
        <v>164300</v>
      </c>
      <c r="J36" s="200">
        <f t="shared" si="17"/>
        <v>488800.00000000006</v>
      </c>
      <c r="K36" s="200">
        <f t="shared" si="17"/>
        <v>473550</v>
      </c>
      <c r="L36" s="200">
        <f t="shared" si="17"/>
        <v>346750</v>
      </c>
      <c r="M36" s="200">
        <f t="shared" si="17"/>
        <v>284250</v>
      </c>
      <c r="N36" s="200">
        <f t="shared" si="17"/>
        <v>71750.00000000004</v>
      </c>
      <c r="O36" s="200">
        <f t="shared" si="17"/>
        <v>36750</v>
      </c>
      <c r="P36" s="200">
        <f aca="true" t="shared" si="18" ref="P36">P32+P30</f>
        <v>36750</v>
      </c>
      <c r="Q36" s="200">
        <f t="shared" si="17"/>
        <v>36750</v>
      </c>
      <c r="R36" s="200">
        <f t="shared" si="17"/>
        <v>12250</v>
      </c>
      <c r="S36" s="200"/>
      <c r="T36" s="200">
        <f t="shared" si="17"/>
        <v>0</v>
      </c>
      <c r="U36" s="200">
        <f>U32+U30</f>
        <v>2070200</v>
      </c>
      <c r="V36" s="200">
        <f t="shared" si="17"/>
        <v>4400000</v>
      </c>
      <c r="W36" s="296">
        <f t="shared" si="17"/>
        <v>2329800</v>
      </c>
      <c r="X36" s="247"/>
      <c r="Y36" s="5"/>
      <c r="Z36" s="5"/>
      <c r="AA36" s="38"/>
    </row>
    <row r="37" spans="1:27" s="39" customFormat="1" ht="15">
      <c r="A37" s="50"/>
      <c r="B37" s="55"/>
      <c r="C37" s="56"/>
      <c r="D37" s="57"/>
      <c r="E37" s="219"/>
      <c r="F37" s="219"/>
      <c r="G37" s="219"/>
      <c r="H37" s="219"/>
      <c r="I37" s="219"/>
      <c r="J37" s="219"/>
      <c r="K37" s="219"/>
      <c r="L37" s="219"/>
      <c r="M37" s="219"/>
      <c r="N37" s="219"/>
      <c r="O37" s="219"/>
      <c r="P37" s="219"/>
      <c r="Q37" s="219"/>
      <c r="R37" s="219"/>
      <c r="S37" s="219"/>
      <c r="T37" s="219"/>
      <c r="U37" s="219"/>
      <c r="V37" s="275"/>
      <c r="W37" s="293"/>
      <c r="X37" s="7"/>
      <c r="Y37" s="5"/>
      <c r="Z37" s="5"/>
      <c r="AA37" s="38"/>
    </row>
    <row r="38" spans="1:27" s="65" customFormat="1" ht="15">
      <c r="A38" s="61"/>
      <c r="B38" s="46" t="s">
        <v>103</v>
      </c>
      <c r="C38" s="62"/>
      <c r="D38" s="63"/>
      <c r="E38" s="272"/>
      <c r="F38" s="272"/>
      <c r="G38" s="272"/>
      <c r="H38" s="272"/>
      <c r="I38" s="272"/>
      <c r="J38" s="272"/>
      <c r="K38" s="272"/>
      <c r="L38" s="272"/>
      <c r="M38" s="272"/>
      <c r="N38" s="272"/>
      <c r="O38" s="272"/>
      <c r="P38" s="272"/>
      <c r="Q38" s="272"/>
      <c r="R38" s="272"/>
      <c r="S38" s="272"/>
      <c r="T38" s="272"/>
      <c r="U38" s="220"/>
      <c r="V38" s="276"/>
      <c r="W38" s="294"/>
      <c r="X38" s="7"/>
      <c r="Y38" s="10"/>
      <c r="Z38" s="10"/>
      <c r="AA38" s="64"/>
    </row>
    <row r="39" spans="1:27" s="65" customFormat="1" ht="15" outlineLevel="1">
      <c r="A39" s="61"/>
      <c r="B39" s="66" t="s">
        <v>104</v>
      </c>
      <c r="C39" s="52">
        <f>SUM(C40:C42)</f>
        <v>0</v>
      </c>
      <c r="D39" s="52">
        <f aca="true" t="shared" si="19" ref="D39:O39">SUM(D40:D42)</f>
        <v>0</v>
      </c>
      <c r="E39" s="199">
        <f t="shared" si="19"/>
        <v>6000</v>
      </c>
      <c r="F39" s="199">
        <f t="shared" si="19"/>
        <v>5000</v>
      </c>
      <c r="G39" s="199">
        <f t="shared" si="19"/>
        <v>6920</v>
      </c>
      <c r="H39" s="199">
        <f t="shared" si="19"/>
        <v>17919.999999999996</v>
      </c>
      <c r="I39" s="199">
        <f t="shared" si="19"/>
        <v>78480</v>
      </c>
      <c r="J39" s="199">
        <f t="shared" si="19"/>
        <v>56000</v>
      </c>
      <c r="K39" s="199">
        <f t="shared" si="19"/>
        <v>81000</v>
      </c>
      <c r="L39" s="199">
        <f t="shared" si="19"/>
        <v>56000</v>
      </c>
      <c r="M39" s="199">
        <f t="shared" si="19"/>
        <v>30999.999999999996</v>
      </c>
      <c r="N39" s="199">
        <f t="shared" si="19"/>
        <v>30999.999999999996</v>
      </c>
      <c r="O39" s="199">
        <f t="shared" si="19"/>
        <v>5999.999999999997</v>
      </c>
      <c r="P39" s="199">
        <f aca="true" t="shared" si="20" ref="P39">SUM(P40:P42)</f>
        <v>231000</v>
      </c>
      <c r="Q39" s="199">
        <f aca="true" t="shared" si="21" ref="Q39:T39">SUM(Q40:Q42)</f>
        <v>231000</v>
      </c>
      <c r="R39" s="199">
        <f t="shared" si="21"/>
        <v>231000</v>
      </c>
      <c r="S39" s="199"/>
      <c r="T39" s="199">
        <f t="shared" si="21"/>
        <v>225000</v>
      </c>
      <c r="U39" s="222">
        <f>SUM(U40:U42)</f>
        <v>1275400</v>
      </c>
      <c r="V39" s="201">
        <f>'QFR - B'!G24</f>
        <v>1700000</v>
      </c>
      <c r="W39" s="290">
        <f>V39-U39</f>
        <v>424600</v>
      </c>
      <c r="X39" s="7"/>
      <c r="Y39" s="10"/>
      <c r="Z39" s="10"/>
      <c r="AA39" s="64"/>
    </row>
    <row r="40" spans="1:27" s="217" customFormat="1" ht="15" outlineLevel="1">
      <c r="A40" s="213"/>
      <c r="B40" s="214" t="s">
        <v>131</v>
      </c>
      <c r="C40" s="211"/>
      <c r="D40" s="211"/>
      <c r="E40" s="204">
        <v>6000</v>
      </c>
      <c r="F40" s="305">
        <f>5000</f>
        <v>5000</v>
      </c>
      <c r="G40" s="305">
        <v>6920</v>
      </c>
      <c r="H40" s="205">
        <f>SUMIF('Contract level'!$A:$A,"="&amp;'DFP-Com'!$A38,'Contract level'!AA:AA)</f>
        <v>17919.999999999996</v>
      </c>
      <c r="I40" s="205">
        <f>SUMIF('Contract level'!$A:$A,"="&amp;'DFP-Com'!$A38,'Contract level'!AB:AB)</f>
        <v>53480</v>
      </c>
      <c r="J40" s="205">
        <f>SUMIF('Contract level'!$A:$A,"="&amp;'DFP-Com'!$A38,'Contract level'!AC:AC)</f>
        <v>30999.999999999996</v>
      </c>
      <c r="K40" s="205">
        <f>SUMIF('Contract level'!$A:$A,"="&amp;'DFP-Com'!$A38,'Contract level'!AD:AD)</f>
        <v>30999.999999999996</v>
      </c>
      <c r="L40" s="205">
        <f>SUMIF('Contract level'!$A:$A,"="&amp;'DFP-Com'!$A38,'Contract level'!AE:AE)</f>
        <v>30999.999999999996</v>
      </c>
      <c r="M40" s="205">
        <f>SUMIF('Contract level'!$A:$A,"="&amp;'DFP-Com'!$A38,'Contract level'!AF:AF)</f>
        <v>5999.999999999997</v>
      </c>
      <c r="N40" s="205">
        <f>SUMIF('Contract level'!$A:$A,"="&amp;'DFP-Com'!$A38,'Contract level'!AG:AG)</f>
        <v>5999.999999999997</v>
      </c>
      <c r="O40" s="205">
        <f>SUMIF('Contract level'!$A:$A,"="&amp;'DFP-Com'!$A38,'Contract level'!AH:AH)</f>
        <v>5999.999999999997</v>
      </c>
      <c r="P40" s="205">
        <f>SUMIF('Contract level'!$A:$A,"="&amp;'DFP-Com'!$A38,'Contract level'!AI:AI)</f>
        <v>131000</v>
      </c>
      <c r="Q40" s="205">
        <f>SUMIF('Contract level'!$A:$A,"="&amp;'DFP-Com'!$A38,'Contract level'!AJ:AJ)</f>
        <v>131000</v>
      </c>
      <c r="R40" s="205">
        <f>SUMIF('Contract level'!$A:$A,"="&amp;'DFP-Com'!$A38,'Contract level'!AK:AK)</f>
        <v>131000</v>
      </c>
      <c r="S40" s="305"/>
      <c r="T40" s="205">
        <f>SUMIF('Contract level'!$A:$A,"="&amp;'DFP-Com'!$A38,'Contract level'!AL:AL)</f>
        <v>125000</v>
      </c>
      <c r="U40" s="205">
        <f>SUM(H40:T40)+D40+C40</f>
        <v>700400</v>
      </c>
      <c r="V40" s="277"/>
      <c r="W40" s="295"/>
      <c r="X40" s="70"/>
      <c r="Y40" s="215"/>
      <c r="Z40" s="215"/>
      <c r="AA40" s="216"/>
    </row>
    <row r="41" spans="1:27" s="217" customFormat="1" ht="15" outlineLevel="1">
      <c r="A41" s="213"/>
      <c r="B41" s="214" t="s">
        <v>132</v>
      </c>
      <c r="C41" s="211"/>
      <c r="D41" s="211"/>
      <c r="E41" s="204"/>
      <c r="F41" s="204"/>
      <c r="G41" s="204"/>
      <c r="H41" s="205">
        <f>SUMIF('Contract level'!$A:$A,"="&amp;'DFP-Com'!$A39,'Contract level'!AA:AA)</f>
        <v>0</v>
      </c>
      <c r="I41" s="205">
        <f>SUMIF('Contract level'!$A:$A,"="&amp;'DFP-Com'!$A39,'Contract level'!AB:AB)</f>
        <v>25000</v>
      </c>
      <c r="J41" s="205">
        <f>SUMIF('Contract level'!$A:$A,"="&amp;'DFP-Com'!$A39,'Contract level'!AC:AC)</f>
        <v>25000</v>
      </c>
      <c r="K41" s="205">
        <f>SUMIF('Contract level'!$A:$A,"="&amp;'DFP-Com'!$A39,'Contract level'!AD:AD)</f>
        <v>25000</v>
      </c>
      <c r="L41" s="205">
        <f>SUMIF('Contract level'!$A:$A,"="&amp;'DFP-Com'!$A39,'Contract level'!AE:AE)</f>
        <v>0</v>
      </c>
      <c r="M41" s="205">
        <f>SUMIF('Contract level'!$A:$A,"="&amp;'DFP-Com'!$A39,'Contract level'!AF:AF)</f>
        <v>0</v>
      </c>
      <c r="N41" s="205">
        <f>SUMIF('Contract level'!$A:$A,"="&amp;'DFP-Com'!$A39,'Contract level'!AG:AG)</f>
        <v>0</v>
      </c>
      <c r="O41" s="205">
        <f>SUMIF('Contract level'!$A:$A,"="&amp;'DFP-Com'!$A39,'Contract level'!AH:AH)</f>
        <v>0</v>
      </c>
      <c r="P41" s="205">
        <f>SUMIF('Contract level'!$A:$A,"="&amp;'DFP-Com'!$A39,'Contract level'!AI:AI)</f>
        <v>50000</v>
      </c>
      <c r="Q41" s="205">
        <f>SUMIF('Contract level'!$A:$A,"="&amp;'DFP-Com'!$A39,'Contract level'!AJ:AJ)</f>
        <v>50000</v>
      </c>
      <c r="R41" s="205">
        <f>SUMIF('Contract level'!$A:$A,"="&amp;'DFP-Com'!$A39,'Contract level'!AK:AK)</f>
        <v>50000</v>
      </c>
      <c r="S41" s="305"/>
      <c r="T41" s="205">
        <f>SUMIF('Contract level'!$A:$A,"="&amp;'DFP-Com'!$A39,'Contract level'!AL:AL)</f>
        <v>50000</v>
      </c>
      <c r="U41" s="305">
        <f aca="true" t="shared" si="22" ref="U41:U43">SUM(H41:T41)+D41+C41</f>
        <v>275000</v>
      </c>
      <c r="V41" s="277"/>
      <c r="W41" s="295"/>
      <c r="X41" s="70"/>
      <c r="Y41" s="215"/>
      <c r="Z41" s="215"/>
      <c r="AA41" s="216"/>
    </row>
    <row r="42" spans="1:27" s="217" customFormat="1" ht="15" outlineLevel="1">
      <c r="A42" s="213"/>
      <c r="B42" s="214" t="s">
        <v>133</v>
      </c>
      <c r="C42" s="211"/>
      <c r="D42" s="211"/>
      <c r="E42" s="204"/>
      <c r="F42" s="204"/>
      <c r="G42" s="204"/>
      <c r="H42" s="205">
        <f>SUMIF('Contract level'!$A:$A,"="&amp;'DFP-Com'!$A40,'Contract level'!AA:AA)</f>
        <v>0</v>
      </c>
      <c r="I42" s="205">
        <f>SUMIF('Contract level'!$A:$A,"="&amp;'DFP-Com'!$A40,'Contract level'!AB:AB)</f>
        <v>0</v>
      </c>
      <c r="J42" s="205">
        <f>SUMIF('Contract level'!$A:$A,"="&amp;'DFP-Com'!$A40,'Contract level'!AC:AC)</f>
        <v>0</v>
      </c>
      <c r="K42" s="205">
        <f>SUMIF('Contract level'!$A:$A,"="&amp;'DFP-Com'!$A40,'Contract level'!AD:AD)</f>
        <v>25000</v>
      </c>
      <c r="L42" s="205">
        <f>SUMIF('Contract level'!$A:$A,"="&amp;'DFP-Com'!$A40,'Contract level'!AE:AE)</f>
        <v>25000</v>
      </c>
      <c r="M42" s="205">
        <f>SUMIF('Contract level'!$A:$A,"="&amp;'DFP-Com'!$A40,'Contract level'!AF:AF)</f>
        <v>25000</v>
      </c>
      <c r="N42" s="205">
        <f>SUMIF('Contract level'!$A:$A,"="&amp;'DFP-Com'!$A40,'Contract level'!AG:AG)</f>
        <v>25000</v>
      </c>
      <c r="O42" s="205">
        <f>SUMIF('Contract level'!$A:$A,"="&amp;'DFP-Com'!$A40,'Contract level'!AH:AH)</f>
        <v>0</v>
      </c>
      <c r="P42" s="205">
        <f>SUMIF('Contract level'!$A:$A,"="&amp;'DFP-Com'!$A40,'Contract level'!AI:AI)</f>
        <v>50000</v>
      </c>
      <c r="Q42" s="205">
        <f>SUMIF('Contract level'!$A:$A,"="&amp;'DFP-Com'!$A40,'Contract level'!AJ:AJ)</f>
        <v>50000</v>
      </c>
      <c r="R42" s="205">
        <f>SUMIF('Contract level'!$A:$A,"="&amp;'DFP-Com'!$A40,'Contract level'!AK:AK)</f>
        <v>50000</v>
      </c>
      <c r="S42" s="305"/>
      <c r="T42" s="205">
        <f>SUMIF('Contract level'!$A:$A,"="&amp;'DFP-Com'!$A40,'Contract level'!AL:AL)</f>
        <v>50000</v>
      </c>
      <c r="U42" s="305">
        <f t="shared" si="22"/>
        <v>300000</v>
      </c>
      <c r="V42" s="277"/>
      <c r="W42" s="295"/>
      <c r="X42" s="70"/>
      <c r="Y42" s="215"/>
      <c r="Z42" s="215"/>
      <c r="AA42" s="216"/>
    </row>
    <row r="43" spans="1:27" s="217" customFormat="1" ht="15" outlineLevel="1">
      <c r="A43" s="213"/>
      <c r="B43" s="214" t="s">
        <v>143</v>
      </c>
      <c r="C43" s="211"/>
      <c r="D43" s="211"/>
      <c r="E43" s="204"/>
      <c r="F43" s="204"/>
      <c r="G43" s="204"/>
      <c r="H43" s="205">
        <f>SUMIF('Contract level'!$A:$A,"="&amp;'DFP-Com'!$A41,'Contract level'!AA:AA)</f>
        <v>0</v>
      </c>
      <c r="I43" s="205">
        <f>SUMIF('Contract level'!$A:$A,"="&amp;'DFP-Com'!$A41,'Contract level'!AB:AB)</f>
        <v>0</v>
      </c>
      <c r="J43" s="205">
        <f>SUMIF('Contract level'!$A:$A,"="&amp;'DFP-Com'!$A41,'Contract level'!AC:AC)</f>
        <v>0</v>
      </c>
      <c r="K43" s="205">
        <f>SUMIF('Contract level'!$A:$A,"="&amp;'DFP-Com'!$A41,'Contract level'!AD:AD)</f>
        <v>0</v>
      </c>
      <c r="L43" s="205">
        <f>SUMIF('Contract level'!$A:$A,"="&amp;'DFP-Com'!$A41,'Contract level'!AE:AE)</f>
        <v>0</v>
      </c>
      <c r="M43" s="205">
        <f>SUMIF('Contract level'!$A:$A,"="&amp;'DFP-Com'!$A41,'Contract level'!AF:AF)</f>
        <v>0</v>
      </c>
      <c r="N43" s="205">
        <f>SUMIF('Contract level'!$A:$A,"="&amp;'DFP-Com'!$A41,'Contract level'!AG:AG)</f>
        <v>0</v>
      </c>
      <c r="O43" s="205">
        <f>SUMIF('Contract level'!$A:$A,"="&amp;'DFP-Com'!$A41,'Contract level'!AH:AH)</f>
        <v>0</v>
      </c>
      <c r="P43" s="205">
        <f>SUMIF('Contract level'!$A:$A,"="&amp;'DFP-Com'!$A41,'Contract level'!AI:AI)</f>
        <v>50000</v>
      </c>
      <c r="Q43" s="205">
        <f>SUMIF('Contract level'!$A:$A,"="&amp;'DFP-Com'!$A41,'Contract level'!AJ:AJ)</f>
        <v>50000</v>
      </c>
      <c r="R43" s="205">
        <f>SUMIF('Contract level'!$A:$A,"="&amp;'DFP-Com'!$A41,'Contract level'!AK:AK)</f>
        <v>50000</v>
      </c>
      <c r="S43" s="305"/>
      <c r="T43" s="205">
        <f>SUMIF('Contract level'!$A:$A,"="&amp;'DFP-Com'!$A41,'Contract level'!AL:AL)</f>
        <v>50000</v>
      </c>
      <c r="U43" s="305">
        <f t="shared" si="22"/>
        <v>200000</v>
      </c>
      <c r="V43" s="277"/>
      <c r="W43" s="295"/>
      <c r="X43" s="70"/>
      <c r="Y43" s="215"/>
      <c r="Z43" s="215"/>
      <c r="AA43" s="216"/>
    </row>
    <row r="44" spans="1:27" s="39" customFormat="1" ht="15">
      <c r="A44" s="50"/>
      <c r="B44" s="60" t="s">
        <v>19</v>
      </c>
      <c r="C44" s="54">
        <f>C39</f>
        <v>0</v>
      </c>
      <c r="D44" s="54">
        <f aca="true" t="shared" si="23" ref="D44:W44">D39</f>
        <v>0</v>
      </c>
      <c r="E44" s="200">
        <f t="shared" si="23"/>
        <v>6000</v>
      </c>
      <c r="F44" s="200">
        <f t="shared" si="23"/>
        <v>5000</v>
      </c>
      <c r="G44" s="200">
        <f t="shared" si="23"/>
        <v>6920</v>
      </c>
      <c r="H44" s="200">
        <f t="shared" si="23"/>
        <v>17919.999999999996</v>
      </c>
      <c r="I44" s="200">
        <f t="shared" si="23"/>
        <v>78480</v>
      </c>
      <c r="J44" s="200">
        <f t="shared" si="23"/>
        <v>56000</v>
      </c>
      <c r="K44" s="200">
        <f t="shared" si="23"/>
        <v>81000</v>
      </c>
      <c r="L44" s="200">
        <f t="shared" si="23"/>
        <v>56000</v>
      </c>
      <c r="M44" s="200">
        <f t="shared" si="23"/>
        <v>30999.999999999996</v>
      </c>
      <c r="N44" s="200">
        <f t="shared" si="23"/>
        <v>30999.999999999996</v>
      </c>
      <c r="O44" s="200">
        <f t="shared" si="23"/>
        <v>5999.999999999997</v>
      </c>
      <c r="P44" s="200">
        <f aca="true" t="shared" si="24" ref="P44">P39</f>
        <v>231000</v>
      </c>
      <c r="Q44" s="200">
        <f aca="true" t="shared" si="25" ref="Q44:T44">Q39</f>
        <v>231000</v>
      </c>
      <c r="R44" s="200">
        <f t="shared" si="25"/>
        <v>231000</v>
      </c>
      <c r="S44" s="200"/>
      <c r="T44" s="200">
        <f t="shared" si="25"/>
        <v>225000</v>
      </c>
      <c r="U44" s="200">
        <f t="shared" si="23"/>
        <v>1275400</v>
      </c>
      <c r="V44" s="278">
        <f t="shared" si="23"/>
        <v>1700000</v>
      </c>
      <c r="W44" s="296">
        <f t="shared" si="23"/>
        <v>424600</v>
      </c>
      <c r="X44" s="7"/>
      <c r="Y44" s="5"/>
      <c r="Z44" s="5"/>
      <c r="AA44" s="38"/>
    </row>
    <row r="45" spans="1:27" s="39" customFormat="1" ht="15">
      <c r="A45" s="50"/>
      <c r="B45" s="55"/>
      <c r="C45" s="56"/>
      <c r="D45" s="57"/>
      <c r="E45" s="219"/>
      <c r="F45" s="219"/>
      <c r="G45" s="219"/>
      <c r="H45" s="219"/>
      <c r="I45" s="219"/>
      <c r="J45" s="219"/>
      <c r="K45" s="219"/>
      <c r="L45" s="219"/>
      <c r="M45" s="219"/>
      <c r="N45" s="219"/>
      <c r="O45" s="219"/>
      <c r="P45" s="219"/>
      <c r="Q45" s="219"/>
      <c r="R45" s="219"/>
      <c r="S45" s="219"/>
      <c r="T45" s="219"/>
      <c r="U45" s="219"/>
      <c r="V45" s="275"/>
      <c r="W45" s="293"/>
      <c r="X45" s="7"/>
      <c r="Y45" s="5"/>
      <c r="Z45" s="5"/>
      <c r="AA45" s="38"/>
    </row>
    <row r="46" spans="1:27" s="65" customFormat="1" ht="15">
      <c r="A46" s="61"/>
      <c r="B46" s="46" t="s">
        <v>96</v>
      </c>
      <c r="C46" s="62"/>
      <c r="D46" s="63"/>
      <c r="E46" s="272"/>
      <c r="F46" s="272"/>
      <c r="G46" s="272"/>
      <c r="H46" s="272"/>
      <c r="I46" s="272"/>
      <c r="J46" s="272"/>
      <c r="K46" s="272"/>
      <c r="L46" s="272"/>
      <c r="M46" s="272"/>
      <c r="N46" s="272"/>
      <c r="O46" s="272"/>
      <c r="P46" s="272"/>
      <c r="Q46" s="272"/>
      <c r="R46" s="272"/>
      <c r="S46" s="272"/>
      <c r="T46" s="272"/>
      <c r="U46" s="220"/>
      <c r="V46" s="276"/>
      <c r="W46" s="294"/>
      <c r="X46" s="7"/>
      <c r="Y46" s="10"/>
      <c r="Z46" s="10"/>
      <c r="AA46" s="64"/>
    </row>
    <row r="47" spans="1:27" s="39" customFormat="1" ht="15" outlineLevel="1">
      <c r="A47" s="50"/>
      <c r="B47" s="67" t="s">
        <v>106</v>
      </c>
      <c r="C47" s="52">
        <f aca="true" t="shared" si="26" ref="C47:O47">SUM(C48:C51)</f>
        <v>64605</v>
      </c>
      <c r="D47" s="52">
        <f t="shared" si="26"/>
        <v>38281.520000000004</v>
      </c>
      <c r="E47" s="199">
        <f t="shared" si="26"/>
        <v>21733</v>
      </c>
      <c r="F47" s="199">
        <f t="shared" si="26"/>
        <v>20933</v>
      </c>
      <c r="G47" s="199">
        <f t="shared" si="26"/>
        <v>25433</v>
      </c>
      <c r="H47" s="199">
        <f t="shared" si="26"/>
        <v>68099</v>
      </c>
      <c r="I47" s="199">
        <f t="shared" si="26"/>
        <v>50700</v>
      </c>
      <c r="J47" s="199">
        <f t="shared" si="26"/>
        <v>50700</v>
      </c>
      <c r="K47" s="199">
        <f t="shared" si="26"/>
        <v>66700</v>
      </c>
      <c r="L47" s="199">
        <f t="shared" si="26"/>
        <v>59100</v>
      </c>
      <c r="M47" s="199">
        <f t="shared" si="26"/>
        <v>44100</v>
      </c>
      <c r="N47" s="199">
        <f t="shared" si="26"/>
        <v>44100</v>
      </c>
      <c r="O47" s="199">
        <f t="shared" si="26"/>
        <v>59100</v>
      </c>
      <c r="P47" s="199">
        <f aca="true" t="shared" si="27" ref="P47">SUM(P48:P51)</f>
        <v>59100</v>
      </c>
      <c r="Q47" s="199">
        <f aca="true" t="shared" si="28" ref="Q47:T47">SUM(Q48:Q51)</f>
        <v>44100</v>
      </c>
      <c r="R47" s="199">
        <f t="shared" si="28"/>
        <v>44100</v>
      </c>
      <c r="S47" s="199"/>
      <c r="T47" s="199">
        <f t="shared" si="28"/>
        <v>74032</v>
      </c>
      <c r="U47" s="222">
        <f>C47+D47+SUM(H47:T47)</f>
        <v>766817.52</v>
      </c>
      <c r="V47" s="201">
        <f>'QFR - B'!G27</f>
        <v>800000</v>
      </c>
      <c r="W47" s="290">
        <f>V47-U47</f>
        <v>33182.47999999998</v>
      </c>
      <c r="X47" s="7"/>
      <c r="Y47" s="5"/>
      <c r="Z47" s="5"/>
      <c r="AA47" s="38"/>
    </row>
    <row r="48" spans="1:27" s="210" customFormat="1" ht="12.75" customHeight="1" outlineLevel="1">
      <c r="A48" s="207"/>
      <c r="B48" s="218" t="s">
        <v>153</v>
      </c>
      <c r="C48" s="211">
        <v>64605</v>
      </c>
      <c r="D48" s="211">
        <f>21600+11200</f>
        <v>32800</v>
      </c>
      <c r="E48" s="204">
        <f>56799/3</f>
        <v>18933</v>
      </c>
      <c r="F48" s="304">
        <f>56799/3</f>
        <v>18933</v>
      </c>
      <c r="G48" s="304">
        <f>56799/3</f>
        <v>18933</v>
      </c>
      <c r="H48" s="205">
        <f>SUMIF('Contract level'!$A:$A,"="&amp;'DFP-Com'!$A46,'Contract level'!AA:AA)</f>
        <v>56799</v>
      </c>
      <c r="I48" s="205">
        <f>SUMIF('Contract level'!$A:$A,"="&amp;'DFP-Com'!$A46,'Contract level'!AB:AB)</f>
        <v>46800</v>
      </c>
      <c r="J48" s="205">
        <f>SUMIF('Contract level'!$A:$A,"="&amp;'DFP-Com'!$A46,'Contract level'!AC:AC)</f>
        <v>46800</v>
      </c>
      <c r="K48" s="205">
        <f>SUMIF('Contract level'!$A:$A,"="&amp;'DFP-Com'!$A46,'Contract level'!AD:AD)</f>
        <v>46800</v>
      </c>
      <c r="L48" s="205">
        <f>SUMIF('Contract level'!$A:$A,"="&amp;'DFP-Com'!$A46,'Contract level'!AE:AE)</f>
        <v>40200</v>
      </c>
      <c r="M48" s="205">
        <f>SUMIF('Contract level'!$A:$A,"="&amp;'DFP-Com'!$A46,'Contract level'!AF:AF)</f>
        <v>40200</v>
      </c>
      <c r="N48" s="205">
        <f>SUMIF('Contract level'!$A:$A,"="&amp;'DFP-Com'!$A46,'Contract level'!AG:AG)</f>
        <v>40200</v>
      </c>
      <c r="O48" s="205">
        <f>SUMIF('Contract level'!$A:$A,"="&amp;'DFP-Com'!$A46,'Contract level'!AH:AH)</f>
        <v>40200</v>
      </c>
      <c r="P48" s="205">
        <f>SUMIF('Contract level'!$A:$A,"="&amp;'DFP-Com'!$A46,'Contract level'!AI:AI)</f>
        <v>40200</v>
      </c>
      <c r="Q48" s="205">
        <f>SUMIF('Contract level'!$A:$A,"="&amp;'DFP-Com'!$A46,'Contract level'!AJ:AJ)</f>
        <v>40200</v>
      </c>
      <c r="R48" s="205">
        <f>SUMIF('Contract level'!$A:$A,"="&amp;'DFP-Com'!$A46,'Contract level'!AK:AK)</f>
        <v>40200</v>
      </c>
      <c r="S48" s="305"/>
      <c r="T48" s="205">
        <f>SUMIF('Contract level'!$A:$A,"="&amp;'DFP-Com'!$A46,'Contract level'!AL:AL)</f>
        <v>40200</v>
      </c>
      <c r="U48" s="205">
        <f>SUM(H48:T48)+D48+C48</f>
        <v>616204</v>
      </c>
      <c r="V48" s="277"/>
      <c r="W48" s="291"/>
      <c r="X48" s="70"/>
      <c r="Y48" s="208"/>
      <c r="Z48" s="208"/>
      <c r="AA48" s="209"/>
    </row>
    <row r="49" spans="1:27" s="210" customFormat="1" ht="15" outlineLevel="1">
      <c r="A49" s="207"/>
      <c r="B49" s="218" t="s">
        <v>154</v>
      </c>
      <c r="C49" s="211"/>
      <c r="D49" s="211"/>
      <c r="E49" s="204">
        <v>2000</v>
      </c>
      <c r="F49" s="204">
        <v>0</v>
      </c>
      <c r="G49" s="204">
        <v>4500</v>
      </c>
      <c r="H49" s="205">
        <f>SUMIF('Contract level'!$A:$A,"="&amp;'DFP-Com'!$A47,'Contract level'!AA:AA)</f>
        <v>6500</v>
      </c>
      <c r="I49" s="205">
        <f>SUMIF('Contract level'!$A:$A,"="&amp;'DFP-Com'!$A47,'Contract level'!AB:AB)</f>
        <v>2500</v>
      </c>
      <c r="J49" s="205">
        <f>SUMIF('Contract level'!$A:$A,"="&amp;'DFP-Com'!$A47,'Contract level'!AC:AC)</f>
        <v>2500</v>
      </c>
      <c r="K49" s="205">
        <f>SUMIF('Contract level'!$A:$A,"="&amp;'DFP-Com'!$A47,'Contract level'!AD:AD)</f>
        <v>3500</v>
      </c>
      <c r="L49" s="205">
        <f>SUMIF('Contract level'!$A:$A,"="&amp;'DFP-Com'!$A47,'Contract level'!AE:AE)</f>
        <v>2500</v>
      </c>
      <c r="M49" s="205">
        <f>SUMIF('Contract level'!$A:$A,"="&amp;'DFP-Com'!$A47,'Contract level'!AF:AF)</f>
        <v>2500</v>
      </c>
      <c r="N49" s="205">
        <f>SUMIF('Contract level'!$A:$A,"="&amp;'DFP-Com'!$A47,'Contract level'!AG:AG)</f>
        <v>2500</v>
      </c>
      <c r="O49" s="205">
        <f>SUMIF('Contract level'!$A:$A,"="&amp;'DFP-Com'!$A47,'Contract level'!AH:AH)</f>
        <v>2500</v>
      </c>
      <c r="P49" s="205">
        <f>SUMIF('Contract level'!$A:$A,"="&amp;'DFP-Com'!$A47,'Contract level'!AI:AI)</f>
        <v>2500</v>
      </c>
      <c r="Q49" s="205">
        <f>SUMIF('Contract level'!$A:$A,"="&amp;'DFP-Com'!$A47,'Contract level'!AJ:AJ)</f>
        <v>2500</v>
      </c>
      <c r="R49" s="205">
        <f>SUMIF('Contract level'!$A:$A,"="&amp;'DFP-Com'!$A47,'Contract level'!AK:AK)</f>
        <v>2500</v>
      </c>
      <c r="S49" s="305"/>
      <c r="T49" s="205">
        <f>SUMIF('Contract level'!$A:$A,"="&amp;'DFP-Com'!$A47,'Contract level'!AL:AL)</f>
        <v>2500</v>
      </c>
      <c r="U49" s="305">
        <f aca="true" t="shared" si="29" ref="U49:U51">SUM(H49:T49)+D49+C49</f>
        <v>35000</v>
      </c>
      <c r="V49" s="277"/>
      <c r="W49" s="295"/>
      <c r="X49" s="70"/>
      <c r="Y49" s="208"/>
      <c r="Z49" s="208"/>
      <c r="AA49" s="209"/>
    </row>
    <row r="50" spans="1:27" s="210" customFormat="1" ht="15" outlineLevel="1">
      <c r="A50" s="207"/>
      <c r="B50" s="218" t="s">
        <v>155</v>
      </c>
      <c r="C50" s="211"/>
      <c r="D50" s="211"/>
      <c r="E50" s="204"/>
      <c r="F50" s="204"/>
      <c r="G50" s="304"/>
      <c r="H50" s="205">
        <f>SUMIF('Contract level'!$A:$A,"="&amp;'DFP-Com'!$A48,'Contract level'!AA:AA)</f>
        <v>0</v>
      </c>
      <c r="I50" s="205">
        <f>SUMIF('Contract level'!$A:$A,"="&amp;'DFP-Com'!$A48,'Contract level'!AB:AB)</f>
        <v>0</v>
      </c>
      <c r="J50" s="205">
        <f>SUMIF('Contract level'!$A:$A,"="&amp;'DFP-Com'!$A48,'Contract level'!AC:AC)</f>
        <v>0</v>
      </c>
      <c r="K50" s="205">
        <f>SUMIF('Contract level'!$A:$A,"="&amp;'DFP-Com'!$A48,'Contract level'!AD:AD)</f>
        <v>15000</v>
      </c>
      <c r="L50" s="205">
        <f>SUMIF('Contract level'!$A:$A,"="&amp;'DFP-Com'!$A48,'Contract level'!AE:AE)</f>
        <v>15000</v>
      </c>
      <c r="M50" s="205">
        <f>SUMIF('Contract level'!$A:$A,"="&amp;'DFP-Com'!$A48,'Contract level'!AF:AF)</f>
        <v>0</v>
      </c>
      <c r="N50" s="205">
        <f>SUMIF('Contract level'!$A:$A,"="&amp;'DFP-Com'!$A48,'Contract level'!AG:AG)</f>
        <v>0</v>
      </c>
      <c r="O50" s="205">
        <f>SUMIF('Contract level'!$A:$A,"="&amp;'DFP-Com'!$A48,'Contract level'!AH:AH)</f>
        <v>15000</v>
      </c>
      <c r="P50" s="205">
        <f>SUMIF('Contract level'!$A:$A,"="&amp;'DFP-Com'!$A48,'Contract level'!AI:AI)</f>
        <v>15000</v>
      </c>
      <c r="Q50" s="205">
        <f>SUMIF('Contract level'!$A:$A,"="&amp;'DFP-Com'!$A48,'Contract level'!AJ:AJ)</f>
        <v>0</v>
      </c>
      <c r="R50" s="205">
        <f>SUMIF('Contract level'!$A:$A,"="&amp;'DFP-Com'!$A48,'Contract level'!AK:AK)</f>
        <v>0</v>
      </c>
      <c r="S50" s="305"/>
      <c r="T50" s="205">
        <f>SUMIF('Contract level'!$A:$A,"="&amp;'DFP-Com'!$A48,'Contract level'!AL:AL)</f>
        <v>30000</v>
      </c>
      <c r="U50" s="305">
        <f t="shared" si="29"/>
        <v>90000</v>
      </c>
      <c r="V50" s="277"/>
      <c r="W50" s="295"/>
      <c r="X50" s="70"/>
      <c r="Y50" s="208"/>
      <c r="Z50" s="208"/>
      <c r="AA50" s="209"/>
    </row>
    <row r="51" spans="1:27" s="210" customFormat="1" ht="15" outlineLevel="1">
      <c r="A51" s="207"/>
      <c r="B51" s="218" t="s">
        <v>156</v>
      </c>
      <c r="C51" s="211"/>
      <c r="D51" s="211">
        <f>1124.38+178.57+89.28+89.29+4000</f>
        <v>5481.52</v>
      </c>
      <c r="E51" s="204">
        <v>800</v>
      </c>
      <c r="F51" s="204">
        <v>2000</v>
      </c>
      <c r="G51" s="304">
        <v>2000</v>
      </c>
      <c r="H51" s="205">
        <f>SUMIF('Contract level'!$A:$A,"="&amp;'DFP-Com'!$A49,'Contract level'!AA:AA)</f>
        <v>4800</v>
      </c>
      <c r="I51" s="205">
        <f>SUMIF('Contract level'!$A:$A,"="&amp;'DFP-Com'!$A49,'Contract level'!AB:AB)</f>
        <v>1400</v>
      </c>
      <c r="J51" s="205">
        <f>SUMIF('Contract level'!$A:$A,"="&amp;'DFP-Com'!$A49,'Contract level'!AC:AC)</f>
        <v>1400</v>
      </c>
      <c r="K51" s="205">
        <f>SUMIF('Contract level'!$A:$A,"="&amp;'DFP-Com'!$A49,'Contract level'!AD:AD)</f>
        <v>1400</v>
      </c>
      <c r="L51" s="205">
        <f>SUMIF('Contract level'!$A:$A,"="&amp;'DFP-Com'!$A49,'Contract level'!AE:AE)</f>
        <v>1400</v>
      </c>
      <c r="M51" s="205">
        <f>SUMIF('Contract level'!$A:$A,"="&amp;'DFP-Com'!$A49,'Contract level'!AF:AF)</f>
        <v>1400</v>
      </c>
      <c r="N51" s="205">
        <f>SUMIF('Contract level'!$A:$A,"="&amp;'DFP-Com'!$A49,'Contract level'!AG:AG)</f>
        <v>1400</v>
      </c>
      <c r="O51" s="205">
        <f>SUMIF('Contract level'!$A:$A,"="&amp;'DFP-Com'!$A49,'Contract level'!AH:AH)</f>
        <v>1400</v>
      </c>
      <c r="P51" s="205">
        <f>SUMIF('Contract level'!$A:$A,"="&amp;'DFP-Com'!$A49,'Contract level'!AI:AI)</f>
        <v>1400</v>
      </c>
      <c r="Q51" s="205">
        <f>SUMIF('Contract level'!$A:$A,"="&amp;'DFP-Com'!$A49,'Contract level'!AJ:AJ)</f>
        <v>1400</v>
      </c>
      <c r="R51" s="205">
        <f>SUMIF('Contract level'!$A:$A,"="&amp;'DFP-Com'!$A49,'Contract level'!AK:AK)</f>
        <v>1400</v>
      </c>
      <c r="S51" s="305"/>
      <c r="T51" s="205">
        <f>SUMIF('Contract level'!$A:$A,"="&amp;'DFP-Com'!$A49,'Contract level'!AL:AL)</f>
        <v>1332</v>
      </c>
      <c r="U51" s="305">
        <f t="shared" si="29"/>
        <v>25613.52</v>
      </c>
      <c r="V51" s="277"/>
      <c r="W51" s="295"/>
      <c r="X51" s="70"/>
      <c r="Y51" s="208"/>
      <c r="Z51" s="208"/>
      <c r="AA51" s="209"/>
    </row>
    <row r="52" spans="1:27" s="65" customFormat="1" ht="15">
      <c r="A52" s="10"/>
      <c r="B52" s="68" t="s">
        <v>105</v>
      </c>
      <c r="C52" s="54">
        <f aca="true" t="shared" si="30" ref="C52:W52">C47</f>
        <v>64605</v>
      </c>
      <c r="D52" s="54">
        <f t="shared" si="30"/>
        <v>38281.520000000004</v>
      </c>
      <c r="E52" s="200">
        <f t="shared" si="30"/>
        <v>21733</v>
      </c>
      <c r="F52" s="200">
        <f t="shared" si="30"/>
        <v>20933</v>
      </c>
      <c r="G52" s="200">
        <f t="shared" si="30"/>
        <v>25433</v>
      </c>
      <c r="H52" s="200">
        <f t="shared" si="30"/>
        <v>68099</v>
      </c>
      <c r="I52" s="200">
        <f t="shared" si="30"/>
        <v>50700</v>
      </c>
      <c r="J52" s="200">
        <f t="shared" si="30"/>
        <v>50700</v>
      </c>
      <c r="K52" s="200">
        <f t="shared" si="30"/>
        <v>66700</v>
      </c>
      <c r="L52" s="200">
        <f t="shared" si="30"/>
        <v>59100</v>
      </c>
      <c r="M52" s="200">
        <f t="shared" si="30"/>
        <v>44100</v>
      </c>
      <c r="N52" s="200">
        <f t="shared" si="30"/>
        <v>44100</v>
      </c>
      <c r="O52" s="200">
        <f t="shared" si="30"/>
        <v>59100</v>
      </c>
      <c r="P52" s="200">
        <f aca="true" t="shared" si="31" ref="P52">P47</f>
        <v>59100</v>
      </c>
      <c r="Q52" s="200">
        <f aca="true" t="shared" si="32" ref="Q52:T52">Q47</f>
        <v>44100</v>
      </c>
      <c r="R52" s="200">
        <f t="shared" si="32"/>
        <v>44100</v>
      </c>
      <c r="S52" s="200"/>
      <c r="T52" s="200">
        <f t="shared" si="32"/>
        <v>74032</v>
      </c>
      <c r="U52" s="200">
        <f t="shared" si="30"/>
        <v>766817.52</v>
      </c>
      <c r="V52" s="278">
        <f t="shared" si="30"/>
        <v>800000</v>
      </c>
      <c r="W52" s="296">
        <f t="shared" si="30"/>
        <v>33182.47999999998</v>
      </c>
      <c r="X52" s="247"/>
      <c r="Y52" s="10"/>
      <c r="Z52" s="10"/>
      <c r="AA52" s="64"/>
    </row>
    <row r="53" spans="1:27" s="39" customFormat="1" ht="15">
      <c r="A53" s="5"/>
      <c r="B53" s="55"/>
      <c r="C53" s="56"/>
      <c r="D53" s="57"/>
      <c r="E53" s="219"/>
      <c r="F53" s="219"/>
      <c r="G53" s="219"/>
      <c r="H53" s="219"/>
      <c r="I53" s="219"/>
      <c r="J53" s="219"/>
      <c r="K53" s="219"/>
      <c r="L53" s="219"/>
      <c r="M53" s="219"/>
      <c r="N53" s="219"/>
      <c r="O53" s="219"/>
      <c r="P53" s="219"/>
      <c r="Q53" s="219"/>
      <c r="R53" s="219"/>
      <c r="S53" s="219"/>
      <c r="T53" s="219"/>
      <c r="U53" s="221"/>
      <c r="V53" s="275"/>
      <c r="W53" s="297"/>
      <c r="X53" s="7"/>
      <c r="Y53" s="5"/>
      <c r="Z53" s="5"/>
      <c r="AA53" s="38"/>
    </row>
    <row r="54" spans="1:27" s="230" customFormat="1" ht="17.25" thickBot="1">
      <c r="A54" s="226"/>
      <c r="B54" s="231" t="s">
        <v>149</v>
      </c>
      <c r="C54" s="227">
        <f aca="true" t="shared" si="33" ref="C54:W54">C52+C44+C36+C27</f>
        <v>69005</v>
      </c>
      <c r="D54" s="227">
        <f t="shared" si="33"/>
        <v>84031.52</v>
      </c>
      <c r="E54" s="228">
        <f t="shared" si="33"/>
        <v>69333</v>
      </c>
      <c r="F54" s="228">
        <f t="shared" si="33"/>
        <v>54283</v>
      </c>
      <c r="G54" s="228">
        <f t="shared" si="33"/>
        <v>60953</v>
      </c>
      <c r="H54" s="228">
        <f t="shared" si="33"/>
        <v>184569</v>
      </c>
      <c r="I54" s="228">
        <f t="shared" si="33"/>
        <v>1394480</v>
      </c>
      <c r="J54" s="228">
        <f t="shared" si="33"/>
        <v>1566500</v>
      </c>
      <c r="K54" s="228">
        <f t="shared" si="33"/>
        <v>2017250</v>
      </c>
      <c r="L54" s="228">
        <f t="shared" si="33"/>
        <v>2402850</v>
      </c>
      <c r="M54" s="228">
        <f t="shared" si="33"/>
        <v>2309850</v>
      </c>
      <c r="N54" s="228">
        <f t="shared" si="33"/>
        <v>2097350</v>
      </c>
      <c r="O54" s="228">
        <f t="shared" si="33"/>
        <v>2002350</v>
      </c>
      <c r="P54" s="228">
        <f aca="true" t="shared" si="34" ref="P54">P52+P44+P36+P27</f>
        <v>2227350</v>
      </c>
      <c r="Q54" s="228">
        <f aca="true" t="shared" si="35" ref="Q54:T54">Q52+Q44+Q36+Q27</f>
        <v>2212350</v>
      </c>
      <c r="R54" s="228">
        <f t="shared" si="35"/>
        <v>2187850</v>
      </c>
      <c r="S54" s="228"/>
      <c r="T54" s="228">
        <f t="shared" si="35"/>
        <v>1844532</v>
      </c>
      <c r="U54" s="228">
        <f t="shared" si="33"/>
        <v>22600317.52</v>
      </c>
      <c r="V54" s="228">
        <f t="shared" si="33"/>
        <v>26200000</v>
      </c>
      <c r="W54" s="298">
        <f t="shared" si="33"/>
        <v>3599682.48</v>
      </c>
      <c r="X54" s="247"/>
      <c r="Y54" s="226"/>
      <c r="Z54" s="226"/>
      <c r="AA54" s="229"/>
    </row>
    <row r="55" spans="2:28" ht="13.5" thickTop="1">
      <c r="B55" s="7" t="s">
        <v>151</v>
      </c>
      <c r="X55" s="193"/>
      <c r="Y55" s="70"/>
      <c r="AA55" s="5"/>
      <c r="AB55" s="5"/>
    </row>
    <row r="56" spans="2:28" ht="15">
      <c r="B56" s="70" t="s">
        <v>152</v>
      </c>
      <c r="X56" s="193"/>
      <c r="AA56" s="5"/>
      <c r="AB56" s="5"/>
    </row>
    <row r="57" spans="2:28" ht="15">
      <c r="B57" s="7"/>
      <c r="X57" s="193"/>
      <c r="Y57" s="70"/>
      <c r="AA57" s="5"/>
      <c r="AB57" s="5"/>
    </row>
    <row r="58" spans="2:28" ht="15">
      <c r="B58" s="7"/>
      <c r="X58" s="193"/>
      <c r="AA58" s="5"/>
      <c r="AB58" s="5"/>
    </row>
    <row r="59" spans="2:28" ht="15">
      <c r="B59" s="7"/>
      <c r="X59" s="193"/>
      <c r="AA59" s="5"/>
      <c r="AB59" s="5"/>
    </row>
    <row r="60" spans="2:28" ht="15">
      <c r="B60" s="7"/>
      <c r="X60" s="193"/>
      <c r="AA60" s="5"/>
      <c r="AB60" s="5"/>
    </row>
    <row r="61" spans="2:28" ht="15">
      <c r="B61" s="7"/>
      <c r="X61" s="193"/>
      <c r="AA61" s="5"/>
      <c r="AB61" s="5"/>
    </row>
    <row r="62" spans="2:28" ht="15">
      <c r="B62" s="7"/>
      <c r="X62" s="193"/>
      <c r="AA62" s="5"/>
      <c r="AB62" s="5"/>
    </row>
    <row r="63" spans="2:28" ht="15">
      <c r="B63" s="7"/>
      <c r="X63" s="193"/>
      <c r="AA63" s="5"/>
      <c r="AB63" s="5"/>
    </row>
    <row r="64" spans="2:28" ht="15">
      <c r="B64" s="7"/>
      <c r="X64" s="193"/>
      <c r="AA64" s="5"/>
      <c r="AB64" s="5"/>
    </row>
    <row r="65" spans="2:28" ht="15">
      <c r="B65" s="7"/>
      <c r="X65" s="193"/>
      <c r="AA65" s="5"/>
      <c r="AB65" s="5"/>
    </row>
    <row r="66" spans="2:28" ht="15">
      <c r="B66" s="7"/>
      <c r="X66" s="193"/>
      <c r="AA66" s="5"/>
      <c r="AB66" s="5"/>
    </row>
    <row r="67" spans="2:28" ht="15">
      <c r="B67" s="7"/>
      <c r="X67" s="193"/>
      <c r="AA67" s="5"/>
      <c r="AB67" s="5"/>
    </row>
    <row r="68" spans="2:28" ht="15">
      <c r="B68" s="7"/>
      <c r="X68" s="193"/>
      <c r="AA68" s="5"/>
      <c r="AB68" s="5"/>
    </row>
    <row r="69" spans="2:28" ht="15">
      <c r="B69" s="7"/>
      <c r="X69" s="193"/>
      <c r="AA69" s="5"/>
      <c r="AB69" s="5"/>
    </row>
    <row r="70" spans="24:28" ht="15">
      <c r="X70" s="193"/>
      <c r="AA70" s="5"/>
      <c r="AB70" s="5"/>
    </row>
    <row r="71" spans="24:28" ht="15">
      <c r="X71" s="193"/>
      <c r="AA71" s="5"/>
      <c r="AB71" s="5"/>
    </row>
    <row r="72" spans="24:28" ht="15">
      <c r="X72" s="193"/>
      <c r="AA72" s="5"/>
      <c r="AB72" s="5"/>
    </row>
    <row r="73" spans="24:28" ht="15">
      <c r="X73" s="193"/>
      <c r="AA73" s="5"/>
      <c r="AB73" s="5"/>
    </row>
    <row r="74" spans="24:28" ht="15">
      <c r="X74" s="193"/>
      <c r="AA74" s="5"/>
      <c r="AB74" s="5"/>
    </row>
    <row r="75" spans="24:28" ht="15">
      <c r="X75" s="193"/>
      <c r="AA75" s="5"/>
      <c r="AB75" s="5"/>
    </row>
    <row r="76" spans="24:28" ht="15">
      <c r="X76" s="193"/>
      <c r="AA76" s="5"/>
      <c r="AB76" s="5"/>
    </row>
    <row r="77" spans="24:28" ht="15">
      <c r="X77" s="193"/>
      <c r="AA77" s="5"/>
      <c r="AB77" s="5"/>
    </row>
    <row r="78" spans="24:28" ht="15">
      <c r="X78" s="193"/>
      <c r="AA78" s="5"/>
      <c r="AB78" s="5"/>
    </row>
    <row r="79" spans="24:28" ht="15">
      <c r="X79" s="193"/>
      <c r="AA79" s="5"/>
      <c r="AB79" s="5"/>
    </row>
    <row r="80" spans="24:28" ht="15">
      <c r="X80" s="193"/>
      <c r="AA80" s="5"/>
      <c r="AB80" s="5"/>
    </row>
    <row r="81" spans="24:28" ht="15">
      <c r="X81" s="193"/>
      <c r="AA81" s="5"/>
      <c r="AB81" s="5"/>
    </row>
    <row r="82" spans="24:28" ht="15">
      <c r="X82" s="193"/>
      <c r="AA82" s="5"/>
      <c r="AB82" s="5"/>
    </row>
    <row r="83" spans="24:28" ht="15">
      <c r="X83" s="193"/>
      <c r="AA83" s="5"/>
      <c r="AB83" s="5"/>
    </row>
    <row r="84" spans="24:28" ht="15">
      <c r="X84" s="193"/>
      <c r="AA84" s="5"/>
      <c r="AB84" s="5"/>
    </row>
    <row r="85" spans="24:28" ht="15">
      <c r="X85" s="193"/>
      <c r="AA85" s="5"/>
      <c r="AB85" s="5"/>
    </row>
  </sheetData>
  <mergeCells count="6">
    <mergeCell ref="W12:W13"/>
    <mergeCell ref="B11:B12"/>
    <mergeCell ref="U12:U13"/>
    <mergeCell ref="V12:V13"/>
    <mergeCell ref="E11:H11"/>
    <mergeCell ref="E12:H12"/>
  </mergeCells>
  <printOptions/>
  <pageMargins left="0.7086614173228347" right="0.7086614173228347" top="0.7480314960629921" bottom="0.7480314960629921" header="0.31496062992125984" footer="0.31496062992125984"/>
  <pageSetup fitToHeight="1" fitToWidth="1" horizontalDpi="600" verticalDpi="600" orientation="landscape" scale="69"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showGridLines="0" zoomScale="85" zoomScaleNormal="85" zoomScalePageLayoutView="85" workbookViewId="0" topLeftCell="A1">
      <pane ySplit="13" topLeftCell="A14" activePane="bottomLeft" state="frozen"/>
      <selection pane="bottomLeft" activeCell="D5" sqref="D5"/>
    </sheetView>
  </sheetViews>
  <sheetFormatPr defaultColWidth="9.140625" defaultRowHeight="15"/>
  <cols>
    <col min="1" max="1" width="2.421875" style="0" customWidth="1"/>
    <col min="2" max="2" width="29.421875" style="0" customWidth="1"/>
    <col min="3" max="3" width="18.421875" style="0" customWidth="1"/>
    <col min="4" max="4" width="22.421875" style="0" customWidth="1"/>
    <col min="5" max="5" width="19.00390625" style="0" customWidth="1"/>
    <col min="6" max="6" width="18.140625" style="0" customWidth="1"/>
    <col min="7" max="7" width="18.8515625" style="0" customWidth="1"/>
    <col min="9" max="9" width="13.00390625" style="0" bestFit="1" customWidth="1"/>
  </cols>
  <sheetData>
    <row r="1" spans="2:7" ht="15">
      <c r="B1" s="74" t="s">
        <v>23</v>
      </c>
      <c r="C1" s="75"/>
      <c r="D1" s="75"/>
      <c r="E1" s="75"/>
      <c r="F1" s="75"/>
      <c r="G1" s="76"/>
    </row>
    <row r="2" spans="2:7" ht="15">
      <c r="B2" s="77"/>
      <c r="C2" s="78" t="s">
        <v>1</v>
      </c>
      <c r="D2" s="151" t="s">
        <v>74</v>
      </c>
      <c r="E2" s="80"/>
      <c r="F2" s="81"/>
      <c r="G2" s="82"/>
    </row>
    <row r="3" spans="2:7" ht="15">
      <c r="B3" s="77"/>
      <c r="C3" s="78" t="s">
        <v>2</v>
      </c>
      <c r="D3" s="178" t="s">
        <v>75</v>
      </c>
      <c r="E3" s="80"/>
      <c r="F3" s="81"/>
      <c r="G3" s="82"/>
    </row>
    <row r="4" spans="2:7" ht="15">
      <c r="B4" s="77"/>
      <c r="C4" s="78" t="s">
        <v>3</v>
      </c>
      <c r="D4" s="178" t="str">
        <f>'THP DR'!B7</f>
        <v>TR14GTM15001</v>
      </c>
      <c r="E4" s="80"/>
      <c r="F4" s="81"/>
      <c r="G4" s="82"/>
    </row>
    <row r="5" spans="2:7" ht="15">
      <c r="B5" s="77"/>
      <c r="C5" s="78" t="s">
        <v>4</v>
      </c>
      <c r="D5" s="179">
        <f>'THP DR'!B10</f>
        <v>42804</v>
      </c>
      <c r="E5" s="80"/>
      <c r="F5" s="81"/>
      <c r="G5" s="82"/>
    </row>
    <row r="6" spans="2:7" ht="15.75" thickBot="1">
      <c r="B6" s="84"/>
      <c r="C6" s="85"/>
      <c r="D6" s="86"/>
      <c r="E6" s="85"/>
      <c r="F6" s="86"/>
      <c r="G6" s="87"/>
    </row>
    <row r="7" spans="2:8" ht="15">
      <c r="B7" s="88" t="s">
        <v>24</v>
      </c>
      <c r="C7" s="89"/>
      <c r="D7" s="89"/>
      <c r="E7" s="89"/>
      <c r="F7" s="89"/>
      <c r="G7" s="90"/>
      <c r="H7" s="91"/>
    </row>
    <row r="8" spans="2:8" ht="15">
      <c r="B8" s="92" t="str">
        <f>"Disbursement Period:"&amp;TEXT('THP DR'!B11,"dd-mmm-yy")&amp;" to "&amp;TEXT('THP DR'!B12,"dd-mmm-yy")</f>
        <v>Disbursement Period:01-abr-17 to 30-jun-17</v>
      </c>
      <c r="C8" s="93"/>
      <c r="D8" s="93"/>
      <c r="E8" s="93"/>
      <c r="F8" s="93"/>
      <c r="G8" s="94"/>
      <c r="H8" s="91"/>
    </row>
    <row r="9" spans="2:8" s="100" customFormat="1" ht="12.75">
      <c r="B9" s="95" t="s">
        <v>25</v>
      </c>
      <c r="C9" s="96"/>
      <c r="D9" s="96"/>
      <c r="E9" s="97"/>
      <c r="F9" s="97"/>
      <c r="G9" s="98"/>
      <c r="H9" s="99"/>
    </row>
    <row r="10" spans="2:8" ht="15.75" thickBot="1">
      <c r="B10" s="101" t="s">
        <v>240</v>
      </c>
      <c r="C10" s="102"/>
      <c r="D10" s="102"/>
      <c r="E10" s="102"/>
      <c r="F10" s="102"/>
      <c r="G10" s="103"/>
      <c r="H10" s="91"/>
    </row>
    <row r="11" spans="2:8" ht="52.5" customHeight="1" thickBot="1">
      <c r="B11" s="104"/>
      <c r="C11" s="105" t="s">
        <v>26</v>
      </c>
      <c r="D11" s="106" t="s">
        <v>27</v>
      </c>
      <c r="E11" s="359" t="s">
        <v>28</v>
      </c>
      <c r="F11" s="360"/>
      <c r="G11" s="107" t="s">
        <v>29</v>
      </c>
      <c r="H11" s="91"/>
    </row>
    <row r="12" spans="2:8" ht="23.25">
      <c r="B12" s="108" t="s">
        <v>93</v>
      </c>
      <c r="C12" s="109"/>
      <c r="D12" s="110" t="s">
        <v>30</v>
      </c>
      <c r="E12" s="111" t="s">
        <v>31</v>
      </c>
      <c r="F12" s="112" t="s">
        <v>32</v>
      </c>
      <c r="G12" s="113" t="s">
        <v>33</v>
      </c>
      <c r="H12" s="91"/>
    </row>
    <row r="13" spans="2:8" s="100" customFormat="1" ht="13.5" thickBot="1">
      <c r="B13" s="114" t="s">
        <v>102</v>
      </c>
      <c r="C13" s="115">
        <v>1</v>
      </c>
      <c r="D13" s="115">
        <v>2</v>
      </c>
      <c r="E13" s="115">
        <v>3</v>
      </c>
      <c r="F13" s="115">
        <v>4</v>
      </c>
      <c r="G13" s="116">
        <v>5</v>
      </c>
      <c r="H13" s="99"/>
    </row>
    <row r="14" spans="2:8" s="100" customFormat="1" ht="15">
      <c r="B14" s="361"/>
      <c r="C14" s="362"/>
      <c r="D14" s="362"/>
      <c r="E14" s="362"/>
      <c r="F14" s="362"/>
      <c r="G14" s="363"/>
      <c r="H14" s="99"/>
    </row>
    <row r="15" spans="2:9" s="100" customFormat="1" ht="26.45" customHeight="1">
      <c r="B15" s="157" t="s">
        <v>88</v>
      </c>
      <c r="C15" s="180">
        <f>SUM(C16:C18)</f>
        <v>19700000</v>
      </c>
      <c r="D15" s="184">
        <f>SUM(D16:D18)</f>
        <v>19300000</v>
      </c>
      <c r="E15" s="180">
        <f>SUM(E16:E18)</f>
        <v>0</v>
      </c>
      <c r="F15" s="180">
        <f>SUM(F16:F18)</f>
        <v>0</v>
      </c>
      <c r="G15" s="184">
        <f aca="true" t="shared" si="0" ref="G15:G18">+D15+E15-F15</f>
        <v>19300000</v>
      </c>
      <c r="H15" s="99"/>
      <c r="I15" s="252"/>
    </row>
    <row r="16" spans="2:9" s="100" customFormat="1" ht="25.5">
      <c r="B16" s="171" t="s">
        <v>89</v>
      </c>
      <c r="C16" s="170">
        <v>12000000</v>
      </c>
      <c r="D16" s="185">
        <f>'QFR - B'!G15</f>
        <v>12000000</v>
      </c>
      <c r="E16" s="181"/>
      <c r="F16" s="181"/>
      <c r="G16" s="185">
        <f t="shared" si="0"/>
        <v>12000000</v>
      </c>
      <c r="H16" s="99"/>
      <c r="I16" s="252" t="s">
        <v>134</v>
      </c>
    </row>
    <row r="17" spans="2:7" ht="26.25" customHeight="1">
      <c r="B17" s="171" t="s">
        <v>90</v>
      </c>
      <c r="C17" s="170">
        <v>4700000</v>
      </c>
      <c r="D17" s="185">
        <f>'QFR - B'!G16</f>
        <v>4300000</v>
      </c>
      <c r="E17" s="181"/>
      <c r="F17" s="181"/>
      <c r="G17" s="185">
        <f t="shared" si="0"/>
        <v>4300000</v>
      </c>
    </row>
    <row r="18" spans="2:7" ht="25.5">
      <c r="B18" s="171" t="s">
        <v>91</v>
      </c>
      <c r="C18" s="170">
        <v>3000000</v>
      </c>
      <c r="D18" s="185">
        <f>'QFR - B'!G17</f>
        <v>3000000</v>
      </c>
      <c r="E18" s="181"/>
      <c r="F18" s="181"/>
      <c r="G18" s="185">
        <f t="shared" si="0"/>
        <v>3000000</v>
      </c>
    </row>
    <row r="19" spans="2:7" ht="15">
      <c r="B19" s="172"/>
      <c r="C19" s="170"/>
      <c r="D19" s="185"/>
      <c r="E19" s="181"/>
      <c r="F19" s="181"/>
      <c r="G19" s="185"/>
    </row>
    <row r="20" spans="2:9" ht="25.5">
      <c r="B20" s="173" t="s">
        <v>94</v>
      </c>
      <c r="C20" s="161">
        <f>SUM(C21:C22)</f>
        <v>4000000</v>
      </c>
      <c r="D20" s="186">
        <f>SUM(D21:D22)</f>
        <v>4400000</v>
      </c>
      <c r="E20" s="161">
        <f>SUM(E21:E22)</f>
        <v>0</v>
      </c>
      <c r="F20" s="161">
        <f>SUM(F21:F22)</f>
        <v>0</v>
      </c>
      <c r="G20" s="186">
        <f>+D20+E20-F20</f>
        <v>4400000</v>
      </c>
      <c r="I20" s="258"/>
    </row>
    <row r="21" spans="2:7" ht="25.5">
      <c r="B21" s="171" t="s">
        <v>97</v>
      </c>
      <c r="C21" s="170">
        <v>0</v>
      </c>
      <c r="D21" s="185">
        <f>'QFR - B'!G20</f>
        <v>800000</v>
      </c>
      <c r="E21" s="181"/>
      <c r="F21" s="181"/>
      <c r="G21" s="185">
        <f>+D21+E21-F21</f>
        <v>800000</v>
      </c>
    </row>
    <row r="22" spans="2:7" ht="25.5">
      <c r="B22" s="171" t="s">
        <v>98</v>
      </c>
      <c r="C22" s="170">
        <v>4000000</v>
      </c>
      <c r="D22" s="185">
        <f>'QFR - B'!G21</f>
        <v>3600000</v>
      </c>
      <c r="E22" s="181"/>
      <c r="F22" s="181"/>
      <c r="G22" s="185">
        <f>+D22+E22-F22</f>
        <v>3600000</v>
      </c>
    </row>
    <row r="23" spans="2:7" ht="15">
      <c r="B23" s="172"/>
      <c r="C23" s="170"/>
      <c r="D23" s="187"/>
      <c r="E23" s="181"/>
      <c r="F23" s="181"/>
      <c r="G23" s="187"/>
    </row>
    <row r="24" spans="2:9" ht="26.45" customHeight="1">
      <c r="B24" s="158" t="s">
        <v>95</v>
      </c>
      <c r="C24" s="161">
        <f>SUM(C25)</f>
        <v>1700000</v>
      </c>
      <c r="D24" s="186">
        <f aca="true" t="shared" si="1" ref="D24:G24">SUM(D25)</f>
        <v>1700000</v>
      </c>
      <c r="E24" s="161">
        <f t="shared" si="1"/>
        <v>0</v>
      </c>
      <c r="F24" s="161">
        <f t="shared" si="1"/>
        <v>0</v>
      </c>
      <c r="G24" s="186">
        <f t="shared" si="1"/>
        <v>1700000</v>
      </c>
      <c r="I24" s="258"/>
    </row>
    <row r="25" spans="2:7" ht="26.45" customHeight="1">
      <c r="B25" s="177" t="s">
        <v>99</v>
      </c>
      <c r="C25" s="170">
        <v>1700000</v>
      </c>
      <c r="D25" s="185">
        <f>'QFR - B'!G24</f>
        <v>1700000</v>
      </c>
      <c r="E25" s="181"/>
      <c r="F25" s="181"/>
      <c r="G25" s="185">
        <f>+D25+E25-F25</f>
        <v>1700000</v>
      </c>
    </row>
    <row r="26" spans="2:7" ht="15">
      <c r="B26" s="172"/>
      <c r="C26" s="170"/>
      <c r="D26" s="187"/>
      <c r="E26" s="181"/>
      <c r="F26" s="181"/>
      <c r="G26" s="187"/>
    </row>
    <row r="27" spans="2:9" ht="26.45" customHeight="1">
      <c r="B27" s="158" t="s">
        <v>96</v>
      </c>
      <c r="C27" s="161">
        <f>SUM(C28)</f>
        <v>800000</v>
      </c>
      <c r="D27" s="186">
        <f aca="true" t="shared" si="2" ref="D27:G27">SUM(D28)</f>
        <v>800000</v>
      </c>
      <c r="E27" s="161">
        <f t="shared" si="2"/>
        <v>0</v>
      </c>
      <c r="F27" s="161">
        <f t="shared" si="2"/>
        <v>0</v>
      </c>
      <c r="G27" s="186">
        <f t="shared" si="2"/>
        <v>800000</v>
      </c>
      <c r="I27" s="258"/>
    </row>
    <row r="28" spans="2:7" ht="26.45" customHeight="1">
      <c r="B28" s="177" t="s">
        <v>100</v>
      </c>
      <c r="C28" s="170">
        <v>800000</v>
      </c>
      <c r="D28" s="185">
        <f>'QFR - B'!G27</f>
        <v>800000</v>
      </c>
      <c r="E28" s="181"/>
      <c r="F28" s="181"/>
      <c r="G28" s="185">
        <f>+D28+E28-F28</f>
        <v>800000</v>
      </c>
    </row>
    <row r="29" spans="2:7" ht="15.75" thickBot="1">
      <c r="B29" s="175"/>
      <c r="C29" s="182"/>
      <c r="D29" s="188"/>
      <c r="E29" s="182"/>
      <c r="F29" s="182"/>
      <c r="G29" s="188"/>
    </row>
    <row r="30" spans="2:9" ht="26.45" customHeight="1" thickBot="1">
      <c r="B30" s="176" t="s">
        <v>34</v>
      </c>
      <c r="C30" s="183">
        <f>+C15+C20+C24+C27</f>
        <v>26200000</v>
      </c>
      <c r="D30" s="183">
        <f>+D15+D20+D24+D27</f>
        <v>26200000</v>
      </c>
      <c r="E30" s="183">
        <f>+E15+E20+E24+E27</f>
        <v>0</v>
      </c>
      <c r="F30" s="183">
        <f>+F15+F20+F24+F27</f>
        <v>0</v>
      </c>
      <c r="G30" s="189">
        <f>+G15+G20+G24+G27</f>
        <v>26200000</v>
      </c>
      <c r="I30" s="259"/>
    </row>
    <row r="31" ht="15">
      <c r="B31" t="s">
        <v>289</v>
      </c>
    </row>
    <row r="33" spans="2:7" ht="15">
      <c r="B33" s="223" t="s">
        <v>139</v>
      </c>
      <c r="C33" s="224"/>
      <c r="D33" s="224"/>
      <c r="E33" s="224"/>
      <c r="F33" s="224"/>
      <c r="G33" s="225"/>
    </row>
    <row r="34" spans="2:7" ht="25.5">
      <c r="B34" s="173" t="s">
        <v>94</v>
      </c>
      <c r="C34" s="161">
        <f>SUM(C35)</f>
        <v>1800000</v>
      </c>
      <c r="D34" s="161">
        <f>SUM(D35)</f>
        <v>1800000</v>
      </c>
      <c r="E34" s="161">
        <f>E35</f>
        <v>0</v>
      </c>
      <c r="F34" s="161">
        <f>F35</f>
        <v>0</v>
      </c>
      <c r="G34" s="186">
        <f>+D34+E34-F34</f>
        <v>1800000</v>
      </c>
    </row>
    <row r="35" spans="2:7" ht="25.5">
      <c r="B35" s="171" t="s">
        <v>138</v>
      </c>
      <c r="C35" s="170">
        <v>1800000</v>
      </c>
      <c r="D35" s="185">
        <f>'QFR - B'!G34</f>
        <v>1800000</v>
      </c>
      <c r="E35" s="181"/>
      <c r="F35" s="181"/>
      <c r="G35" s="185">
        <f>+D35+E35-F35</f>
        <v>1800000</v>
      </c>
    </row>
    <row r="36" spans="2:9" ht="26.45" customHeight="1" thickBot="1">
      <c r="B36" s="176" t="s">
        <v>34</v>
      </c>
      <c r="C36" s="183">
        <f>C35</f>
        <v>1800000</v>
      </c>
      <c r="D36" s="183">
        <f>D35</f>
        <v>1800000</v>
      </c>
      <c r="E36" s="183">
        <f aca="true" t="shared" si="3" ref="E36:G36">E35</f>
        <v>0</v>
      </c>
      <c r="F36" s="183">
        <f t="shared" si="3"/>
        <v>0</v>
      </c>
      <c r="G36" s="183">
        <f t="shared" si="3"/>
        <v>1800000</v>
      </c>
      <c r="I36" s="258"/>
    </row>
  </sheetData>
  <mergeCells count="2">
    <mergeCell ref="E11:F11"/>
    <mergeCell ref="B14:G14"/>
  </mergeCells>
  <conditionalFormatting sqref="D30:G30">
    <cfRule type="cellIs" priority="4" dxfId="0" operator="equal" stopIfTrue="1">
      <formula>0</formula>
    </cfRule>
  </conditionalFormatting>
  <conditionalFormatting sqref="C30">
    <cfRule type="cellIs" priority="3" dxfId="0" operator="equal" stopIfTrue="1">
      <formula>0</formula>
    </cfRule>
  </conditionalFormatting>
  <conditionalFormatting sqref="D36:G36">
    <cfRule type="cellIs" priority="2" dxfId="0" operator="equal" stopIfTrue="1">
      <formula>0</formula>
    </cfRule>
  </conditionalFormatting>
  <conditionalFormatting sqref="C36">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56"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90" zoomScaleNormal="90" zoomScalePageLayoutView="90" workbookViewId="0" topLeftCell="A1">
      <pane ySplit="13" topLeftCell="A26" activePane="bottomLeft" state="frozen"/>
      <selection pane="bottomLeft" activeCell="L32" sqref="L32"/>
    </sheetView>
  </sheetViews>
  <sheetFormatPr defaultColWidth="9.140625" defaultRowHeight="15"/>
  <cols>
    <col min="1" max="1" width="3.421875" style="0" customWidth="1"/>
    <col min="2" max="2" width="33.8515625" style="0" customWidth="1"/>
    <col min="3" max="3" width="16.421875" style="0" customWidth="1"/>
    <col min="4" max="4" width="21.00390625" style="0" bestFit="1" customWidth="1"/>
    <col min="5" max="7" width="16.421875" style="0" customWidth="1"/>
  </cols>
  <sheetData>
    <row r="1" spans="2:7" ht="15">
      <c r="B1" s="74" t="s">
        <v>23</v>
      </c>
      <c r="C1" s="75"/>
      <c r="D1" s="75"/>
      <c r="E1" s="75"/>
      <c r="F1" s="75"/>
      <c r="G1" s="76"/>
    </row>
    <row r="2" spans="2:7" ht="15">
      <c r="B2" s="77"/>
      <c r="C2" s="78" t="s">
        <v>1</v>
      </c>
      <c r="D2" s="151" t="s">
        <v>74</v>
      </c>
      <c r="E2" s="79"/>
      <c r="F2" s="79"/>
      <c r="G2" s="82"/>
    </row>
    <row r="3" spans="2:7" ht="15">
      <c r="B3" s="77"/>
      <c r="C3" s="78" t="s">
        <v>2</v>
      </c>
      <c r="D3" s="151" t="s">
        <v>75</v>
      </c>
      <c r="E3" s="79"/>
      <c r="F3" s="79"/>
      <c r="G3" s="82"/>
    </row>
    <row r="4" spans="2:7" ht="15">
      <c r="B4" s="77"/>
      <c r="C4" s="78" t="s">
        <v>3</v>
      </c>
      <c r="D4" s="151" t="str">
        <f>'THP DR'!B7</f>
        <v>TR14GTM15001</v>
      </c>
      <c r="E4" s="79"/>
      <c r="F4" s="79"/>
      <c r="G4" s="82"/>
    </row>
    <row r="5" spans="2:7" ht="15">
      <c r="B5" s="77"/>
      <c r="C5" s="78" t="s">
        <v>4</v>
      </c>
      <c r="D5" s="152">
        <f>'THP DR'!B10</f>
        <v>42804</v>
      </c>
      <c r="E5" s="83"/>
      <c r="F5" s="83"/>
      <c r="G5" s="82"/>
    </row>
    <row r="6" spans="2:7" ht="15.75" thickBot="1">
      <c r="B6" s="84"/>
      <c r="C6" s="85"/>
      <c r="D6" s="85"/>
      <c r="E6" s="85"/>
      <c r="F6" s="85"/>
      <c r="G6" s="87"/>
    </row>
    <row r="7" spans="2:7" ht="15">
      <c r="B7" s="88" t="s">
        <v>35</v>
      </c>
      <c r="C7" s="117"/>
      <c r="D7" s="117"/>
      <c r="E7" s="117"/>
      <c r="F7" s="117"/>
      <c r="G7" s="118"/>
    </row>
    <row r="8" spans="1:7" ht="15">
      <c r="A8" s="100"/>
      <c r="B8" s="92" t="str">
        <f>'QFR - A'!B8</f>
        <v>Disbursement Period:01-abr-17 to 30-jun-17</v>
      </c>
      <c r="C8" s="93"/>
      <c r="D8" s="93"/>
      <c r="E8" s="93"/>
      <c r="F8" s="93"/>
      <c r="G8" s="94"/>
    </row>
    <row r="9" spans="2:7" ht="15">
      <c r="B9" s="153" t="s">
        <v>36</v>
      </c>
      <c r="C9" s="96"/>
      <c r="D9" s="96"/>
      <c r="E9" s="96"/>
      <c r="F9" s="96"/>
      <c r="G9" s="98"/>
    </row>
    <row r="10" spans="2:7" ht="15.75" thickBot="1">
      <c r="B10" s="153" t="str">
        <f>'QFR - A'!B10</f>
        <v>Out of Cycle Report:  Yes [ ] | No [ x ]</v>
      </c>
      <c r="C10" s="96"/>
      <c r="D10" s="96"/>
      <c r="E10" s="96"/>
      <c r="F10" s="96"/>
      <c r="G10" s="98"/>
    </row>
    <row r="11" spans="2:7" ht="15" customHeight="1">
      <c r="B11" s="155"/>
      <c r="C11" s="364" t="s">
        <v>26</v>
      </c>
      <c r="D11" s="364" t="s">
        <v>249</v>
      </c>
      <c r="E11" s="364" t="s">
        <v>101</v>
      </c>
      <c r="F11" s="364" t="s">
        <v>101</v>
      </c>
      <c r="G11" s="364" t="s">
        <v>87</v>
      </c>
    </row>
    <row r="12" spans="2:7" ht="66.6" customHeight="1" thickBot="1">
      <c r="B12" s="154" t="s">
        <v>93</v>
      </c>
      <c r="C12" s="365"/>
      <c r="D12" s="365"/>
      <c r="E12" s="365"/>
      <c r="F12" s="365"/>
      <c r="G12" s="365"/>
    </row>
    <row r="13" spans="1:7" ht="15" customHeight="1">
      <c r="A13" s="100"/>
      <c r="B13" s="156" t="s">
        <v>92</v>
      </c>
      <c r="C13" s="159">
        <v>1</v>
      </c>
      <c r="D13" s="159">
        <f>C13+1</f>
        <v>2</v>
      </c>
      <c r="E13" s="159">
        <v>3</v>
      </c>
      <c r="F13" s="159">
        <v>4</v>
      </c>
      <c r="G13" s="166">
        <v>5</v>
      </c>
    </row>
    <row r="14" spans="2:7" ht="26.1" customHeight="1">
      <c r="B14" s="157" t="s">
        <v>88</v>
      </c>
      <c r="C14" s="160">
        <f>SUM(C15:C17)</f>
        <v>19700000</v>
      </c>
      <c r="D14" s="284">
        <f>SUM(D15:D17)</f>
        <v>-400000</v>
      </c>
      <c r="E14" s="284">
        <f>SUM(E15:E17)</f>
        <v>0</v>
      </c>
      <c r="F14" s="284">
        <f>SUM(F15:F17)</f>
        <v>0</v>
      </c>
      <c r="G14" s="162">
        <f>C14+D14+E14+F14</f>
        <v>19300000</v>
      </c>
    </row>
    <row r="15" spans="2:7" ht="26.45" customHeight="1">
      <c r="B15" s="171" t="s">
        <v>89</v>
      </c>
      <c r="C15" s="163">
        <v>12000000</v>
      </c>
      <c r="D15" s="285">
        <v>0</v>
      </c>
      <c r="E15" s="286">
        <v>0</v>
      </c>
      <c r="F15" s="286">
        <v>0</v>
      </c>
      <c r="G15" s="164">
        <f>C15+D15+E15+F15</f>
        <v>12000000</v>
      </c>
    </row>
    <row r="16" spans="2:7" ht="26.45" customHeight="1">
      <c r="B16" s="171" t="s">
        <v>90</v>
      </c>
      <c r="C16" s="163">
        <v>4700000</v>
      </c>
      <c r="D16" s="285">
        <v>-400000</v>
      </c>
      <c r="E16" s="286">
        <v>0</v>
      </c>
      <c r="F16" s="286">
        <v>0</v>
      </c>
      <c r="G16" s="164">
        <f aca="true" t="shared" si="0" ref="G16:G17">C16+D16+E16+F16</f>
        <v>4300000</v>
      </c>
    </row>
    <row r="17" spans="2:7" ht="25.5">
      <c r="B17" s="171" t="s">
        <v>91</v>
      </c>
      <c r="C17" s="163">
        <v>3000000</v>
      </c>
      <c r="D17" s="285">
        <v>0</v>
      </c>
      <c r="E17" s="286">
        <v>0</v>
      </c>
      <c r="F17" s="286">
        <v>0</v>
      </c>
      <c r="G17" s="164">
        <f t="shared" si="0"/>
        <v>3000000</v>
      </c>
    </row>
    <row r="18" spans="2:7" ht="15">
      <c r="B18" s="172"/>
      <c r="C18" s="163"/>
      <c r="D18" s="285"/>
      <c r="E18" s="286"/>
      <c r="F18" s="286"/>
      <c r="G18" s="164"/>
    </row>
    <row r="19" spans="2:7" ht="25.5">
      <c r="B19" s="173" t="s">
        <v>94</v>
      </c>
      <c r="C19" s="160">
        <f>SUM(C20:C21)</f>
        <v>4000000</v>
      </c>
      <c r="D19" s="284">
        <f>SUM(D20:D21)</f>
        <v>400000</v>
      </c>
      <c r="E19" s="284">
        <f>SUM(E20:E21)</f>
        <v>0</v>
      </c>
      <c r="F19" s="284">
        <f>SUM(F20:F21)</f>
        <v>0</v>
      </c>
      <c r="G19" s="162">
        <f>SUM(G20:G21)</f>
        <v>4400000</v>
      </c>
    </row>
    <row r="20" spans="2:7" ht="25.5">
      <c r="B20" s="171" t="s">
        <v>97</v>
      </c>
      <c r="C20" s="163">
        <v>0</v>
      </c>
      <c r="D20" s="285">
        <v>800000</v>
      </c>
      <c r="E20" s="286">
        <v>0</v>
      </c>
      <c r="F20" s="286">
        <v>0</v>
      </c>
      <c r="G20" s="164">
        <f>C20+D20+E20+F20</f>
        <v>800000</v>
      </c>
    </row>
    <row r="21" spans="2:7" ht="25.5">
      <c r="B21" s="171" t="s">
        <v>98</v>
      </c>
      <c r="C21" s="163">
        <v>4000000</v>
      </c>
      <c r="D21" s="285">
        <v>-400000</v>
      </c>
      <c r="E21" s="286">
        <v>0</v>
      </c>
      <c r="F21" s="286">
        <v>0</v>
      </c>
      <c r="G21" s="164">
        <f>C21+D21+E21+F21</f>
        <v>3600000</v>
      </c>
    </row>
    <row r="22" spans="2:7" ht="15">
      <c r="B22" s="172"/>
      <c r="C22" s="163"/>
      <c r="D22" s="285"/>
      <c r="E22" s="286"/>
      <c r="F22" s="286"/>
      <c r="G22" s="165"/>
    </row>
    <row r="23" spans="2:7" ht="26.45" customHeight="1">
      <c r="B23" s="158" t="s">
        <v>95</v>
      </c>
      <c r="C23" s="160">
        <f>SUM(C24)</f>
        <v>1700000</v>
      </c>
      <c r="D23" s="284">
        <f>SUM(D24)</f>
        <v>0</v>
      </c>
      <c r="E23" s="284">
        <f>E24</f>
        <v>0</v>
      </c>
      <c r="F23" s="284">
        <f>F24</f>
        <v>0</v>
      </c>
      <c r="G23" s="162">
        <f aca="true" t="shared" si="1" ref="G23">SUM(G24)</f>
        <v>1700000</v>
      </c>
    </row>
    <row r="24" spans="2:7" ht="24" customHeight="1">
      <c r="B24" s="177" t="s">
        <v>99</v>
      </c>
      <c r="C24" s="163">
        <v>1700000</v>
      </c>
      <c r="D24" s="285">
        <v>0</v>
      </c>
      <c r="E24" s="286">
        <v>0</v>
      </c>
      <c r="F24" s="286">
        <v>0</v>
      </c>
      <c r="G24" s="164">
        <f>C24+D24+E24+F24</f>
        <v>1700000</v>
      </c>
    </row>
    <row r="25" spans="2:7" ht="15">
      <c r="B25" s="172"/>
      <c r="C25" s="163"/>
      <c r="D25" s="285"/>
      <c r="E25" s="286"/>
      <c r="F25" s="286"/>
      <c r="G25" s="165"/>
    </row>
    <row r="26" spans="2:7" ht="26.45" customHeight="1">
      <c r="B26" s="174" t="s">
        <v>96</v>
      </c>
      <c r="C26" s="160">
        <f>SUM(C27)</f>
        <v>800000</v>
      </c>
      <c r="D26" s="284">
        <f>SUM(D27)</f>
        <v>0</v>
      </c>
      <c r="E26" s="284">
        <f>E27</f>
        <v>0</v>
      </c>
      <c r="F26" s="284">
        <f>F27</f>
        <v>0</v>
      </c>
      <c r="G26" s="162">
        <f aca="true" t="shared" si="2" ref="G26">SUM(G27)</f>
        <v>800000</v>
      </c>
    </row>
    <row r="27" spans="2:7" ht="24" customHeight="1">
      <c r="B27" s="177" t="s">
        <v>100</v>
      </c>
      <c r="C27" s="163">
        <v>800000</v>
      </c>
      <c r="D27" s="285">
        <v>0</v>
      </c>
      <c r="E27" s="286">
        <v>0</v>
      </c>
      <c r="F27" s="286">
        <v>0</v>
      </c>
      <c r="G27" s="164">
        <f>C27+D27+E27+F27</f>
        <v>800000</v>
      </c>
    </row>
    <row r="28" spans="2:7" ht="15.75" thickBot="1">
      <c r="B28" s="175"/>
      <c r="C28" s="167"/>
      <c r="D28" s="287"/>
      <c r="E28" s="288"/>
      <c r="F28" s="288"/>
      <c r="G28" s="168"/>
    </row>
    <row r="29" spans="2:7" ht="26.1" customHeight="1" thickBot="1">
      <c r="B29" s="176" t="s">
        <v>34</v>
      </c>
      <c r="C29" s="169">
        <f>C14+C19+C23+C26</f>
        <v>26200000</v>
      </c>
      <c r="D29" s="289">
        <f aca="true" t="shared" si="3" ref="D29:F29">D14+D19+D23+D26</f>
        <v>0</v>
      </c>
      <c r="E29" s="289">
        <f t="shared" si="3"/>
        <v>0</v>
      </c>
      <c r="F29" s="289">
        <f t="shared" si="3"/>
        <v>0</v>
      </c>
      <c r="G29" s="169">
        <f>G26+G23+G19+G14</f>
        <v>26200000</v>
      </c>
    </row>
    <row r="30" ht="15">
      <c r="B30" t="s">
        <v>289</v>
      </c>
    </row>
    <row r="32" spans="2:7" ht="15">
      <c r="B32" s="223" t="s">
        <v>139</v>
      </c>
      <c r="C32" s="224"/>
      <c r="D32" s="224"/>
      <c r="E32" s="224"/>
      <c r="F32" s="224"/>
      <c r="G32" s="225"/>
    </row>
    <row r="33" spans="2:7" ht="25.5">
      <c r="B33" s="173" t="s">
        <v>94</v>
      </c>
      <c r="C33" s="161">
        <f>SUM(C34)</f>
        <v>1800000</v>
      </c>
      <c r="D33" s="161">
        <f aca="true" t="shared" si="4" ref="D33:G33">SUM(D34)</f>
        <v>0</v>
      </c>
      <c r="E33" s="161">
        <f t="shared" si="4"/>
        <v>0</v>
      </c>
      <c r="F33" s="161">
        <f t="shared" si="4"/>
        <v>0</v>
      </c>
      <c r="G33" s="161">
        <f t="shared" si="4"/>
        <v>1800000</v>
      </c>
    </row>
    <row r="34" spans="2:7" ht="25.5">
      <c r="B34" s="171" t="s">
        <v>138</v>
      </c>
      <c r="C34" s="170">
        <v>1800000</v>
      </c>
      <c r="D34" s="185"/>
      <c r="E34" s="185"/>
      <c r="F34" s="185"/>
      <c r="G34" s="164">
        <f>C34+D34+E34+F34</f>
        <v>1800000</v>
      </c>
    </row>
    <row r="35" spans="2:7" ht="26.45" customHeight="1" thickBot="1">
      <c r="B35" s="176" t="s">
        <v>34</v>
      </c>
      <c r="C35" s="183">
        <f>C34</f>
        <v>1800000</v>
      </c>
      <c r="D35" s="183">
        <f>D34</f>
        <v>0</v>
      </c>
      <c r="E35" s="183">
        <f aca="true" t="shared" si="5" ref="E35:G35">E34</f>
        <v>0</v>
      </c>
      <c r="F35" s="183">
        <f t="shared" si="5"/>
        <v>0</v>
      </c>
      <c r="G35" s="183">
        <f t="shared" si="5"/>
        <v>1800000</v>
      </c>
    </row>
    <row r="36" ht="15">
      <c r="G36" s="248"/>
    </row>
  </sheetData>
  <mergeCells count="5">
    <mergeCell ref="E11:E12"/>
    <mergeCell ref="C11:C12"/>
    <mergeCell ref="G11:G12"/>
    <mergeCell ref="D11:D12"/>
    <mergeCell ref="F11:F12"/>
  </mergeCells>
  <conditionalFormatting sqref="D35:G35">
    <cfRule type="cellIs" priority="2" dxfId="0" operator="equal" stopIfTrue="1">
      <formula>0</formula>
    </cfRule>
  </conditionalFormatting>
  <conditionalFormatting sqref="C35">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68"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zoomScale="117" zoomScaleNormal="117" workbookViewId="0" topLeftCell="A1">
      <selection activeCell="B22" sqref="B22"/>
    </sheetView>
  </sheetViews>
  <sheetFormatPr defaultColWidth="11.421875" defaultRowHeight="15"/>
  <cols>
    <col min="1" max="1" width="73.421875" style="121" customWidth="1"/>
    <col min="2" max="2" width="38.421875" style="150" customWidth="1"/>
    <col min="3" max="256" width="9.140625" style="121" customWidth="1"/>
    <col min="257" max="257" width="73.421875" style="121" customWidth="1"/>
    <col min="258" max="258" width="24.421875" style="121" customWidth="1"/>
    <col min="259" max="512" width="9.140625" style="121" customWidth="1"/>
    <col min="513" max="513" width="73.421875" style="121" customWidth="1"/>
    <col min="514" max="514" width="24.421875" style="121" customWidth="1"/>
    <col min="515" max="768" width="9.140625" style="121" customWidth="1"/>
    <col min="769" max="769" width="73.421875" style="121" customWidth="1"/>
    <col min="770" max="770" width="24.421875" style="121" customWidth="1"/>
    <col min="771" max="1024" width="9.140625" style="121" customWidth="1"/>
    <col min="1025" max="1025" width="73.421875" style="121" customWidth="1"/>
    <col min="1026" max="1026" width="24.421875" style="121" customWidth="1"/>
    <col min="1027" max="1280" width="9.140625" style="121" customWidth="1"/>
    <col min="1281" max="1281" width="73.421875" style="121" customWidth="1"/>
    <col min="1282" max="1282" width="24.421875" style="121" customWidth="1"/>
    <col min="1283" max="1536" width="9.140625" style="121" customWidth="1"/>
    <col min="1537" max="1537" width="73.421875" style="121" customWidth="1"/>
    <col min="1538" max="1538" width="24.421875" style="121" customWidth="1"/>
    <col min="1539" max="1792" width="9.140625" style="121" customWidth="1"/>
    <col min="1793" max="1793" width="73.421875" style="121" customWidth="1"/>
    <col min="1794" max="1794" width="24.421875" style="121" customWidth="1"/>
    <col min="1795" max="2048" width="9.140625" style="121" customWidth="1"/>
    <col min="2049" max="2049" width="73.421875" style="121" customWidth="1"/>
    <col min="2050" max="2050" width="24.421875" style="121" customWidth="1"/>
    <col min="2051" max="2304" width="9.140625" style="121" customWidth="1"/>
    <col min="2305" max="2305" width="73.421875" style="121" customWidth="1"/>
    <col min="2306" max="2306" width="24.421875" style="121" customWidth="1"/>
    <col min="2307" max="2560" width="9.140625" style="121" customWidth="1"/>
    <col min="2561" max="2561" width="73.421875" style="121" customWidth="1"/>
    <col min="2562" max="2562" width="24.421875" style="121" customWidth="1"/>
    <col min="2563" max="2816" width="9.140625" style="121" customWidth="1"/>
    <col min="2817" max="2817" width="73.421875" style="121" customWidth="1"/>
    <col min="2818" max="2818" width="24.421875" style="121" customWidth="1"/>
    <col min="2819" max="3072" width="9.140625" style="121" customWidth="1"/>
    <col min="3073" max="3073" width="73.421875" style="121" customWidth="1"/>
    <col min="3074" max="3074" width="24.421875" style="121" customWidth="1"/>
    <col min="3075" max="3328" width="9.140625" style="121" customWidth="1"/>
    <col min="3329" max="3329" width="73.421875" style="121" customWidth="1"/>
    <col min="3330" max="3330" width="24.421875" style="121" customWidth="1"/>
    <col min="3331" max="3584" width="9.140625" style="121" customWidth="1"/>
    <col min="3585" max="3585" width="73.421875" style="121" customWidth="1"/>
    <col min="3586" max="3586" width="24.421875" style="121" customWidth="1"/>
    <col min="3587" max="3840" width="9.140625" style="121" customWidth="1"/>
    <col min="3841" max="3841" width="73.421875" style="121" customWidth="1"/>
    <col min="3842" max="3842" width="24.421875" style="121" customWidth="1"/>
    <col min="3843" max="4096" width="9.140625" style="121" customWidth="1"/>
    <col min="4097" max="4097" width="73.421875" style="121" customWidth="1"/>
    <col min="4098" max="4098" width="24.421875" style="121" customWidth="1"/>
    <col min="4099" max="4352" width="9.140625" style="121" customWidth="1"/>
    <col min="4353" max="4353" width="73.421875" style="121" customWidth="1"/>
    <col min="4354" max="4354" width="24.421875" style="121" customWidth="1"/>
    <col min="4355" max="4608" width="9.140625" style="121" customWidth="1"/>
    <col min="4609" max="4609" width="73.421875" style="121" customWidth="1"/>
    <col min="4610" max="4610" width="24.421875" style="121" customWidth="1"/>
    <col min="4611" max="4864" width="9.140625" style="121" customWidth="1"/>
    <col min="4865" max="4865" width="73.421875" style="121" customWidth="1"/>
    <col min="4866" max="4866" width="24.421875" style="121" customWidth="1"/>
    <col min="4867" max="5120" width="9.140625" style="121" customWidth="1"/>
    <col min="5121" max="5121" width="73.421875" style="121" customWidth="1"/>
    <col min="5122" max="5122" width="24.421875" style="121" customWidth="1"/>
    <col min="5123" max="5376" width="9.140625" style="121" customWidth="1"/>
    <col min="5377" max="5377" width="73.421875" style="121" customWidth="1"/>
    <col min="5378" max="5378" width="24.421875" style="121" customWidth="1"/>
    <col min="5379" max="5632" width="9.140625" style="121" customWidth="1"/>
    <col min="5633" max="5633" width="73.421875" style="121" customWidth="1"/>
    <col min="5634" max="5634" width="24.421875" style="121" customWidth="1"/>
    <col min="5635" max="5888" width="9.140625" style="121" customWidth="1"/>
    <col min="5889" max="5889" width="73.421875" style="121" customWidth="1"/>
    <col min="5890" max="5890" width="24.421875" style="121" customWidth="1"/>
    <col min="5891" max="6144" width="9.140625" style="121" customWidth="1"/>
    <col min="6145" max="6145" width="73.421875" style="121" customWidth="1"/>
    <col min="6146" max="6146" width="24.421875" style="121" customWidth="1"/>
    <col min="6147" max="6400" width="9.140625" style="121" customWidth="1"/>
    <col min="6401" max="6401" width="73.421875" style="121" customWidth="1"/>
    <col min="6402" max="6402" width="24.421875" style="121" customWidth="1"/>
    <col min="6403" max="6656" width="9.140625" style="121" customWidth="1"/>
    <col min="6657" max="6657" width="73.421875" style="121" customWidth="1"/>
    <col min="6658" max="6658" width="24.421875" style="121" customWidth="1"/>
    <col min="6659" max="6912" width="9.140625" style="121" customWidth="1"/>
    <col min="6913" max="6913" width="73.421875" style="121" customWidth="1"/>
    <col min="6914" max="6914" width="24.421875" style="121" customWidth="1"/>
    <col min="6915" max="7168" width="9.140625" style="121" customWidth="1"/>
    <col min="7169" max="7169" width="73.421875" style="121" customWidth="1"/>
    <col min="7170" max="7170" width="24.421875" style="121" customWidth="1"/>
    <col min="7171" max="7424" width="9.140625" style="121" customWidth="1"/>
    <col min="7425" max="7425" width="73.421875" style="121" customWidth="1"/>
    <col min="7426" max="7426" width="24.421875" style="121" customWidth="1"/>
    <col min="7427" max="7680" width="9.140625" style="121" customWidth="1"/>
    <col min="7681" max="7681" width="73.421875" style="121" customWidth="1"/>
    <col min="7682" max="7682" width="24.421875" style="121" customWidth="1"/>
    <col min="7683" max="7936" width="9.140625" style="121" customWidth="1"/>
    <col min="7937" max="7937" width="73.421875" style="121" customWidth="1"/>
    <col min="7938" max="7938" width="24.421875" style="121" customWidth="1"/>
    <col min="7939" max="8192" width="9.140625" style="121" customWidth="1"/>
    <col min="8193" max="8193" width="73.421875" style="121" customWidth="1"/>
    <col min="8194" max="8194" width="24.421875" style="121" customWidth="1"/>
    <col min="8195" max="8448" width="9.140625" style="121" customWidth="1"/>
    <col min="8449" max="8449" width="73.421875" style="121" customWidth="1"/>
    <col min="8450" max="8450" width="24.421875" style="121" customWidth="1"/>
    <col min="8451" max="8704" width="9.140625" style="121" customWidth="1"/>
    <col min="8705" max="8705" width="73.421875" style="121" customWidth="1"/>
    <col min="8706" max="8706" width="24.421875" style="121" customWidth="1"/>
    <col min="8707" max="8960" width="9.140625" style="121" customWidth="1"/>
    <col min="8961" max="8961" width="73.421875" style="121" customWidth="1"/>
    <col min="8962" max="8962" width="24.421875" style="121" customWidth="1"/>
    <col min="8963" max="9216" width="9.140625" style="121" customWidth="1"/>
    <col min="9217" max="9217" width="73.421875" style="121" customWidth="1"/>
    <col min="9218" max="9218" width="24.421875" style="121" customWidth="1"/>
    <col min="9219" max="9472" width="9.140625" style="121" customWidth="1"/>
    <col min="9473" max="9473" width="73.421875" style="121" customWidth="1"/>
    <col min="9474" max="9474" width="24.421875" style="121" customWidth="1"/>
    <col min="9475" max="9728" width="9.140625" style="121" customWidth="1"/>
    <col min="9729" max="9729" width="73.421875" style="121" customWidth="1"/>
    <col min="9730" max="9730" width="24.421875" style="121" customWidth="1"/>
    <col min="9731" max="9984" width="9.140625" style="121" customWidth="1"/>
    <col min="9985" max="9985" width="73.421875" style="121" customWidth="1"/>
    <col min="9986" max="9986" width="24.421875" style="121" customWidth="1"/>
    <col min="9987" max="10240" width="9.140625" style="121" customWidth="1"/>
    <col min="10241" max="10241" width="73.421875" style="121" customWidth="1"/>
    <col min="10242" max="10242" width="24.421875" style="121" customWidth="1"/>
    <col min="10243" max="10496" width="9.140625" style="121" customWidth="1"/>
    <col min="10497" max="10497" width="73.421875" style="121" customWidth="1"/>
    <col min="10498" max="10498" width="24.421875" style="121" customWidth="1"/>
    <col min="10499" max="10752" width="9.140625" style="121" customWidth="1"/>
    <col min="10753" max="10753" width="73.421875" style="121" customWidth="1"/>
    <col min="10754" max="10754" width="24.421875" style="121" customWidth="1"/>
    <col min="10755" max="11008" width="9.140625" style="121" customWidth="1"/>
    <col min="11009" max="11009" width="73.421875" style="121" customWidth="1"/>
    <col min="11010" max="11010" width="24.421875" style="121" customWidth="1"/>
    <col min="11011" max="11264" width="9.140625" style="121" customWidth="1"/>
    <col min="11265" max="11265" width="73.421875" style="121" customWidth="1"/>
    <col min="11266" max="11266" width="24.421875" style="121" customWidth="1"/>
    <col min="11267" max="11520" width="9.140625" style="121" customWidth="1"/>
    <col min="11521" max="11521" width="73.421875" style="121" customWidth="1"/>
    <col min="11522" max="11522" width="24.421875" style="121" customWidth="1"/>
    <col min="11523" max="11776" width="9.140625" style="121" customWidth="1"/>
    <col min="11777" max="11777" width="73.421875" style="121" customWidth="1"/>
    <col min="11778" max="11778" width="24.421875" style="121" customWidth="1"/>
    <col min="11779" max="12032" width="9.140625" style="121" customWidth="1"/>
    <col min="12033" max="12033" width="73.421875" style="121" customWidth="1"/>
    <col min="12034" max="12034" width="24.421875" style="121" customWidth="1"/>
    <col min="12035" max="12288" width="9.140625" style="121" customWidth="1"/>
    <col min="12289" max="12289" width="73.421875" style="121" customWidth="1"/>
    <col min="12290" max="12290" width="24.421875" style="121" customWidth="1"/>
    <col min="12291" max="12544" width="9.140625" style="121" customWidth="1"/>
    <col min="12545" max="12545" width="73.421875" style="121" customWidth="1"/>
    <col min="12546" max="12546" width="24.421875" style="121" customWidth="1"/>
    <col min="12547" max="12800" width="9.140625" style="121" customWidth="1"/>
    <col min="12801" max="12801" width="73.421875" style="121" customWidth="1"/>
    <col min="12802" max="12802" width="24.421875" style="121" customWidth="1"/>
    <col min="12803" max="13056" width="9.140625" style="121" customWidth="1"/>
    <col min="13057" max="13057" width="73.421875" style="121" customWidth="1"/>
    <col min="13058" max="13058" width="24.421875" style="121" customWidth="1"/>
    <col min="13059" max="13312" width="9.140625" style="121" customWidth="1"/>
    <col min="13313" max="13313" width="73.421875" style="121" customWidth="1"/>
    <col min="13314" max="13314" width="24.421875" style="121" customWidth="1"/>
    <col min="13315" max="13568" width="9.140625" style="121" customWidth="1"/>
    <col min="13569" max="13569" width="73.421875" style="121" customWidth="1"/>
    <col min="13570" max="13570" width="24.421875" style="121" customWidth="1"/>
    <col min="13571" max="13824" width="9.140625" style="121" customWidth="1"/>
    <col min="13825" max="13825" width="73.421875" style="121" customWidth="1"/>
    <col min="13826" max="13826" width="24.421875" style="121" customWidth="1"/>
    <col min="13827" max="14080" width="9.140625" style="121" customWidth="1"/>
    <col min="14081" max="14081" width="73.421875" style="121" customWidth="1"/>
    <col min="14082" max="14082" width="24.421875" style="121" customWidth="1"/>
    <col min="14083" max="14336" width="9.140625" style="121" customWidth="1"/>
    <col min="14337" max="14337" width="73.421875" style="121" customWidth="1"/>
    <col min="14338" max="14338" width="24.421875" style="121" customWidth="1"/>
    <col min="14339" max="14592" width="9.140625" style="121" customWidth="1"/>
    <col min="14593" max="14593" width="73.421875" style="121" customWidth="1"/>
    <col min="14594" max="14594" width="24.421875" style="121" customWidth="1"/>
    <col min="14595" max="14848" width="9.140625" style="121" customWidth="1"/>
    <col min="14849" max="14849" width="73.421875" style="121" customWidth="1"/>
    <col min="14850" max="14850" width="24.421875" style="121" customWidth="1"/>
    <col min="14851" max="15104" width="9.140625" style="121" customWidth="1"/>
    <col min="15105" max="15105" width="73.421875" style="121" customWidth="1"/>
    <col min="15106" max="15106" width="24.421875" style="121" customWidth="1"/>
    <col min="15107" max="15360" width="9.140625" style="121" customWidth="1"/>
    <col min="15361" max="15361" width="73.421875" style="121" customWidth="1"/>
    <col min="15362" max="15362" width="24.421875" style="121" customWidth="1"/>
    <col min="15363" max="15616" width="9.140625" style="121" customWidth="1"/>
    <col min="15617" max="15617" width="73.421875" style="121" customWidth="1"/>
    <col min="15618" max="15618" width="24.421875" style="121" customWidth="1"/>
    <col min="15619" max="15872" width="9.140625" style="121" customWidth="1"/>
    <col min="15873" max="15873" width="73.421875" style="121" customWidth="1"/>
    <col min="15874" max="15874" width="24.421875" style="121" customWidth="1"/>
    <col min="15875" max="16128" width="9.140625" style="121" customWidth="1"/>
    <col min="16129" max="16129" width="73.421875" style="121" customWidth="1"/>
    <col min="16130" max="16130" width="24.421875" style="121" customWidth="1"/>
    <col min="16131" max="16384" width="9.140625" style="121" customWidth="1"/>
  </cols>
  <sheetData>
    <row r="1" spans="1:2" ht="15.75">
      <c r="A1" s="119" t="s">
        <v>37</v>
      </c>
      <c r="B1" s="120"/>
    </row>
    <row r="2" spans="1:2" ht="15.75">
      <c r="A2" s="122"/>
      <c r="B2" s="123"/>
    </row>
    <row r="3" spans="1:2" ht="16.5" thickBot="1">
      <c r="A3" s="370" t="s">
        <v>38</v>
      </c>
      <c r="B3" s="371"/>
    </row>
    <row r="4" spans="1:2" ht="15">
      <c r="A4" s="124" t="s">
        <v>39</v>
      </c>
      <c r="B4" s="125" t="s">
        <v>74</v>
      </c>
    </row>
    <row r="5" spans="1:3" ht="30" customHeight="1">
      <c r="A5" s="126" t="s">
        <v>40</v>
      </c>
      <c r="B5" s="127" t="s">
        <v>41</v>
      </c>
      <c r="C5" s="128"/>
    </row>
    <row r="6" spans="1:2" ht="15">
      <c r="A6" s="129" t="s">
        <v>42</v>
      </c>
      <c r="B6" s="130" t="s">
        <v>248</v>
      </c>
    </row>
    <row r="7" spans="1:2" ht="15">
      <c r="A7" s="131" t="s">
        <v>43</v>
      </c>
      <c r="B7" s="130" t="s">
        <v>76</v>
      </c>
    </row>
    <row r="8" spans="1:2" ht="15">
      <c r="A8" s="126" t="s">
        <v>44</v>
      </c>
      <c r="B8" s="132" t="s">
        <v>75</v>
      </c>
    </row>
    <row r="9" spans="1:2" ht="15">
      <c r="A9" s="126" t="s">
        <v>45</v>
      </c>
      <c r="B9" s="130" t="s">
        <v>247</v>
      </c>
    </row>
    <row r="10" spans="1:2" ht="15">
      <c r="A10" s="126" t="s">
        <v>46</v>
      </c>
      <c r="B10" s="133">
        <v>42804</v>
      </c>
    </row>
    <row r="11" spans="1:2" ht="15">
      <c r="A11" s="126" t="s">
        <v>47</v>
      </c>
      <c r="B11" s="133">
        <v>42826</v>
      </c>
    </row>
    <row r="12" spans="1:2" ht="15">
      <c r="A12" s="126" t="s">
        <v>48</v>
      </c>
      <c r="B12" s="133">
        <f>DATE(YEAR(B11),MONTH(B11)+3,DAY(B11))-1</f>
        <v>42916</v>
      </c>
    </row>
    <row r="13" spans="1:2" ht="15">
      <c r="A13" s="126" t="s">
        <v>49</v>
      </c>
      <c r="B13" s="130">
        <v>4</v>
      </c>
    </row>
    <row r="14" spans="1:2" ht="15">
      <c r="A14" s="134" t="s">
        <v>50</v>
      </c>
      <c r="B14" s="130" t="s">
        <v>51</v>
      </c>
    </row>
    <row r="15" spans="1:2" ht="25.5">
      <c r="A15" s="135" t="s">
        <v>52</v>
      </c>
      <c r="B15" s="130"/>
    </row>
    <row r="16" spans="1:6" ht="32.25" customHeight="1">
      <c r="A16" s="372" t="s">
        <v>150</v>
      </c>
      <c r="B16" s="373"/>
      <c r="C16" s="232"/>
      <c r="D16" s="232"/>
      <c r="E16" s="232"/>
      <c r="F16" s="232"/>
    </row>
    <row r="17" spans="1:2" ht="18.75" customHeight="1">
      <c r="A17" s="126" t="s">
        <v>53</v>
      </c>
      <c r="B17" s="342">
        <f>'DFP-CASH'!H54</f>
        <v>184569</v>
      </c>
    </row>
    <row r="18" spans="1:2" ht="20.25" customHeight="1">
      <c r="A18" s="126" t="s">
        <v>54</v>
      </c>
      <c r="B18" s="136"/>
    </row>
    <row r="19" spans="1:2" ht="18.75" customHeight="1">
      <c r="A19" s="126" t="s">
        <v>55</v>
      </c>
      <c r="B19" s="137"/>
    </row>
    <row r="20" spans="1:2" ht="18.75" customHeight="1">
      <c r="A20" s="126" t="s">
        <v>56</v>
      </c>
      <c r="B20" s="136">
        <v>0</v>
      </c>
    </row>
    <row r="21" spans="1:2" ht="18.75" customHeight="1">
      <c r="A21" s="126" t="s">
        <v>57</v>
      </c>
      <c r="B21" s="342">
        <f>B17+B18+B19-B20</f>
        <v>184569</v>
      </c>
    </row>
    <row r="22" spans="1:2" ht="21.75" customHeight="1">
      <c r="A22" s="126" t="s">
        <v>58</v>
      </c>
      <c r="B22" s="341" t="s">
        <v>290</v>
      </c>
    </row>
    <row r="23" spans="1:2" ht="39.95" customHeight="1">
      <c r="A23" s="374" t="s">
        <v>59</v>
      </c>
      <c r="B23" s="374"/>
    </row>
    <row r="24" spans="1:2" ht="58.5" customHeight="1">
      <c r="A24" s="374" t="s">
        <v>60</v>
      </c>
      <c r="B24" s="374"/>
    </row>
    <row r="25" spans="1:2" ht="33" customHeight="1">
      <c r="A25" s="374" t="s">
        <v>61</v>
      </c>
      <c r="B25" s="375"/>
    </row>
    <row r="26" spans="1:2" ht="50.1" customHeight="1">
      <c r="A26" s="374" t="s">
        <v>274</v>
      </c>
      <c r="B26" s="374"/>
    </row>
    <row r="27" spans="1:2" ht="20.1" customHeight="1">
      <c r="A27" s="138"/>
      <c r="B27" s="139"/>
    </row>
    <row r="28" spans="1:2" ht="20.1" customHeight="1">
      <c r="A28" s="366" t="s">
        <v>73</v>
      </c>
      <c r="B28" s="367"/>
    </row>
    <row r="29" spans="1:2" ht="20.1" customHeight="1">
      <c r="A29" s="140" t="s">
        <v>62</v>
      </c>
      <c r="B29" s="141"/>
    </row>
    <row r="30" spans="1:2" ht="20.1" customHeight="1">
      <c r="A30" s="140" t="s">
        <v>256</v>
      </c>
      <c r="B30" s="141"/>
    </row>
    <row r="31" spans="1:2" ht="20.1" customHeight="1">
      <c r="A31" s="329" t="s">
        <v>277</v>
      </c>
      <c r="B31" s="141"/>
    </row>
    <row r="32" spans="1:2" ht="20.1" customHeight="1">
      <c r="A32" s="142"/>
      <c r="B32" s="143"/>
    </row>
    <row r="33" spans="1:2" ht="20.1" customHeight="1">
      <c r="A33" s="368" t="s">
        <v>246</v>
      </c>
      <c r="B33" s="369"/>
    </row>
    <row r="34" spans="1:2" ht="20.1" customHeight="1">
      <c r="A34" s="140" t="s">
        <v>62</v>
      </c>
      <c r="B34" s="141"/>
    </row>
    <row r="35" spans="1:2" ht="20.1" customHeight="1">
      <c r="A35" s="140" t="s">
        <v>258</v>
      </c>
      <c r="B35" s="141"/>
    </row>
    <row r="36" spans="1:2" ht="20.1" customHeight="1">
      <c r="A36" s="140" t="s">
        <v>63</v>
      </c>
      <c r="B36" s="141"/>
    </row>
    <row r="37" spans="1:2" ht="20.1" customHeight="1">
      <c r="A37" s="142"/>
      <c r="B37" s="143"/>
    </row>
    <row r="38" spans="1:2" ht="20.1" customHeight="1">
      <c r="A38" s="138"/>
      <c r="B38" s="139"/>
    </row>
    <row r="39" spans="1:2" ht="20.1" customHeight="1">
      <c r="A39" s="366"/>
      <c r="B39" s="367"/>
    </row>
    <row r="40" spans="1:2" ht="20.1" customHeight="1">
      <c r="A40" s="142" t="s">
        <v>62</v>
      </c>
      <c r="B40" s="141"/>
    </row>
    <row r="41" spans="1:2" ht="20.1" customHeight="1" thickBot="1">
      <c r="A41" s="144" t="s">
        <v>64</v>
      </c>
      <c r="B41" s="141"/>
    </row>
    <row r="42" spans="1:2" ht="20.1" customHeight="1">
      <c r="A42" s="140" t="s">
        <v>257</v>
      </c>
      <c r="B42" s="141"/>
    </row>
    <row r="43" spans="1:2" ht="20.1" customHeight="1">
      <c r="A43" s="145"/>
      <c r="B43" s="143"/>
    </row>
    <row r="44" spans="1:2" ht="15">
      <c r="A44" s="146"/>
      <c r="B44" s="147"/>
    </row>
    <row r="45" spans="1:2" ht="15">
      <c r="A45" s="148"/>
      <c r="B45" s="149"/>
    </row>
  </sheetData>
  <mergeCells count="9">
    <mergeCell ref="A28:B28"/>
    <mergeCell ref="A33:B33"/>
    <mergeCell ref="A39:B39"/>
    <mergeCell ref="A3:B3"/>
    <mergeCell ref="A16:B16"/>
    <mergeCell ref="A23:B23"/>
    <mergeCell ref="A24:B24"/>
    <mergeCell ref="A25:B25"/>
    <mergeCell ref="A26:B26"/>
  </mergeCells>
  <printOptions horizontalCentered="1"/>
  <pageMargins left="0.4330708661417323" right="0.3937007874015748" top="0.5118110236220472" bottom="0.4330708661417323" header="0.2755905511811024" footer="0.2755905511811024"/>
  <pageSetup fitToHeight="1" fitToWidth="1" horizontalDpi="600" verticalDpi="600" orientation="portrait" scale="7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5"/>
  <sheetViews>
    <sheetView showGridLines="0" zoomScale="115" zoomScaleNormal="115" workbookViewId="0" topLeftCell="A1">
      <pane ySplit="3" topLeftCell="A19" activePane="bottomLeft" state="frozen"/>
      <selection pane="bottomLeft" activeCell="C1" sqref="B1:C1048576"/>
    </sheetView>
  </sheetViews>
  <sheetFormatPr defaultColWidth="8.8515625" defaultRowHeight="15"/>
  <cols>
    <col min="2" max="2" width="30.57421875" style="0" hidden="1" customWidth="1"/>
    <col min="3" max="3" width="51.421875" style="0" hidden="1" customWidth="1"/>
    <col min="4" max="4" width="14.00390625" style="0" customWidth="1"/>
    <col min="5" max="5" width="13.140625" style="0" customWidth="1"/>
    <col min="6" max="6" width="12.421875" style="0" customWidth="1"/>
    <col min="7" max="7" width="10.421875" style="0" customWidth="1"/>
    <col min="8" max="8" width="10.421875" style="321" customWidth="1"/>
    <col min="9" max="21" width="10.421875" style="0" customWidth="1"/>
    <col min="22" max="23" width="14.00390625" style="0" customWidth="1"/>
    <col min="24" max="24" width="11.00390625" style="0" customWidth="1"/>
    <col min="25" max="34" width="10.421875" style="0" customWidth="1"/>
    <col min="35" max="35" width="12.421875" style="0" customWidth="1"/>
    <col min="36" max="37" width="10.421875" style="0" customWidth="1"/>
    <col min="38" max="38" width="12.57421875" style="0" customWidth="1"/>
    <col min="40" max="41" width="11.421875" style="0" customWidth="1"/>
    <col min="42" max="42" width="12.140625" style="0" customWidth="1"/>
    <col min="43" max="44" width="11.421875" style="0" customWidth="1"/>
    <col min="45" max="45" width="12.421875" style="0" customWidth="1"/>
    <col min="46" max="54" width="11.421875" style="0" customWidth="1"/>
    <col min="56" max="56" width="11.57421875" style="0" customWidth="1"/>
  </cols>
  <sheetData>
    <row r="1" spans="4:54" ht="15">
      <c r="D1" s="238">
        <f>SUM(D2:D59)</f>
        <v>23723044</v>
      </c>
      <c r="F1" t="s">
        <v>181</v>
      </c>
      <c r="U1" t="s">
        <v>195</v>
      </c>
      <c r="X1" s="243" t="s">
        <v>223</v>
      </c>
      <c r="Y1" s="243"/>
      <c r="Z1" s="243"/>
      <c r="AA1" s="243"/>
      <c r="AB1" s="243"/>
      <c r="AC1" s="243"/>
      <c r="AD1" s="243"/>
      <c r="AE1" s="243"/>
      <c r="AF1" s="243"/>
      <c r="AG1" s="243"/>
      <c r="AH1" s="243"/>
      <c r="AI1" s="243"/>
      <c r="AJ1" s="243"/>
      <c r="AK1" s="243"/>
      <c r="AL1" s="243"/>
      <c r="AM1" s="244"/>
      <c r="AN1" s="243" t="s">
        <v>224</v>
      </c>
      <c r="AO1" s="243"/>
      <c r="AP1" s="243"/>
      <c r="AQ1" s="243"/>
      <c r="AR1" s="243"/>
      <c r="AS1" s="243"/>
      <c r="AT1" s="243"/>
      <c r="AU1" s="243"/>
      <c r="AV1" s="243"/>
      <c r="AW1" s="243"/>
      <c r="AX1" s="243"/>
      <c r="AY1" s="243"/>
      <c r="AZ1" s="243"/>
      <c r="BA1" s="243"/>
      <c r="BB1" s="243"/>
    </row>
    <row r="2" spans="1:56" ht="15">
      <c r="A2" t="s">
        <v>157</v>
      </c>
      <c r="D2" t="s">
        <v>179</v>
      </c>
      <c r="F2" s="235">
        <v>42552</v>
      </c>
      <c r="G2" s="235">
        <v>42644</v>
      </c>
      <c r="H2" s="322">
        <v>42736</v>
      </c>
      <c r="I2" s="235">
        <v>42826</v>
      </c>
      <c r="J2" s="235">
        <v>42917</v>
      </c>
      <c r="K2" s="235">
        <v>43009</v>
      </c>
      <c r="L2" s="235">
        <v>43101</v>
      </c>
      <c r="M2" s="235">
        <v>43191</v>
      </c>
      <c r="N2" s="235">
        <v>43282</v>
      </c>
      <c r="O2" s="235">
        <v>43374</v>
      </c>
      <c r="P2" s="235">
        <v>43466</v>
      </c>
      <c r="Q2" s="235">
        <v>43556</v>
      </c>
      <c r="R2" s="235">
        <v>43647</v>
      </c>
      <c r="S2" s="235">
        <v>43739</v>
      </c>
      <c r="T2" s="235">
        <v>43831</v>
      </c>
      <c r="V2" s="303"/>
      <c r="W2" s="303"/>
      <c r="X2" s="245">
        <v>42552</v>
      </c>
      <c r="Y2" s="245">
        <v>42644</v>
      </c>
      <c r="Z2" s="245">
        <v>42736</v>
      </c>
      <c r="AA2" s="245">
        <v>42826</v>
      </c>
      <c r="AB2" s="245">
        <v>42917</v>
      </c>
      <c r="AC2" s="245">
        <v>43009</v>
      </c>
      <c r="AD2" s="245">
        <v>43101</v>
      </c>
      <c r="AE2" s="245">
        <v>43191</v>
      </c>
      <c r="AF2" s="245">
        <v>43282</v>
      </c>
      <c r="AG2" s="245">
        <v>43374</v>
      </c>
      <c r="AH2" s="245">
        <v>43466</v>
      </c>
      <c r="AI2" s="245">
        <v>43556</v>
      </c>
      <c r="AJ2" s="245">
        <v>43647</v>
      </c>
      <c r="AK2" s="245">
        <v>43739</v>
      </c>
      <c r="AL2" s="245">
        <v>43831</v>
      </c>
      <c r="AM2" s="244"/>
      <c r="AN2" s="245">
        <v>42552</v>
      </c>
      <c r="AO2" s="245">
        <v>42644</v>
      </c>
      <c r="AP2" s="245">
        <v>42736</v>
      </c>
      <c r="AQ2" s="245">
        <v>42826</v>
      </c>
      <c r="AR2" s="245">
        <v>42917</v>
      </c>
      <c r="AS2" s="245">
        <v>43009</v>
      </c>
      <c r="AT2" s="245">
        <v>43101</v>
      </c>
      <c r="AU2" s="245">
        <v>43191</v>
      </c>
      <c r="AV2" s="245">
        <v>43282</v>
      </c>
      <c r="AW2" s="245">
        <v>43374</v>
      </c>
      <c r="AX2" s="245">
        <v>43466</v>
      </c>
      <c r="AY2" s="245">
        <v>43556</v>
      </c>
      <c r="AZ2" s="245">
        <v>43647</v>
      </c>
      <c r="BA2" s="245">
        <v>43739</v>
      </c>
      <c r="BB2" s="245">
        <v>43831</v>
      </c>
      <c r="BD2" t="s">
        <v>231</v>
      </c>
    </row>
    <row r="3" spans="1:54" ht="15">
      <c r="A3" s="303" t="s">
        <v>157</v>
      </c>
      <c r="C3" s="303"/>
      <c r="E3" t="s">
        <v>180</v>
      </c>
      <c r="F3" t="s">
        <v>178</v>
      </c>
      <c r="G3" t="s">
        <v>182</v>
      </c>
      <c r="H3" s="321" t="s">
        <v>183</v>
      </c>
      <c r="I3" t="s">
        <v>184</v>
      </c>
      <c r="J3" t="s">
        <v>185</v>
      </c>
      <c r="K3" t="s">
        <v>186</v>
      </c>
      <c r="L3" t="s">
        <v>187</v>
      </c>
      <c r="M3" t="s">
        <v>188</v>
      </c>
      <c r="N3" t="s">
        <v>189</v>
      </c>
      <c r="O3" t="s">
        <v>190</v>
      </c>
      <c r="P3" t="s">
        <v>191</v>
      </c>
      <c r="Q3" t="s">
        <v>192</v>
      </c>
      <c r="R3" t="s">
        <v>193</v>
      </c>
      <c r="S3" t="s">
        <v>194</v>
      </c>
      <c r="T3" t="s">
        <v>196</v>
      </c>
      <c r="V3" s="303"/>
      <c r="W3" s="303"/>
      <c r="X3" s="243" t="s">
        <v>178</v>
      </c>
      <c r="Y3" s="243" t="s">
        <v>182</v>
      </c>
      <c r="Z3" s="243" t="s">
        <v>183</v>
      </c>
      <c r="AA3" s="243" t="s">
        <v>184</v>
      </c>
      <c r="AB3" s="243" t="s">
        <v>185</v>
      </c>
      <c r="AC3" s="243" t="s">
        <v>186</v>
      </c>
      <c r="AD3" s="243" t="s">
        <v>187</v>
      </c>
      <c r="AE3" s="243" t="s">
        <v>188</v>
      </c>
      <c r="AF3" s="243" t="s">
        <v>189</v>
      </c>
      <c r="AG3" s="243" t="s">
        <v>190</v>
      </c>
      <c r="AH3" s="243" t="s">
        <v>191</v>
      </c>
      <c r="AI3" s="243" t="s">
        <v>192</v>
      </c>
      <c r="AJ3" s="243" t="s">
        <v>193</v>
      </c>
      <c r="AK3" s="243" t="s">
        <v>194</v>
      </c>
      <c r="AL3" s="243" t="s">
        <v>196</v>
      </c>
      <c r="AM3" s="244"/>
      <c r="AN3" s="243" t="s">
        <v>178</v>
      </c>
      <c r="AO3" s="243" t="s">
        <v>182</v>
      </c>
      <c r="AP3" s="243" t="s">
        <v>183</v>
      </c>
      <c r="AQ3" s="243" t="s">
        <v>184</v>
      </c>
      <c r="AR3" s="243" t="s">
        <v>185</v>
      </c>
      <c r="AS3" s="243" t="s">
        <v>186</v>
      </c>
      <c r="AT3" s="243" t="s">
        <v>187</v>
      </c>
      <c r="AU3" s="243" t="s">
        <v>188</v>
      </c>
      <c r="AV3" s="243" t="s">
        <v>189</v>
      </c>
      <c r="AW3" s="243" t="s">
        <v>190</v>
      </c>
      <c r="AX3" s="243" t="s">
        <v>191</v>
      </c>
      <c r="AY3" s="243" t="s">
        <v>192</v>
      </c>
      <c r="AZ3" s="243" t="s">
        <v>193</v>
      </c>
      <c r="BA3" s="243" t="s">
        <v>194</v>
      </c>
      <c r="BB3" s="243" t="s">
        <v>196</v>
      </c>
    </row>
    <row r="4" spans="1:56" ht="15">
      <c r="A4" t="s">
        <v>158</v>
      </c>
      <c r="B4" s="251"/>
      <c r="D4" s="338">
        <v>8500000</v>
      </c>
      <c r="E4" t="s">
        <v>197</v>
      </c>
      <c r="H4" s="323"/>
      <c r="I4" s="237">
        <v>0</v>
      </c>
      <c r="J4" s="237">
        <v>0.08</v>
      </c>
      <c r="K4" s="237">
        <v>0.05</v>
      </c>
      <c r="L4" s="237">
        <v>0.05</v>
      </c>
      <c r="M4" s="237">
        <v>0.1</v>
      </c>
      <c r="N4" s="237">
        <v>0.1</v>
      </c>
      <c r="O4" s="237">
        <v>0.1</v>
      </c>
      <c r="P4" s="237">
        <v>0.1</v>
      </c>
      <c r="Q4" s="237">
        <v>0.1</v>
      </c>
      <c r="R4" s="237">
        <v>0.1</v>
      </c>
      <c r="S4" s="237">
        <v>0.1</v>
      </c>
      <c r="T4" s="237">
        <v>0.12</v>
      </c>
      <c r="U4" s="236">
        <f aca="true" t="shared" si="0" ref="U4:U41">SUM(F4:T4)</f>
        <v>0.9999999999999999</v>
      </c>
      <c r="V4" s="303"/>
      <c r="W4" s="303"/>
      <c r="X4" s="246">
        <f aca="true" t="shared" si="1" ref="X4:X41">F4*$D4</f>
        <v>0</v>
      </c>
      <c r="Y4" s="246">
        <f aca="true" t="shared" si="2" ref="Y4:Y41">G4*$D4</f>
        <v>0</v>
      </c>
      <c r="Z4" s="246">
        <f aca="true" t="shared" si="3" ref="Z4:Z41">H4*$D4</f>
        <v>0</v>
      </c>
      <c r="AA4" s="246">
        <f aca="true" t="shared" si="4" ref="AA4:AA41">I4*$D4</f>
        <v>0</v>
      </c>
      <c r="AB4" s="246">
        <f aca="true" t="shared" si="5" ref="AB4:AB41">J4*$D4</f>
        <v>680000</v>
      </c>
      <c r="AC4" s="246">
        <f aca="true" t="shared" si="6" ref="AC4:AC41">K4*$D4</f>
        <v>425000</v>
      </c>
      <c r="AD4" s="246">
        <f aca="true" t="shared" si="7" ref="AD4:AD41">L4*$D4</f>
        <v>425000</v>
      </c>
      <c r="AE4" s="246">
        <f aca="true" t="shared" si="8" ref="AE4:AE41">M4*$D4</f>
        <v>850000</v>
      </c>
      <c r="AF4" s="246">
        <f aca="true" t="shared" si="9" ref="AF4:AF41">N4*$D4</f>
        <v>850000</v>
      </c>
      <c r="AG4" s="246">
        <f aca="true" t="shared" si="10" ref="AG4:AG41">O4*$D4</f>
        <v>850000</v>
      </c>
      <c r="AH4" s="246">
        <f aca="true" t="shared" si="11" ref="AH4:AH41">P4*$D4</f>
        <v>850000</v>
      </c>
      <c r="AI4" s="246">
        <f aca="true" t="shared" si="12" ref="AI4:AI41">Q4*$D4</f>
        <v>850000</v>
      </c>
      <c r="AJ4" s="246">
        <f aca="true" t="shared" si="13" ref="AJ4:AJ41">R4*$D4</f>
        <v>850000</v>
      </c>
      <c r="AK4" s="246">
        <f aca="true" t="shared" si="14" ref="AK4:AK41">S4*$D4</f>
        <v>850000</v>
      </c>
      <c r="AL4" s="246">
        <f aca="true" t="shared" si="15" ref="AL4:AL41">T4*$D4</f>
        <v>1020000</v>
      </c>
      <c r="AM4" s="244"/>
      <c r="AN4" s="246">
        <f aca="true" t="shared" si="16" ref="AN4:BB15">IF(AN$3=$E4,$D4,0)</f>
        <v>0</v>
      </c>
      <c r="AO4" s="246">
        <f t="shared" si="16"/>
        <v>0</v>
      </c>
      <c r="AP4" s="246">
        <f t="shared" si="16"/>
        <v>8500000</v>
      </c>
      <c r="AQ4" s="246">
        <f t="shared" si="16"/>
        <v>0</v>
      </c>
      <c r="AR4" s="246">
        <f t="shared" si="16"/>
        <v>0</v>
      </c>
      <c r="AS4" s="246">
        <f t="shared" si="16"/>
        <v>0</v>
      </c>
      <c r="AT4" s="246">
        <f t="shared" si="16"/>
        <v>0</v>
      </c>
      <c r="AU4" s="246">
        <f t="shared" si="16"/>
        <v>0</v>
      </c>
      <c r="AV4" s="246">
        <f t="shared" si="16"/>
        <v>0</v>
      </c>
      <c r="AW4" s="246">
        <f t="shared" si="16"/>
        <v>0</v>
      </c>
      <c r="AX4" s="246">
        <f t="shared" si="16"/>
        <v>0</v>
      </c>
      <c r="AY4" s="246">
        <f t="shared" si="16"/>
        <v>0</v>
      </c>
      <c r="AZ4" s="246">
        <f t="shared" si="16"/>
        <v>0</v>
      </c>
      <c r="BA4" s="246">
        <f t="shared" si="16"/>
        <v>0</v>
      </c>
      <c r="BB4" s="246">
        <f t="shared" si="16"/>
        <v>0</v>
      </c>
      <c r="BD4" s="239">
        <f aca="true" t="shared" si="17" ref="BD4:BD30">SUM(X4:AL4)-SUM(AN4:BB4)</f>
        <v>0</v>
      </c>
    </row>
    <row r="5" spans="1:56" ht="15">
      <c r="A5" t="s">
        <v>158</v>
      </c>
      <c r="B5" s="251"/>
      <c r="D5" s="338">
        <v>200000</v>
      </c>
      <c r="E5" t="s">
        <v>211</v>
      </c>
      <c r="I5" s="303"/>
      <c r="J5" s="303"/>
      <c r="K5" s="303"/>
      <c r="L5" s="306">
        <v>0.25</v>
      </c>
      <c r="M5" s="306">
        <v>0.25</v>
      </c>
      <c r="N5" s="306">
        <v>0.25</v>
      </c>
      <c r="O5" s="306">
        <v>0.25</v>
      </c>
      <c r="P5" s="303"/>
      <c r="Q5" s="303"/>
      <c r="R5" s="303"/>
      <c r="S5" s="303"/>
      <c r="T5" s="303"/>
      <c r="U5" s="236">
        <f t="shared" si="0"/>
        <v>1</v>
      </c>
      <c r="V5" s="303"/>
      <c r="W5" s="303"/>
      <c r="X5" s="246">
        <f t="shared" si="1"/>
        <v>0</v>
      </c>
      <c r="Y5" s="246">
        <f t="shared" si="2"/>
        <v>0</v>
      </c>
      <c r="Z5" s="246">
        <f t="shared" si="3"/>
        <v>0</v>
      </c>
      <c r="AA5" s="246">
        <f t="shared" si="4"/>
        <v>0</v>
      </c>
      <c r="AB5" s="246">
        <f t="shared" si="5"/>
        <v>0</v>
      </c>
      <c r="AC5" s="246">
        <f t="shared" si="6"/>
        <v>0</v>
      </c>
      <c r="AD5" s="246">
        <f t="shared" si="7"/>
        <v>50000</v>
      </c>
      <c r="AE5" s="246">
        <f t="shared" si="8"/>
        <v>50000</v>
      </c>
      <c r="AF5" s="246">
        <f t="shared" si="9"/>
        <v>50000</v>
      </c>
      <c r="AG5" s="246">
        <f t="shared" si="10"/>
        <v>50000</v>
      </c>
      <c r="AH5" s="246">
        <f t="shared" si="11"/>
        <v>0</v>
      </c>
      <c r="AI5" s="246">
        <f t="shared" si="12"/>
        <v>0</v>
      </c>
      <c r="AJ5" s="246">
        <f t="shared" si="13"/>
        <v>0</v>
      </c>
      <c r="AK5" s="246">
        <f t="shared" si="14"/>
        <v>0</v>
      </c>
      <c r="AL5" s="246">
        <f t="shared" si="15"/>
        <v>0</v>
      </c>
      <c r="AM5" s="244"/>
      <c r="AN5" s="246">
        <f t="shared" si="16"/>
        <v>0</v>
      </c>
      <c r="AO5" s="246">
        <f t="shared" si="16"/>
        <v>0</v>
      </c>
      <c r="AP5" s="246">
        <f t="shared" si="16"/>
        <v>0</v>
      </c>
      <c r="AQ5" s="246">
        <f t="shared" si="16"/>
        <v>0</v>
      </c>
      <c r="AR5" s="246">
        <f t="shared" si="16"/>
        <v>0</v>
      </c>
      <c r="AS5" s="246">
        <f t="shared" si="16"/>
        <v>0</v>
      </c>
      <c r="AT5" s="246">
        <f t="shared" si="16"/>
        <v>200000</v>
      </c>
      <c r="AU5" s="246">
        <f t="shared" si="16"/>
        <v>0</v>
      </c>
      <c r="AV5" s="246">
        <f t="shared" si="16"/>
        <v>0</v>
      </c>
      <c r="AW5" s="246">
        <f t="shared" si="16"/>
        <v>0</v>
      </c>
      <c r="AX5" s="246">
        <f t="shared" si="16"/>
        <v>0</v>
      </c>
      <c r="AY5" s="246">
        <f t="shared" si="16"/>
        <v>0</v>
      </c>
      <c r="AZ5" s="246">
        <f t="shared" si="16"/>
        <v>0</v>
      </c>
      <c r="BA5" s="246">
        <f t="shared" si="16"/>
        <v>0</v>
      </c>
      <c r="BB5" s="246">
        <f t="shared" si="16"/>
        <v>0</v>
      </c>
      <c r="BD5" s="239">
        <f t="shared" si="17"/>
        <v>0</v>
      </c>
    </row>
    <row r="6" spans="1:56" ht="15">
      <c r="A6" t="s">
        <v>159</v>
      </c>
      <c r="B6" s="251"/>
      <c r="D6" s="339">
        <v>3000000</v>
      </c>
      <c r="E6" s="303" t="s">
        <v>199</v>
      </c>
      <c r="H6" s="323"/>
      <c r="I6" s="237"/>
      <c r="J6" s="237"/>
      <c r="K6" s="237"/>
      <c r="L6" s="237">
        <v>0.125</v>
      </c>
      <c r="M6" s="237">
        <v>0.125</v>
      </c>
      <c r="N6" s="237">
        <v>0.125</v>
      </c>
      <c r="O6" s="237">
        <v>0.125</v>
      </c>
      <c r="P6" s="237">
        <v>0.125</v>
      </c>
      <c r="Q6" s="237">
        <v>0.125</v>
      </c>
      <c r="R6" s="237">
        <v>0.125</v>
      </c>
      <c r="S6" s="237">
        <v>0.125</v>
      </c>
      <c r="T6" s="236"/>
      <c r="U6" s="236">
        <f t="shared" si="0"/>
        <v>1</v>
      </c>
      <c r="V6" s="303"/>
      <c r="W6" s="303"/>
      <c r="X6" s="246">
        <f t="shared" si="1"/>
        <v>0</v>
      </c>
      <c r="Y6" s="246">
        <f t="shared" si="2"/>
        <v>0</v>
      </c>
      <c r="Z6" s="246">
        <f t="shared" si="3"/>
        <v>0</v>
      </c>
      <c r="AA6" s="246">
        <f t="shared" si="4"/>
        <v>0</v>
      </c>
      <c r="AB6" s="246">
        <f t="shared" si="5"/>
        <v>0</v>
      </c>
      <c r="AC6" s="246">
        <f t="shared" si="6"/>
        <v>0</v>
      </c>
      <c r="AD6" s="246">
        <f t="shared" si="7"/>
        <v>375000</v>
      </c>
      <c r="AE6" s="246">
        <f t="shared" si="8"/>
        <v>375000</v>
      </c>
      <c r="AF6" s="246">
        <f t="shared" si="9"/>
        <v>375000</v>
      </c>
      <c r="AG6" s="246">
        <f t="shared" si="10"/>
        <v>375000</v>
      </c>
      <c r="AH6" s="246">
        <f t="shared" si="11"/>
        <v>375000</v>
      </c>
      <c r="AI6" s="246">
        <f t="shared" si="12"/>
        <v>375000</v>
      </c>
      <c r="AJ6" s="246">
        <f t="shared" si="13"/>
        <v>375000</v>
      </c>
      <c r="AK6" s="246">
        <f t="shared" si="14"/>
        <v>375000</v>
      </c>
      <c r="AL6" s="246">
        <f t="shared" si="15"/>
        <v>0</v>
      </c>
      <c r="AM6" s="244"/>
      <c r="AN6" s="246">
        <f t="shared" si="16"/>
        <v>0</v>
      </c>
      <c r="AO6" s="246">
        <f t="shared" si="16"/>
        <v>0</v>
      </c>
      <c r="AP6" s="246">
        <f t="shared" si="16"/>
        <v>0</v>
      </c>
      <c r="AQ6" s="246">
        <f t="shared" si="16"/>
        <v>0</v>
      </c>
      <c r="AR6" s="246">
        <f t="shared" si="16"/>
        <v>0</v>
      </c>
      <c r="AS6" s="246">
        <f t="shared" si="16"/>
        <v>3000000</v>
      </c>
      <c r="AT6" s="246">
        <f t="shared" si="16"/>
        <v>0</v>
      </c>
      <c r="AU6" s="246">
        <f t="shared" si="16"/>
        <v>0</v>
      </c>
      <c r="AV6" s="246">
        <f t="shared" si="16"/>
        <v>0</v>
      </c>
      <c r="AW6" s="246">
        <f t="shared" si="16"/>
        <v>0</v>
      </c>
      <c r="AX6" s="246">
        <f t="shared" si="16"/>
        <v>0</v>
      </c>
      <c r="AY6" s="246">
        <f t="shared" si="16"/>
        <v>0</v>
      </c>
      <c r="AZ6" s="246">
        <f t="shared" si="16"/>
        <v>0</v>
      </c>
      <c r="BA6" s="246">
        <f t="shared" si="16"/>
        <v>0</v>
      </c>
      <c r="BB6" s="246">
        <f t="shared" si="16"/>
        <v>0</v>
      </c>
      <c r="BD6" s="239">
        <f t="shared" si="17"/>
        <v>0</v>
      </c>
    </row>
    <row r="7" spans="1:56" ht="15">
      <c r="A7" t="s">
        <v>161</v>
      </c>
      <c r="B7" s="251"/>
      <c r="C7" s="253"/>
      <c r="D7" s="309">
        <v>4000000</v>
      </c>
      <c r="E7" t="s">
        <v>226</v>
      </c>
      <c r="J7" s="306">
        <v>0.05</v>
      </c>
      <c r="K7" s="306">
        <v>0.1</v>
      </c>
      <c r="L7" s="236">
        <v>0.1</v>
      </c>
      <c r="M7" s="236">
        <v>0.1</v>
      </c>
      <c r="N7" s="236">
        <v>0.1</v>
      </c>
      <c r="O7" s="236">
        <v>0.1</v>
      </c>
      <c r="P7" s="306">
        <v>0.1</v>
      </c>
      <c r="Q7" s="306">
        <v>0.1</v>
      </c>
      <c r="R7" s="306">
        <v>0.1</v>
      </c>
      <c r="S7" s="306">
        <v>0.1</v>
      </c>
      <c r="T7" s="306">
        <v>0.05</v>
      </c>
      <c r="U7" s="236">
        <f t="shared" si="0"/>
        <v>0.9999999999999999</v>
      </c>
      <c r="V7" s="303"/>
      <c r="W7" s="303"/>
      <c r="X7" s="246">
        <f t="shared" si="1"/>
        <v>0</v>
      </c>
      <c r="Y7" s="246">
        <f t="shared" si="2"/>
        <v>0</v>
      </c>
      <c r="Z7" s="246">
        <f t="shared" si="3"/>
        <v>0</v>
      </c>
      <c r="AA7" s="246">
        <f t="shared" si="4"/>
        <v>0</v>
      </c>
      <c r="AB7" s="246">
        <f t="shared" si="5"/>
        <v>200000</v>
      </c>
      <c r="AC7" s="246">
        <f t="shared" si="6"/>
        <v>400000</v>
      </c>
      <c r="AD7" s="246">
        <f t="shared" si="7"/>
        <v>400000</v>
      </c>
      <c r="AE7" s="246">
        <f t="shared" si="8"/>
        <v>400000</v>
      </c>
      <c r="AF7" s="246">
        <f t="shared" si="9"/>
        <v>400000</v>
      </c>
      <c r="AG7" s="246">
        <f t="shared" si="10"/>
        <v>400000</v>
      </c>
      <c r="AH7" s="246">
        <f t="shared" si="11"/>
        <v>400000</v>
      </c>
      <c r="AI7" s="246">
        <f t="shared" si="12"/>
        <v>400000</v>
      </c>
      <c r="AJ7" s="246">
        <f t="shared" si="13"/>
        <v>400000</v>
      </c>
      <c r="AK7" s="246">
        <f t="shared" si="14"/>
        <v>400000</v>
      </c>
      <c r="AL7" s="246">
        <f t="shared" si="15"/>
        <v>200000</v>
      </c>
      <c r="AM7" s="244"/>
      <c r="AN7" s="246">
        <f t="shared" si="16"/>
        <v>0</v>
      </c>
      <c r="AO7" s="246">
        <f t="shared" si="16"/>
        <v>0</v>
      </c>
      <c r="AP7" s="246">
        <f t="shared" si="16"/>
        <v>0</v>
      </c>
      <c r="AQ7" s="246">
        <f t="shared" si="16"/>
        <v>0</v>
      </c>
      <c r="AR7" s="246">
        <f t="shared" si="16"/>
        <v>4000000</v>
      </c>
      <c r="AS7" s="246">
        <f t="shared" si="16"/>
        <v>0</v>
      </c>
      <c r="AT7" s="246">
        <f t="shared" si="16"/>
        <v>0</v>
      </c>
      <c r="AU7" s="246">
        <f t="shared" si="16"/>
        <v>0</v>
      </c>
      <c r="AV7" s="246">
        <f t="shared" si="16"/>
        <v>0</v>
      </c>
      <c r="AW7" s="246">
        <f t="shared" si="16"/>
        <v>0</v>
      </c>
      <c r="AX7" s="246">
        <f t="shared" si="16"/>
        <v>0</v>
      </c>
      <c r="AY7" s="246">
        <f t="shared" si="16"/>
        <v>0</v>
      </c>
      <c r="AZ7" s="246">
        <f t="shared" si="16"/>
        <v>0</v>
      </c>
      <c r="BA7" s="246">
        <f t="shared" si="16"/>
        <v>0</v>
      </c>
      <c r="BB7" s="246">
        <f t="shared" si="16"/>
        <v>0</v>
      </c>
      <c r="BD7" s="239">
        <f t="shared" si="17"/>
        <v>0</v>
      </c>
    </row>
    <row r="8" spans="1:56" ht="15">
      <c r="A8" t="s">
        <v>162</v>
      </c>
      <c r="B8" s="251"/>
      <c r="D8" s="338">
        <v>2500000</v>
      </c>
      <c r="E8" t="s">
        <v>197</v>
      </c>
      <c r="G8" s="303"/>
      <c r="H8" s="323"/>
      <c r="I8" s="237">
        <v>0</v>
      </c>
      <c r="J8" s="237">
        <v>0.08</v>
      </c>
      <c r="K8" s="237">
        <v>0.05</v>
      </c>
      <c r="L8" s="237">
        <v>0.05</v>
      </c>
      <c r="M8" s="237">
        <v>0.1</v>
      </c>
      <c r="N8" s="237">
        <v>0.1</v>
      </c>
      <c r="O8" s="237">
        <v>0.1</v>
      </c>
      <c r="P8" s="237">
        <v>0.1</v>
      </c>
      <c r="Q8" s="237">
        <v>0.1</v>
      </c>
      <c r="R8" s="237">
        <v>0.1</v>
      </c>
      <c r="S8" s="237">
        <v>0.1</v>
      </c>
      <c r="T8" s="237">
        <v>0.12</v>
      </c>
      <c r="U8" s="236">
        <f t="shared" si="0"/>
        <v>0.9999999999999999</v>
      </c>
      <c r="V8" s="303"/>
      <c r="W8" s="303"/>
      <c r="X8" s="246">
        <f t="shared" si="1"/>
        <v>0</v>
      </c>
      <c r="Y8" s="246">
        <f t="shared" si="2"/>
        <v>0</v>
      </c>
      <c r="Z8" s="246">
        <f t="shared" si="3"/>
        <v>0</v>
      </c>
      <c r="AA8" s="246">
        <f t="shared" si="4"/>
        <v>0</v>
      </c>
      <c r="AB8" s="246">
        <f t="shared" si="5"/>
        <v>200000</v>
      </c>
      <c r="AC8" s="246">
        <f t="shared" si="6"/>
        <v>125000</v>
      </c>
      <c r="AD8" s="246">
        <f t="shared" si="7"/>
        <v>125000</v>
      </c>
      <c r="AE8" s="246">
        <f t="shared" si="8"/>
        <v>250000</v>
      </c>
      <c r="AF8" s="246">
        <f t="shared" si="9"/>
        <v>250000</v>
      </c>
      <c r="AG8" s="246">
        <f t="shared" si="10"/>
        <v>250000</v>
      </c>
      <c r="AH8" s="246">
        <f t="shared" si="11"/>
        <v>250000</v>
      </c>
      <c r="AI8" s="246">
        <f t="shared" si="12"/>
        <v>250000</v>
      </c>
      <c r="AJ8" s="246">
        <f t="shared" si="13"/>
        <v>250000</v>
      </c>
      <c r="AK8" s="246">
        <f t="shared" si="14"/>
        <v>250000</v>
      </c>
      <c r="AL8" s="246">
        <f t="shared" si="15"/>
        <v>300000</v>
      </c>
      <c r="AM8" s="244"/>
      <c r="AN8" s="246">
        <f t="shared" si="16"/>
        <v>0</v>
      </c>
      <c r="AO8" s="246">
        <f t="shared" si="16"/>
        <v>0</v>
      </c>
      <c r="AP8" s="246">
        <f t="shared" si="16"/>
        <v>2500000</v>
      </c>
      <c r="AQ8" s="246">
        <f t="shared" si="16"/>
        <v>0</v>
      </c>
      <c r="AR8" s="246">
        <f t="shared" si="16"/>
        <v>0</v>
      </c>
      <c r="AS8" s="246">
        <f t="shared" si="16"/>
        <v>0</v>
      </c>
      <c r="AT8" s="246">
        <f t="shared" si="16"/>
        <v>0</v>
      </c>
      <c r="AU8" s="246">
        <f t="shared" si="16"/>
        <v>0</v>
      </c>
      <c r="AV8" s="246">
        <f t="shared" si="16"/>
        <v>0</v>
      </c>
      <c r="AW8" s="246">
        <f t="shared" si="16"/>
        <v>0</v>
      </c>
      <c r="AX8" s="246">
        <f t="shared" si="16"/>
        <v>0</v>
      </c>
      <c r="AY8" s="246">
        <f t="shared" si="16"/>
        <v>0</v>
      </c>
      <c r="AZ8" s="246">
        <f t="shared" si="16"/>
        <v>0</v>
      </c>
      <c r="BA8" s="246">
        <f t="shared" si="16"/>
        <v>0</v>
      </c>
      <c r="BB8" s="246">
        <f t="shared" si="16"/>
        <v>0</v>
      </c>
      <c r="BD8" s="239">
        <f t="shared" si="17"/>
        <v>0</v>
      </c>
    </row>
    <row r="9" spans="1:56" s="303" customFormat="1" ht="15">
      <c r="A9" s="303" t="s">
        <v>165</v>
      </c>
      <c r="B9" s="315"/>
      <c r="D9" s="339">
        <f>3000*12</f>
        <v>36000</v>
      </c>
      <c r="E9" s="303" t="s">
        <v>197</v>
      </c>
      <c r="G9" s="306"/>
      <c r="H9" s="324"/>
      <c r="I9" s="306">
        <v>0.25</v>
      </c>
      <c r="J9" s="306">
        <v>0.25</v>
      </c>
      <c r="K9" s="306">
        <v>0.25</v>
      </c>
      <c r="L9" s="306">
        <v>0.25</v>
      </c>
      <c r="M9" s="306"/>
      <c r="N9" s="306"/>
      <c r="O9" s="306"/>
      <c r="P9" s="306"/>
      <c r="Q9" s="306"/>
      <c r="U9" s="306">
        <f t="shared" si="0"/>
        <v>1</v>
      </c>
      <c r="X9" s="308">
        <f t="shared" si="1"/>
        <v>0</v>
      </c>
      <c r="Y9" s="308">
        <f t="shared" si="2"/>
        <v>0</v>
      </c>
      <c r="Z9" s="308">
        <f t="shared" si="3"/>
        <v>0</v>
      </c>
      <c r="AA9" s="308">
        <f t="shared" si="4"/>
        <v>9000</v>
      </c>
      <c r="AB9" s="308">
        <f t="shared" si="5"/>
        <v>9000</v>
      </c>
      <c r="AC9" s="308">
        <f t="shared" si="6"/>
        <v>9000</v>
      </c>
      <c r="AD9" s="308">
        <f t="shared" si="7"/>
        <v>9000</v>
      </c>
      <c r="AE9" s="308">
        <f t="shared" si="8"/>
        <v>0</v>
      </c>
      <c r="AF9" s="308">
        <f t="shared" si="9"/>
        <v>0</v>
      </c>
      <c r="AG9" s="308">
        <f t="shared" si="10"/>
        <v>0</v>
      </c>
      <c r="AH9" s="308">
        <f t="shared" si="11"/>
        <v>0</v>
      </c>
      <c r="AI9" s="308">
        <f t="shared" si="12"/>
        <v>0</v>
      </c>
      <c r="AJ9" s="308">
        <f t="shared" si="13"/>
        <v>0</v>
      </c>
      <c r="AK9" s="308">
        <f t="shared" si="14"/>
        <v>0</v>
      </c>
      <c r="AL9" s="308">
        <f t="shared" si="15"/>
        <v>0</v>
      </c>
      <c r="AM9" s="244"/>
      <c r="AN9" s="308">
        <f t="shared" si="16"/>
        <v>0</v>
      </c>
      <c r="AO9" s="308">
        <f t="shared" si="16"/>
        <v>0</v>
      </c>
      <c r="AP9" s="308">
        <f t="shared" si="16"/>
        <v>36000</v>
      </c>
      <c r="AQ9" s="308">
        <f t="shared" si="16"/>
        <v>0</v>
      </c>
      <c r="AR9" s="308">
        <f t="shared" si="16"/>
        <v>0</v>
      </c>
      <c r="AS9" s="308">
        <f t="shared" si="16"/>
        <v>0</v>
      </c>
      <c r="AT9" s="308">
        <f t="shared" si="16"/>
        <v>0</v>
      </c>
      <c r="AU9" s="308">
        <f t="shared" si="16"/>
        <v>0</v>
      </c>
      <c r="AV9" s="308">
        <f t="shared" si="16"/>
        <v>0</v>
      </c>
      <c r="AW9" s="308">
        <f t="shared" si="16"/>
        <v>0</v>
      </c>
      <c r="AX9" s="308">
        <f t="shared" si="16"/>
        <v>0</v>
      </c>
      <c r="AY9" s="308">
        <f t="shared" si="16"/>
        <v>0</v>
      </c>
      <c r="AZ9" s="308">
        <f t="shared" si="16"/>
        <v>0</v>
      </c>
      <c r="BA9" s="308">
        <f t="shared" si="16"/>
        <v>0</v>
      </c>
      <c r="BB9" s="308">
        <f t="shared" si="16"/>
        <v>0</v>
      </c>
      <c r="BD9" s="307">
        <f t="shared" si="17"/>
        <v>0</v>
      </c>
    </row>
    <row r="10" spans="1:56" s="303" customFormat="1" ht="15">
      <c r="A10" s="303" t="s">
        <v>165</v>
      </c>
      <c r="B10" s="315"/>
      <c r="D10" s="339">
        <v>140000</v>
      </c>
      <c r="E10" s="303" t="s">
        <v>211</v>
      </c>
      <c r="G10" s="306"/>
      <c r="H10" s="324"/>
      <c r="I10" s="306"/>
      <c r="J10" s="306"/>
      <c r="K10" s="306"/>
      <c r="L10" s="306">
        <v>0.25</v>
      </c>
      <c r="M10" s="306">
        <v>0.25</v>
      </c>
      <c r="N10" s="306">
        <v>0.25</v>
      </c>
      <c r="O10" s="306">
        <v>0.25</v>
      </c>
      <c r="P10" s="306"/>
      <c r="Q10" s="306"/>
      <c r="U10" s="306">
        <f t="shared" si="0"/>
        <v>1</v>
      </c>
      <c r="X10" s="308">
        <f t="shared" si="1"/>
        <v>0</v>
      </c>
      <c r="Y10" s="308">
        <f t="shared" si="2"/>
        <v>0</v>
      </c>
      <c r="Z10" s="308">
        <f t="shared" si="3"/>
        <v>0</v>
      </c>
      <c r="AA10" s="308">
        <f t="shared" si="4"/>
        <v>0</v>
      </c>
      <c r="AB10" s="308">
        <f t="shared" si="5"/>
        <v>0</v>
      </c>
      <c r="AC10" s="308">
        <f t="shared" si="6"/>
        <v>0</v>
      </c>
      <c r="AD10" s="308">
        <f t="shared" si="7"/>
        <v>35000</v>
      </c>
      <c r="AE10" s="308">
        <f t="shared" si="8"/>
        <v>35000</v>
      </c>
      <c r="AF10" s="308">
        <f t="shared" si="9"/>
        <v>35000</v>
      </c>
      <c r="AG10" s="308">
        <f t="shared" si="10"/>
        <v>35000</v>
      </c>
      <c r="AH10" s="308">
        <f t="shared" si="11"/>
        <v>0</v>
      </c>
      <c r="AI10" s="308">
        <f t="shared" si="12"/>
        <v>0</v>
      </c>
      <c r="AJ10" s="308">
        <f t="shared" si="13"/>
        <v>0</v>
      </c>
      <c r="AK10" s="308">
        <f t="shared" si="14"/>
        <v>0</v>
      </c>
      <c r="AL10" s="308">
        <f t="shared" si="15"/>
        <v>0</v>
      </c>
      <c r="AM10" s="244"/>
      <c r="AN10" s="308">
        <f t="shared" si="16"/>
        <v>0</v>
      </c>
      <c r="AO10" s="308">
        <f t="shared" si="16"/>
        <v>0</v>
      </c>
      <c r="AP10" s="308">
        <f t="shared" si="16"/>
        <v>0</v>
      </c>
      <c r="AQ10" s="308">
        <f t="shared" si="16"/>
        <v>0</v>
      </c>
      <c r="AR10" s="308">
        <f t="shared" si="16"/>
        <v>0</v>
      </c>
      <c r="AS10" s="308">
        <f t="shared" si="16"/>
        <v>0</v>
      </c>
      <c r="AT10" s="308">
        <f t="shared" si="16"/>
        <v>140000</v>
      </c>
      <c r="AU10" s="308">
        <f t="shared" si="16"/>
        <v>0</v>
      </c>
      <c r="AV10" s="308">
        <f t="shared" si="16"/>
        <v>0</v>
      </c>
      <c r="AW10" s="308">
        <f t="shared" si="16"/>
        <v>0</v>
      </c>
      <c r="AX10" s="308">
        <f t="shared" si="16"/>
        <v>0</v>
      </c>
      <c r="AY10" s="308">
        <f t="shared" si="16"/>
        <v>0</v>
      </c>
      <c r="AZ10" s="308">
        <f t="shared" si="16"/>
        <v>0</v>
      </c>
      <c r="BA10" s="308">
        <f t="shared" si="16"/>
        <v>0</v>
      </c>
      <c r="BB10" s="308">
        <f t="shared" si="16"/>
        <v>0</v>
      </c>
      <c r="BD10" s="307">
        <f t="shared" si="17"/>
        <v>0</v>
      </c>
    </row>
    <row r="11" spans="1:56" ht="15">
      <c r="A11" t="s">
        <v>165</v>
      </c>
      <c r="B11" s="315"/>
      <c r="D11" s="339">
        <v>4000</v>
      </c>
      <c r="E11" t="s">
        <v>197</v>
      </c>
      <c r="G11" s="306"/>
      <c r="H11" s="324">
        <v>1</v>
      </c>
      <c r="I11" s="306"/>
      <c r="J11" s="236"/>
      <c r="K11" s="236"/>
      <c r="L11" s="236"/>
      <c r="M11" s="236"/>
      <c r="N11" s="306"/>
      <c r="U11" s="236">
        <f t="shared" si="0"/>
        <v>1</v>
      </c>
      <c r="V11" s="303"/>
      <c r="W11" s="303"/>
      <c r="X11" s="246">
        <f t="shared" si="1"/>
        <v>0</v>
      </c>
      <c r="Y11" s="246">
        <f t="shared" si="2"/>
        <v>0</v>
      </c>
      <c r="Z11" s="246">
        <f t="shared" si="3"/>
        <v>4000</v>
      </c>
      <c r="AA11" s="246">
        <f t="shared" si="4"/>
        <v>0</v>
      </c>
      <c r="AB11" s="246">
        <f t="shared" si="5"/>
        <v>0</v>
      </c>
      <c r="AC11" s="246">
        <f t="shared" si="6"/>
        <v>0</v>
      </c>
      <c r="AD11" s="246">
        <f t="shared" si="7"/>
        <v>0</v>
      </c>
      <c r="AE11" s="246">
        <f t="shared" si="8"/>
        <v>0</v>
      </c>
      <c r="AF11" s="246">
        <f t="shared" si="9"/>
        <v>0</v>
      </c>
      <c r="AG11" s="246">
        <f t="shared" si="10"/>
        <v>0</v>
      </c>
      <c r="AH11" s="246">
        <f t="shared" si="11"/>
        <v>0</v>
      </c>
      <c r="AI11" s="246">
        <f t="shared" si="12"/>
        <v>0</v>
      </c>
      <c r="AJ11" s="246">
        <f t="shared" si="13"/>
        <v>0</v>
      </c>
      <c r="AK11" s="246">
        <f t="shared" si="14"/>
        <v>0</v>
      </c>
      <c r="AL11" s="246">
        <f t="shared" si="15"/>
        <v>0</v>
      </c>
      <c r="AM11" s="244"/>
      <c r="AN11" s="246">
        <f t="shared" si="16"/>
        <v>0</v>
      </c>
      <c r="AO11" s="246">
        <f t="shared" si="16"/>
        <v>0</v>
      </c>
      <c r="AP11" s="246">
        <f t="shared" si="16"/>
        <v>4000</v>
      </c>
      <c r="AQ11" s="246">
        <f t="shared" si="16"/>
        <v>0</v>
      </c>
      <c r="AR11" s="246">
        <f t="shared" si="16"/>
        <v>0</v>
      </c>
      <c r="AS11" s="246">
        <f t="shared" si="16"/>
        <v>0</v>
      </c>
      <c r="AT11" s="246">
        <f t="shared" si="16"/>
        <v>0</v>
      </c>
      <c r="AU11" s="246">
        <f t="shared" si="16"/>
        <v>0</v>
      </c>
      <c r="AV11" s="246">
        <f t="shared" si="16"/>
        <v>0</v>
      </c>
      <c r="AW11" s="246">
        <f t="shared" si="16"/>
        <v>0</v>
      </c>
      <c r="AX11" s="246">
        <f t="shared" si="16"/>
        <v>0</v>
      </c>
      <c r="AY11" s="246">
        <f t="shared" si="16"/>
        <v>0</v>
      </c>
      <c r="AZ11" s="246">
        <f t="shared" si="16"/>
        <v>0</v>
      </c>
      <c r="BA11" s="246">
        <f t="shared" si="16"/>
        <v>0</v>
      </c>
      <c r="BB11" s="246">
        <f t="shared" si="16"/>
        <v>0</v>
      </c>
      <c r="BD11" s="239">
        <f t="shared" si="17"/>
        <v>0</v>
      </c>
    </row>
    <row r="12" spans="1:56" ht="15">
      <c r="A12" t="s">
        <v>165</v>
      </c>
      <c r="B12" s="315"/>
      <c r="D12" s="339">
        <v>100000</v>
      </c>
      <c r="E12" t="s">
        <v>197</v>
      </c>
      <c r="G12" s="306"/>
      <c r="H12" s="324">
        <v>0.25</v>
      </c>
      <c r="I12" s="306">
        <v>0.25</v>
      </c>
      <c r="J12" s="306">
        <v>0.25</v>
      </c>
      <c r="K12" s="306">
        <v>0.25</v>
      </c>
      <c r="L12" s="306"/>
      <c r="M12" s="306"/>
      <c r="N12" s="306"/>
      <c r="U12" s="236">
        <f t="shared" si="0"/>
        <v>1</v>
      </c>
      <c r="V12" s="303"/>
      <c r="W12" s="303"/>
      <c r="X12" s="246">
        <f t="shared" si="1"/>
        <v>0</v>
      </c>
      <c r="Y12" s="246">
        <f t="shared" si="2"/>
        <v>0</v>
      </c>
      <c r="Z12" s="246">
        <f t="shared" si="3"/>
        <v>25000</v>
      </c>
      <c r="AA12" s="246">
        <f t="shared" si="4"/>
        <v>25000</v>
      </c>
      <c r="AB12" s="246">
        <f t="shared" si="5"/>
        <v>25000</v>
      </c>
      <c r="AC12" s="246">
        <f t="shared" si="6"/>
        <v>25000</v>
      </c>
      <c r="AD12" s="246">
        <f t="shared" si="7"/>
        <v>0</v>
      </c>
      <c r="AE12" s="246">
        <f t="shared" si="8"/>
        <v>0</v>
      </c>
      <c r="AF12" s="246">
        <f t="shared" si="9"/>
        <v>0</v>
      </c>
      <c r="AG12" s="246">
        <f t="shared" si="10"/>
        <v>0</v>
      </c>
      <c r="AH12" s="246">
        <f t="shared" si="11"/>
        <v>0</v>
      </c>
      <c r="AI12" s="246">
        <f t="shared" si="12"/>
        <v>0</v>
      </c>
      <c r="AJ12" s="246">
        <f t="shared" si="13"/>
        <v>0</v>
      </c>
      <c r="AK12" s="246">
        <f t="shared" si="14"/>
        <v>0</v>
      </c>
      <c r="AL12" s="246">
        <f t="shared" si="15"/>
        <v>0</v>
      </c>
      <c r="AM12" s="244"/>
      <c r="AN12" s="246">
        <f t="shared" si="16"/>
        <v>0</v>
      </c>
      <c r="AO12" s="246">
        <f t="shared" si="16"/>
        <v>0</v>
      </c>
      <c r="AP12" s="246">
        <f t="shared" si="16"/>
        <v>100000</v>
      </c>
      <c r="AQ12" s="246">
        <f t="shared" si="16"/>
        <v>0</v>
      </c>
      <c r="AR12" s="246">
        <f t="shared" si="16"/>
        <v>0</v>
      </c>
      <c r="AS12" s="246">
        <f t="shared" si="16"/>
        <v>0</v>
      </c>
      <c r="AT12" s="246">
        <f t="shared" si="16"/>
        <v>0</v>
      </c>
      <c r="AU12" s="246">
        <f t="shared" si="16"/>
        <v>0</v>
      </c>
      <c r="AV12" s="246">
        <f t="shared" si="16"/>
        <v>0</v>
      </c>
      <c r="AW12" s="246">
        <f t="shared" si="16"/>
        <v>0</v>
      </c>
      <c r="AX12" s="246">
        <f t="shared" si="16"/>
        <v>0</v>
      </c>
      <c r="AY12" s="246">
        <f t="shared" si="16"/>
        <v>0</v>
      </c>
      <c r="AZ12" s="246">
        <f t="shared" si="16"/>
        <v>0</v>
      </c>
      <c r="BA12" s="246">
        <f t="shared" si="16"/>
        <v>0</v>
      </c>
      <c r="BB12" s="246">
        <f t="shared" si="16"/>
        <v>0</v>
      </c>
      <c r="BD12" s="239">
        <f t="shared" si="17"/>
        <v>0</v>
      </c>
    </row>
    <row r="13" spans="1:56" ht="15">
      <c r="A13" t="s">
        <v>165</v>
      </c>
      <c r="B13" s="315"/>
      <c r="C13" s="303"/>
      <c r="D13" s="238">
        <v>460000</v>
      </c>
      <c r="E13" t="s">
        <v>229</v>
      </c>
      <c r="G13" s="306"/>
      <c r="H13" s="324"/>
      <c r="I13" s="236"/>
      <c r="J13" s="306"/>
      <c r="K13" s="306"/>
      <c r="L13" s="236"/>
      <c r="M13" s="306"/>
      <c r="N13" s="306"/>
      <c r="O13" s="306"/>
      <c r="P13" s="306"/>
      <c r="Q13" s="306"/>
      <c r="U13" s="236">
        <f t="shared" si="0"/>
        <v>0</v>
      </c>
      <c r="V13" s="303"/>
      <c r="W13" s="303"/>
      <c r="X13" s="246">
        <f t="shared" si="1"/>
        <v>0</v>
      </c>
      <c r="Y13" s="246">
        <f t="shared" si="2"/>
        <v>0</v>
      </c>
      <c r="Z13" s="246">
        <f t="shared" si="3"/>
        <v>0</v>
      </c>
      <c r="AA13" s="246">
        <f t="shared" si="4"/>
        <v>0</v>
      </c>
      <c r="AB13" s="246">
        <f t="shared" si="5"/>
        <v>0</v>
      </c>
      <c r="AC13" s="246">
        <f t="shared" si="6"/>
        <v>0</v>
      </c>
      <c r="AD13" s="246">
        <f t="shared" si="7"/>
        <v>0</v>
      </c>
      <c r="AE13" s="246">
        <f t="shared" si="8"/>
        <v>0</v>
      </c>
      <c r="AF13" s="246">
        <f t="shared" si="9"/>
        <v>0</v>
      </c>
      <c r="AG13" s="246">
        <f t="shared" si="10"/>
        <v>0</v>
      </c>
      <c r="AH13" s="246">
        <f t="shared" si="11"/>
        <v>0</v>
      </c>
      <c r="AI13" s="246">
        <f t="shared" si="12"/>
        <v>0</v>
      </c>
      <c r="AJ13" s="246">
        <f t="shared" si="13"/>
        <v>0</v>
      </c>
      <c r="AK13" s="246">
        <f t="shared" si="14"/>
        <v>0</v>
      </c>
      <c r="AL13" s="246">
        <f t="shared" si="15"/>
        <v>0</v>
      </c>
      <c r="AM13" s="244"/>
      <c r="AN13" s="246">
        <f t="shared" si="16"/>
        <v>0</v>
      </c>
      <c r="AO13" s="246">
        <f t="shared" si="16"/>
        <v>0</v>
      </c>
      <c r="AP13" s="246">
        <f t="shared" si="16"/>
        <v>0</v>
      </c>
      <c r="AQ13" s="246">
        <f t="shared" si="16"/>
        <v>460000</v>
      </c>
      <c r="AR13" s="246">
        <f t="shared" si="16"/>
        <v>0</v>
      </c>
      <c r="AS13" s="246">
        <f t="shared" si="16"/>
        <v>0</v>
      </c>
      <c r="AT13" s="246">
        <f t="shared" si="16"/>
        <v>0</v>
      </c>
      <c r="AU13" s="246">
        <f t="shared" si="16"/>
        <v>0</v>
      </c>
      <c r="AV13" s="246">
        <f t="shared" si="16"/>
        <v>0</v>
      </c>
      <c r="AW13" s="246">
        <f t="shared" si="16"/>
        <v>0</v>
      </c>
      <c r="AX13" s="246">
        <f t="shared" si="16"/>
        <v>0</v>
      </c>
      <c r="AY13" s="246">
        <f t="shared" si="16"/>
        <v>0</v>
      </c>
      <c r="AZ13" s="246">
        <f t="shared" si="16"/>
        <v>0</v>
      </c>
      <c r="BA13" s="246">
        <f t="shared" si="16"/>
        <v>0</v>
      </c>
      <c r="BB13" s="246">
        <f t="shared" si="16"/>
        <v>0</v>
      </c>
      <c r="BD13" s="239">
        <f t="shared" si="17"/>
        <v>-460000</v>
      </c>
    </row>
    <row r="14" spans="1:56" s="303" customFormat="1" ht="15">
      <c r="A14" s="303" t="s">
        <v>165</v>
      </c>
      <c r="B14" s="315"/>
      <c r="D14" s="238">
        <v>30000</v>
      </c>
      <c r="E14" s="303" t="s">
        <v>229</v>
      </c>
      <c r="G14" s="306"/>
      <c r="H14" s="324"/>
      <c r="I14" s="306"/>
      <c r="J14" s="306"/>
      <c r="K14" s="306"/>
      <c r="L14" s="306"/>
      <c r="M14" s="306"/>
      <c r="N14" s="306"/>
      <c r="O14" s="306"/>
      <c r="P14" s="306"/>
      <c r="Q14" s="306"/>
      <c r="U14" s="306">
        <f aca="true" t="shared" si="18" ref="U14">SUM(F14:T14)</f>
        <v>0</v>
      </c>
      <c r="X14" s="308">
        <f aca="true" t="shared" si="19" ref="X14">F14*$D14</f>
        <v>0</v>
      </c>
      <c r="Y14" s="308">
        <f aca="true" t="shared" si="20" ref="Y14">G14*$D14</f>
        <v>0</v>
      </c>
      <c r="Z14" s="308">
        <f aca="true" t="shared" si="21" ref="Z14">H14*$D14</f>
        <v>0</v>
      </c>
      <c r="AA14" s="308">
        <f aca="true" t="shared" si="22" ref="AA14">I14*$D14</f>
        <v>0</v>
      </c>
      <c r="AB14" s="308">
        <f aca="true" t="shared" si="23" ref="AB14">J14*$D14</f>
        <v>0</v>
      </c>
      <c r="AC14" s="308">
        <f aca="true" t="shared" si="24" ref="AC14">K14*$D14</f>
        <v>0</v>
      </c>
      <c r="AD14" s="308">
        <f aca="true" t="shared" si="25" ref="AD14">L14*$D14</f>
        <v>0</v>
      </c>
      <c r="AE14" s="308">
        <f aca="true" t="shared" si="26" ref="AE14">M14*$D14</f>
        <v>0</v>
      </c>
      <c r="AF14" s="308">
        <f aca="true" t="shared" si="27" ref="AF14">N14*$D14</f>
        <v>0</v>
      </c>
      <c r="AG14" s="308">
        <f aca="true" t="shared" si="28" ref="AG14">O14*$D14</f>
        <v>0</v>
      </c>
      <c r="AH14" s="308">
        <f aca="true" t="shared" si="29" ref="AH14">P14*$D14</f>
        <v>0</v>
      </c>
      <c r="AI14" s="308">
        <f aca="true" t="shared" si="30" ref="AI14">Q14*$D14</f>
        <v>0</v>
      </c>
      <c r="AJ14" s="308">
        <f aca="true" t="shared" si="31" ref="AJ14">R14*$D14</f>
        <v>0</v>
      </c>
      <c r="AK14" s="308">
        <f aca="true" t="shared" si="32" ref="AK14">S14*$D14</f>
        <v>0</v>
      </c>
      <c r="AL14" s="308">
        <f aca="true" t="shared" si="33" ref="AL14">T14*$D14</f>
        <v>0</v>
      </c>
      <c r="AM14" s="244"/>
      <c r="AN14" s="308">
        <f t="shared" si="16"/>
        <v>0</v>
      </c>
      <c r="AO14" s="308">
        <f t="shared" si="16"/>
        <v>0</v>
      </c>
      <c r="AP14" s="308">
        <f t="shared" si="16"/>
        <v>0</v>
      </c>
      <c r="AQ14" s="308">
        <f t="shared" si="16"/>
        <v>30000</v>
      </c>
      <c r="AR14" s="308">
        <f t="shared" si="16"/>
        <v>0</v>
      </c>
      <c r="AS14" s="308">
        <f t="shared" si="16"/>
        <v>0</v>
      </c>
      <c r="AT14" s="308">
        <f t="shared" si="16"/>
        <v>0</v>
      </c>
      <c r="AU14" s="308">
        <f t="shared" si="16"/>
        <v>0</v>
      </c>
      <c r="AV14" s="308">
        <f t="shared" si="16"/>
        <v>0</v>
      </c>
      <c r="AW14" s="308">
        <f t="shared" si="16"/>
        <v>0</v>
      </c>
      <c r="AX14" s="308">
        <f t="shared" si="16"/>
        <v>0</v>
      </c>
      <c r="AY14" s="308">
        <f t="shared" si="16"/>
        <v>0</v>
      </c>
      <c r="AZ14" s="308">
        <f t="shared" si="16"/>
        <v>0</v>
      </c>
      <c r="BA14" s="308">
        <f t="shared" si="16"/>
        <v>0</v>
      </c>
      <c r="BB14" s="308">
        <f t="shared" si="16"/>
        <v>0</v>
      </c>
      <c r="BD14" s="307">
        <f aca="true" t="shared" si="34" ref="BD14">SUM(X14:AL14)-SUM(AN14:BB14)</f>
        <v>-30000</v>
      </c>
    </row>
    <row r="15" spans="1:56" s="303" customFormat="1" ht="15">
      <c r="A15" s="303" t="s">
        <v>165</v>
      </c>
      <c r="B15" s="315"/>
      <c r="D15" s="238">
        <v>5000</v>
      </c>
      <c r="E15" s="303" t="s">
        <v>229</v>
      </c>
      <c r="G15" s="306"/>
      <c r="H15" s="324"/>
      <c r="I15" s="306"/>
      <c r="J15" s="306"/>
      <c r="K15" s="306"/>
      <c r="L15" s="306"/>
      <c r="M15" s="306"/>
      <c r="N15" s="306"/>
      <c r="O15" s="306"/>
      <c r="P15" s="306"/>
      <c r="Q15" s="306"/>
      <c r="U15" s="306">
        <f aca="true" t="shared" si="35" ref="U15">SUM(F15:T15)</f>
        <v>0</v>
      </c>
      <c r="X15" s="308">
        <f aca="true" t="shared" si="36" ref="X15">F15*$D15</f>
        <v>0</v>
      </c>
      <c r="Y15" s="308">
        <f aca="true" t="shared" si="37" ref="Y15">G15*$D15</f>
        <v>0</v>
      </c>
      <c r="Z15" s="308">
        <f aca="true" t="shared" si="38" ref="Z15">H15*$D15</f>
        <v>0</v>
      </c>
      <c r="AA15" s="308">
        <f aca="true" t="shared" si="39" ref="AA15">I15*$D15</f>
        <v>0</v>
      </c>
      <c r="AB15" s="308">
        <f aca="true" t="shared" si="40" ref="AB15">J15*$D15</f>
        <v>0</v>
      </c>
      <c r="AC15" s="308">
        <f aca="true" t="shared" si="41" ref="AC15">K15*$D15</f>
        <v>0</v>
      </c>
      <c r="AD15" s="308">
        <f aca="true" t="shared" si="42" ref="AD15">L15*$D15</f>
        <v>0</v>
      </c>
      <c r="AE15" s="308">
        <f aca="true" t="shared" si="43" ref="AE15">M15*$D15</f>
        <v>0</v>
      </c>
      <c r="AF15" s="308">
        <f aca="true" t="shared" si="44" ref="AF15">N15*$D15</f>
        <v>0</v>
      </c>
      <c r="AG15" s="308">
        <f aca="true" t="shared" si="45" ref="AG15">O15*$D15</f>
        <v>0</v>
      </c>
      <c r="AH15" s="308">
        <f aca="true" t="shared" si="46" ref="AH15">P15*$D15</f>
        <v>0</v>
      </c>
      <c r="AI15" s="308">
        <f aca="true" t="shared" si="47" ref="AI15">Q15*$D15</f>
        <v>0</v>
      </c>
      <c r="AJ15" s="308">
        <f aca="true" t="shared" si="48" ref="AJ15">R15*$D15</f>
        <v>0</v>
      </c>
      <c r="AK15" s="308">
        <f aca="true" t="shared" si="49" ref="AK15">S15*$D15</f>
        <v>0</v>
      </c>
      <c r="AL15" s="308">
        <f aca="true" t="shared" si="50" ref="AL15">T15*$D15</f>
        <v>0</v>
      </c>
      <c r="AM15" s="244"/>
      <c r="AN15" s="308">
        <f t="shared" si="16"/>
        <v>0</v>
      </c>
      <c r="AO15" s="308">
        <f t="shared" si="16"/>
        <v>0</v>
      </c>
      <c r="AP15" s="308">
        <f t="shared" si="16"/>
        <v>0</v>
      </c>
      <c r="AQ15" s="308">
        <f t="shared" si="16"/>
        <v>5000</v>
      </c>
      <c r="AR15" s="308">
        <f t="shared" si="16"/>
        <v>0</v>
      </c>
      <c r="AS15" s="308">
        <f t="shared" si="16"/>
        <v>0</v>
      </c>
      <c r="AT15" s="308">
        <f t="shared" si="16"/>
        <v>0</v>
      </c>
      <c r="AU15" s="308">
        <f t="shared" si="16"/>
        <v>0</v>
      </c>
      <c r="AV15" s="308">
        <f t="shared" si="16"/>
        <v>0</v>
      </c>
      <c r="AW15" s="308">
        <f t="shared" si="16"/>
        <v>0</v>
      </c>
      <c r="AX15" s="308">
        <f t="shared" si="16"/>
        <v>0</v>
      </c>
      <c r="AY15" s="308">
        <f t="shared" si="16"/>
        <v>0</v>
      </c>
      <c r="AZ15" s="308">
        <f t="shared" si="16"/>
        <v>0</v>
      </c>
      <c r="BA15" s="308">
        <f t="shared" si="16"/>
        <v>0</v>
      </c>
      <c r="BB15" s="308">
        <f t="shared" si="16"/>
        <v>0</v>
      </c>
      <c r="BD15" s="307">
        <f aca="true" t="shared" si="51" ref="BD15">SUM(X15:AL15)-SUM(AN15:BB15)</f>
        <v>-5000</v>
      </c>
    </row>
    <row r="16" spans="1:56" ht="15">
      <c r="A16" t="s">
        <v>166</v>
      </c>
      <c r="B16" s="316"/>
      <c r="D16" s="238">
        <v>75000</v>
      </c>
      <c r="E16" t="s">
        <v>229</v>
      </c>
      <c r="G16" s="306"/>
      <c r="H16" s="324"/>
      <c r="I16" s="306"/>
      <c r="J16" s="306">
        <v>0.5</v>
      </c>
      <c r="K16" s="306">
        <v>0.5</v>
      </c>
      <c r="U16" s="236">
        <f t="shared" si="0"/>
        <v>1</v>
      </c>
      <c r="V16" s="303"/>
      <c r="W16" s="303"/>
      <c r="X16" s="246">
        <f t="shared" si="1"/>
        <v>0</v>
      </c>
      <c r="Y16" s="246">
        <f t="shared" si="2"/>
        <v>0</v>
      </c>
      <c r="Z16" s="246">
        <f t="shared" si="3"/>
        <v>0</v>
      </c>
      <c r="AA16" s="246">
        <f t="shared" si="4"/>
        <v>0</v>
      </c>
      <c r="AB16" s="246">
        <f t="shared" si="5"/>
        <v>37500</v>
      </c>
      <c r="AC16" s="246">
        <f t="shared" si="6"/>
        <v>37500</v>
      </c>
      <c r="AD16" s="246">
        <f t="shared" si="7"/>
        <v>0</v>
      </c>
      <c r="AE16" s="246">
        <f t="shared" si="8"/>
        <v>0</v>
      </c>
      <c r="AF16" s="246">
        <f t="shared" si="9"/>
        <v>0</v>
      </c>
      <c r="AG16" s="246">
        <f t="shared" si="10"/>
        <v>0</v>
      </c>
      <c r="AH16" s="246">
        <f t="shared" si="11"/>
        <v>0</v>
      </c>
      <c r="AI16" s="246">
        <f t="shared" si="12"/>
        <v>0</v>
      </c>
      <c r="AJ16" s="246">
        <f t="shared" si="13"/>
        <v>0</v>
      </c>
      <c r="AK16" s="246">
        <f t="shared" si="14"/>
        <v>0</v>
      </c>
      <c r="AL16" s="246">
        <f t="shared" si="15"/>
        <v>0</v>
      </c>
      <c r="AM16" s="244"/>
      <c r="AN16" s="246">
        <f aca="true" t="shared" si="52" ref="AN16:BB25">IF(AN$3=$E16,$D16,0)</f>
        <v>0</v>
      </c>
      <c r="AO16" s="246">
        <f t="shared" si="52"/>
        <v>0</v>
      </c>
      <c r="AP16" s="246">
        <f t="shared" si="52"/>
        <v>0</v>
      </c>
      <c r="AQ16" s="246">
        <f t="shared" si="52"/>
        <v>75000</v>
      </c>
      <c r="AR16" s="246">
        <f t="shared" si="52"/>
        <v>0</v>
      </c>
      <c r="AS16" s="246">
        <f t="shared" si="52"/>
        <v>0</v>
      </c>
      <c r="AT16" s="246">
        <f t="shared" si="52"/>
        <v>0</v>
      </c>
      <c r="AU16" s="246">
        <f t="shared" si="52"/>
        <v>0</v>
      </c>
      <c r="AV16" s="246">
        <f t="shared" si="52"/>
        <v>0</v>
      </c>
      <c r="AW16" s="246">
        <f t="shared" si="52"/>
        <v>0</v>
      </c>
      <c r="AX16" s="246">
        <f t="shared" si="52"/>
        <v>0</v>
      </c>
      <c r="AY16" s="246">
        <f t="shared" si="52"/>
        <v>0</v>
      </c>
      <c r="AZ16" s="246">
        <f t="shared" si="52"/>
        <v>0</v>
      </c>
      <c r="BA16" s="246">
        <f t="shared" si="52"/>
        <v>0</v>
      </c>
      <c r="BB16" s="246">
        <f t="shared" si="52"/>
        <v>0</v>
      </c>
      <c r="BD16" s="239">
        <f t="shared" si="17"/>
        <v>0</v>
      </c>
    </row>
    <row r="17" spans="1:56" ht="15">
      <c r="A17" t="s">
        <v>166</v>
      </c>
      <c r="B17" s="316"/>
      <c r="D17" s="238">
        <v>150000</v>
      </c>
      <c r="E17" t="s">
        <v>199</v>
      </c>
      <c r="J17" s="303"/>
      <c r="K17" s="236">
        <v>0.25</v>
      </c>
      <c r="L17" s="236">
        <v>0.25</v>
      </c>
      <c r="M17" s="236">
        <v>0.25</v>
      </c>
      <c r="N17" s="306">
        <v>0.25</v>
      </c>
      <c r="U17" s="236">
        <f t="shared" si="0"/>
        <v>1</v>
      </c>
      <c r="V17" s="303"/>
      <c r="W17" s="303"/>
      <c r="X17" s="246">
        <f t="shared" si="1"/>
        <v>0</v>
      </c>
      <c r="Y17" s="246">
        <f t="shared" si="2"/>
        <v>0</v>
      </c>
      <c r="Z17" s="246">
        <f t="shared" si="3"/>
        <v>0</v>
      </c>
      <c r="AA17" s="246">
        <f t="shared" si="4"/>
        <v>0</v>
      </c>
      <c r="AB17" s="246">
        <f t="shared" si="5"/>
        <v>0</v>
      </c>
      <c r="AC17" s="246">
        <f t="shared" si="6"/>
        <v>37500</v>
      </c>
      <c r="AD17" s="246">
        <f t="shared" si="7"/>
        <v>37500</v>
      </c>
      <c r="AE17" s="246">
        <f t="shared" si="8"/>
        <v>37500</v>
      </c>
      <c r="AF17" s="246">
        <f t="shared" si="9"/>
        <v>37500</v>
      </c>
      <c r="AG17" s="246">
        <f t="shared" si="10"/>
        <v>0</v>
      </c>
      <c r="AH17" s="246">
        <f t="shared" si="11"/>
        <v>0</v>
      </c>
      <c r="AI17" s="246">
        <f t="shared" si="12"/>
        <v>0</v>
      </c>
      <c r="AJ17" s="246">
        <f t="shared" si="13"/>
        <v>0</v>
      </c>
      <c r="AK17" s="246">
        <f t="shared" si="14"/>
        <v>0</v>
      </c>
      <c r="AL17" s="246">
        <f t="shared" si="15"/>
        <v>0</v>
      </c>
      <c r="AM17" s="244"/>
      <c r="AN17" s="246">
        <f t="shared" si="52"/>
        <v>0</v>
      </c>
      <c r="AO17" s="246">
        <f t="shared" si="52"/>
        <v>0</v>
      </c>
      <c r="AP17" s="246">
        <f t="shared" si="52"/>
        <v>0</v>
      </c>
      <c r="AQ17" s="246">
        <f t="shared" si="52"/>
        <v>0</v>
      </c>
      <c r="AR17" s="246">
        <f t="shared" si="52"/>
        <v>0</v>
      </c>
      <c r="AS17" s="246">
        <f t="shared" si="52"/>
        <v>150000</v>
      </c>
      <c r="AT17" s="246">
        <f t="shared" si="52"/>
        <v>0</v>
      </c>
      <c r="AU17" s="246">
        <f t="shared" si="52"/>
        <v>0</v>
      </c>
      <c r="AV17" s="246">
        <f t="shared" si="52"/>
        <v>0</v>
      </c>
      <c r="AW17" s="246">
        <f t="shared" si="52"/>
        <v>0</v>
      </c>
      <c r="AX17" s="246">
        <f t="shared" si="52"/>
        <v>0</v>
      </c>
      <c r="AY17" s="246">
        <f t="shared" si="52"/>
        <v>0</v>
      </c>
      <c r="AZ17" s="246">
        <f t="shared" si="52"/>
        <v>0</v>
      </c>
      <c r="BA17" s="246">
        <f t="shared" si="52"/>
        <v>0</v>
      </c>
      <c r="BB17" s="246">
        <f t="shared" si="52"/>
        <v>0</v>
      </c>
      <c r="BD17" s="239">
        <f t="shared" si="17"/>
        <v>0</v>
      </c>
    </row>
    <row r="18" spans="1:56" ht="15">
      <c r="A18" t="s">
        <v>166</v>
      </c>
      <c r="B18" s="316"/>
      <c r="D18" s="238">
        <v>121200</v>
      </c>
      <c r="E18" t="s">
        <v>197</v>
      </c>
      <c r="F18" s="236"/>
      <c r="G18" s="236"/>
      <c r="H18" s="324"/>
      <c r="I18" s="306">
        <v>0.25</v>
      </c>
      <c r="J18" s="306">
        <v>0.25</v>
      </c>
      <c r="K18" s="306">
        <v>0.25</v>
      </c>
      <c r="L18" s="306">
        <v>0.25</v>
      </c>
      <c r="M18" s="236"/>
      <c r="N18" s="236"/>
      <c r="O18" s="236"/>
      <c r="P18" s="236"/>
      <c r="Q18" s="236"/>
      <c r="U18" s="236">
        <f t="shared" si="0"/>
        <v>1</v>
      </c>
      <c r="V18" s="303"/>
      <c r="W18" s="303"/>
      <c r="X18" s="257">
        <f t="shared" si="1"/>
        <v>0</v>
      </c>
      <c r="Y18" s="246">
        <f t="shared" si="2"/>
        <v>0</v>
      </c>
      <c r="Z18" s="246">
        <f t="shared" si="3"/>
        <v>0</v>
      </c>
      <c r="AA18" s="246">
        <f t="shared" si="4"/>
        <v>30300</v>
      </c>
      <c r="AB18" s="246">
        <f t="shared" si="5"/>
        <v>30300</v>
      </c>
      <c r="AC18" s="246">
        <f t="shared" si="6"/>
        <v>30300</v>
      </c>
      <c r="AD18" s="246">
        <f t="shared" si="7"/>
        <v>30300</v>
      </c>
      <c r="AE18" s="246">
        <f t="shared" si="8"/>
        <v>0</v>
      </c>
      <c r="AF18" s="246">
        <f t="shared" si="9"/>
        <v>0</v>
      </c>
      <c r="AG18" s="246">
        <f t="shared" si="10"/>
        <v>0</v>
      </c>
      <c r="AH18" s="246">
        <f t="shared" si="11"/>
        <v>0</v>
      </c>
      <c r="AI18" s="246">
        <f t="shared" si="12"/>
        <v>0</v>
      </c>
      <c r="AJ18" s="246">
        <f t="shared" si="13"/>
        <v>0</v>
      </c>
      <c r="AK18" s="246">
        <f t="shared" si="14"/>
        <v>0</v>
      </c>
      <c r="AL18" s="246">
        <f t="shared" si="15"/>
        <v>0</v>
      </c>
      <c r="AM18" s="244"/>
      <c r="AN18" s="246">
        <f t="shared" si="52"/>
        <v>0</v>
      </c>
      <c r="AO18" s="246">
        <f t="shared" si="52"/>
        <v>0</v>
      </c>
      <c r="AP18" s="246">
        <f t="shared" si="52"/>
        <v>121200</v>
      </c>
      <c r="AQ18" s="246">
        <f t="shared" si="52"/>
        <v>0</v>
      </c>
      <c r="AR18" s="246">
        <f t="shared" si="52"/>
        <v>0</v>
      </c>
      <c r="AS18" s="246">
        <f t="shared" si="52"/>
        <v>0</v>
      </c>
      <c r="AT18" s="246">
        <f t="shared" si="52"/>
        <v>0</v>
      </c>
      <c r="AU18" s="246">
        <f t="shared" si="52"/>
        <v>0</v>
      </c>
      <c r="AV18" s="246">
        <f t="shared" si="52"/>
        <v>0</v>
      </c>
      <c r="AW18" s="246">
        <f t="shared" si="52"/>
        <v>0</v>
      </c>
      <c r="AX18" s="246">
        <f t="shared" si="52"/>
        <v>0</v>
      </c>
      <c r="AY18" s="246">
        <f t="shared" si="52"/>
        <v>0</v>
      </c>
      <c r="AZ18" s="246">
        <f t="shared" si="52"/>
        <v>0</v>
      </c>
      <c r="BA18" s="246">
        <f t="shared" si="52"/>
        <v>0</v>
      </c>
      <c r="BB18" s="246">
        <f t="shared" si="52"/>
        <v>0</v>
      </c>
      <c r="BD18" s="239">
        <f t="shared" si="17"/>
        <v>0</v>
      </c>
    </row>
    <row r="19" spans="1:56" ht="15">
      <c r="A19" t="s">
        <v>166</v>
      </c>
      <c r="B19" s="316"/>
      <c r="D19" s="238">
        <f>12250*12</f>
        <v>147000</v>
      </c>
      <c r="E19" t="s">
        <v>199</v>
      </c>
      <c r="F19" s="236"/>
      <c r="G19" s="236"/>
      <c r="H19" s="324"/>
      <c r="I19" s="236"/>
      <c r="J19" s="236"/>
      <c r="K19" s="236">
        <v>0.166666666666667</v>
      </c>
      <c r="L19" s="236">
        <v>0.25</v>
      </c>
      <c r="M19" s="236">
        <v>0.25</v>
      </c>
      <c r="N19" s="236">
        <v>0.25</v>
      </c>
      <c r="O19" s="236">
        <v>0.08333333333333333</v>
      </c>
      <c r="P19" s="236"/>
      <c r="Q19" s="236"/>
      <c r="U19" s="236">
        <f t="shared" si="0"/>
        <v>1.0000000000000002</v>
      </c>
      <c r="V19" s="303"/>
      <c r="W19" s="303"/>
      <c r="X19" s="257">
        <f t="shared" si="1"/>
        <v>0</v>
      </c>
      <c r="Y19" s="246">
        <f t="shared" si="2"/>
        <v>0</v>
      </c>
      <c r="Z19" s="246">
        <f t="shared" si="3"/>
        <v>0</v>
      </c>
      <c r="AA19" s="246">
        <f t="shared" si="4"/>
        <v>0</v>
      </c>
      <c r="AB19" s="246">
        <f t="shared" si="5"/>
        <v>0</v>
      </c>
      <c r="AC19" s="246">
        <f t="shared" si="6"/>
        <v>24500.000000000047</v>
      </c>
      <c r="AD19" s="246">
        <f t="shared" si="7"/>
        <v>36750</v>
      </c>
      <c r="AE19" s="246">
        <f t="shared" si="8"/>
        <v>36750</v>
      </c>
      <c r="AF19" s="246">
        <f t="shared" si="9"/>
        <v>36750</v>
      </c>
      <c r="AG19" s="246">
        <f t="shared" si="10"/>
        <v>12250</v>
      </c>
      <c r="AH19" s="246">
        <f t="shared" si="11"/>
        <v>0</v>
      </c>
      <c r="AI19" s="246">
        <f t="shared" si="12"/>
        <v>0</v>
      </c>
      <c r="AJ19" s="246">
        <f t="shared" si="13"/>
        <v>0</v>
      </c>
      <c r="AK19" s="246">
        <f t="shared" si="14"/>
        <v>0</v>
      </c>
      <c r="AL19" s="246">
        <f t="shared" si="15"/>
        <v>0</v>
      </c>
      <c r="AM19" s="244"/>
      <c r="AN19" s="246">
        <f t="shared" si="52"/>
        <v>0</v>
      </c>
      <c r="AO19" s="246">
        <f t="shared" si="52"/>
        <v>0</v>
      </c>
      <c r="AP19" s="246">
        <f t="shared" si="52"/>
        <v>0</v>
      </c>
      <c r="AQ19" s="246">
        <f t="shared" si="52"/>
        <v>0</v>
      </c>
      <c r="AR19" s="246">
        <f t="shared" si="52"/>
        <v>0</v>
      </c>
      <c r="AS19" s="246">
        <f t="shared" si="52"/>
        <v>147000</v>
      </c>
      <c r="AT19" s="246">
        <f t="shared" si="52"/>
        <v>0</v>
      </c>
      <c r="AU19" s="246">
        <f t="shared" si="52"/>
        <v>0</v>
      </c>
      <c r="AV19" s="246">
        <f t="shared" si="52"/>
        <v>0</v>
      </c>
      <c r="AW19" s="246">
        <f t="shared" si="52"/>
        <v>0</v>
      </c>
      <c r="AX19" s="246">
        <f t="shared" si="52"/>
        <v>0</v>
      </c>
      <c r="AY19" s="246">
        <f t="shared" si="52"/>
        <v>0</v>
      </c>
      <c r="AZ19" s="246">
        <f t="shared" si="52"/>
        <v>0</v>
      </c>
      <c r="BA19" s="246">
        <f t="shared" si="52"/>
        <v>0</v>
      </c>
      <c r="BB19" s="246">
        <f t="shared" si="52"/>
        <v>0</v>
      </c>
      <c r="BD19" s="239">
        <f t="shared" si="17"/>
        <v>0</v>
      </c>
    </row>
    <row r="20" spans="1:56" ht="15">
      <c r="A20" t="s">
        <v>166</v>
      </c>
      <c r="B20" s="316"/>
      <c r="D20" s="238">
        <f>12250*12</f>
        <v>147000</v>
      </c>
      <c r="E20" s="303" t="s">
        <v>255</v>
      </c>
      <c r="F20" s="306"/>
      <c r="G20" s="306"/>
      <c r="H20" s="324"/>
      <c r="I20" s="306"/>
      <c r="J20" s="236"/>
      <c r="K20" s="236"/>
      <c r="L20" s="236"/>
      <c r="M20" s="236"/>
      <c r="N20" s="236"/>
      <c r="O20" s="236">
        <v>0.166666666666667</v>
      </c>
      <c r="P20" s="236">
        <v>0.25</v>
      </c>
      <c r="Q20" s="236">
        <v>0.25</v>
      </c>
      <c r="R20" s="236">
        <v>0.25</v>
      </c>
      <c r="S20" s="236">
        <v>0.08333333333333333</v>
      </c>
      <c r="U20" s="236">
        <f t="shared" si="0"/>
        <v>1.0000000000000002</v>
      </c>
      <c r="V20" s="303"/>
      <c r="W20" s="303"/>
      <c r="X20" s="257">
        <f t="shared" si="1"/>
        <v>0</v>
      </c>
      <c r="Y20" s="246">
        <f t="shared" si="2"/>
        <v>0</v>
      </c>
      <c r="Z20" s="246">
        <f t="shared" si="3"/>
        <v>0</v>
      </c>
      <c r="AA20" s="246">
        <f t="shared" si="4"/>
        <v>0</v>
      </c>
      <c r="AB20" s="246">
        <f t="shared" si="5"/>
        <v>0</v>
      </c>
      <c r="AC20" s="246">
        <f t="shared" si="6"/>
        <v>0</v>
      </c>
      <c r="AD20" s="246">
        <f t="shared" si="7"/>
        <v>0</v>
      </c>
      <c r="AE20" s="246">
        <f t="shared" si="8"/>
        <v>0</v>
      </c>
      <c r="AF20" s="246">
        <f t="shared" si="9"/>
        <v>0</v>
      </c>
      <c r="AG20" s="246">
        <f t="shared" si="10"/>
        <v>24500.000000000047</v>
      </c>
      <c r="AH20" s="246">
        <f t="shared" si="11"/>
        <v>36750</v>
      </c>
      <c r="AI20" s="246">
        <f t="shared" si="12"/>
        <v>36750</v>
      </c>
      <c r="AJ20" s="246">
        <f t="shared" si="13"/>
        <v>36750</v>
      </c>
      <c r="AK20" s="246">
        <f t="shared" si="14"/>
        <v>12250</v>
      </c>
      <c r="AL20" s="246">
        <f t="shared" si="15"/>
        <v>0</v>
      </c>
      <c r="AM20" s="244"/>
      <c r="AN20" s="246">
        <f t="shared" si="52"/>
        <v>0</v>
      </c>
      <c r="AO20" s="246">
        <f t="shared" si="52"/>
        <v>0</v>
      </c>
      <c r="AP20" s="246">
        <f t="shared" si="52"/>
        <v>0</v>
      </c>
      <c r="AQ20" s="246">
        <f t="shared" si="52"/>
        <v>0</v>
      </c>
      <c r="AR20" s="246">
        <f t="shared" si="52"/>
        <v>0</v>
      </c>
      <c r="AS20" s="246">
        <f t="shared" si="52"/>
        <v>0</v>
      </c>
      <c r="AT20" s="246">
        <f t="shared" si="52"/>
        <v>0</v>
      </c>
      <c r="AU20" s="246">
        <f t="shared" si="52"/>
        <v>147000</v>
      </c>
      <c r="AV20" s="246">
        <f t="shared" si="52"/>
        <v>0</v>
      </c>
      <c r="AW20" s="246">
        <f t="shared" si="52"/>
        <v>0</v>
      </c>
      <c r="AX20" s="246">
        <f t="shared" si="52"/>
        <v>0</v>
      </c>
      <c r="AY20" s="246">
        <f t="shared" si="52"/>
        <v>0</v>
      </c>
      <c r="AZ20" s="246">
        <f t="shared" si="52"/>
        <v>0</v>
      </c>
      <c r="BA20" s="246">
        <f t="shared" si="52"/>
        <v>0</v>
      </c>
      <c r="BB20" s="246">
        <f t="shared" si="52"/>
        <v>0</v>
      </c>
      <c r="BD20" s="239">
        <f t="shared" si="17"/>
        <v>0</v>
      </c>
    </row>
    <row r="21" spans="1:56" ht="15">
      <c r="A21" t="s">
        <v>166</v>
      </c>
      <c r="B21" s="316"/>
      <c r="D21" s="238">
        <v>61250</v>
      </c>
      <c r="E21" s="303" t="s">
        <v>225</v>
      </c>
      <c r="F21" s="306"/>
      <c r="G21" s="306">
        <v>0.2</v>
      </c>
      <c r="H21" s="324">
        <v>0.6</v>
      </c>
      <c r="I21" s="306">
        <v>0.2</v>
      </c>
      <c r="J21" s="236"/>
      <c r="K21" s="236"/>
      <c r="L21" s="236"/>
      <c r="M21" s="236"/>
      <c r="N21" s="236"/>
      <c r="O21" s="236"/>
      <c r="P21" s="236"/>
      <c r="Q21" s="236"/>
      <c r="U21" s="236">
        <f t="shared" si="0"/>
        <v>1</v>
      </c>
      <c r="V21" s="303"/>
      <c r="W21" s="303"/>
      <c r="X21" s="246">
        <f t="shared" si="1"/>
        <v>0</v>
      </c>
      <c r="Y21" s="246">
        <f t="shared" si="2"/>
        <v>12250</v>
      </c>
      <c r="Z21" s="246">
        <f t="shared" si="3"/>
        <v>36750</v>
      </c>
      <c r="AA21" s="246">
        <f t="shared" si="4"/>
        <v>12250</v>
      </c>
      <c r="AB21" s="246">
        <f t="shared" si="5"/>
        <v>0</v>
      </c>
      <c r="AC21" s="246">
        <f t="shared" si="6"/>
        <v>0</v>
      </c>
      <c r="AD21" s="246">
        <f t="shared" si="7"/>
        <v>0</v>
      </c>
      <c r="AE21" s="246">
        <f t="shared" si="8"/>
        <v>0</v>
      </c>
      <c r="AF21" s="246">
        <f t="shared" si="9"/>
        <v>0</v>
      </c>
      <c r="AG21" s="246">
        <f t="shared" si="10"/>
        <v>0</v>
      </c>
      <c r="AH21" s="246">
        <f t="shared" si="11"/>
        <v>0</v>
      </c>
      <c r="AI21" s="246">
        <f t="shared" si="12"/>
        <v>0</v>
      </c>
      <c r="AJ21" s="246">
        <f t="shared" si="13"/>
        <v>0</v>
      </c>
      <c r="AK21" s="246">
        <f t="shared" si="14"/>
        <v>0</v>
      </c>
      <c r="AL21" s="246">
        <f t="shared" si="15"/>
        <v>0</v>
      </c>
      <c r="AM21" s="244"/>
      <c r="AN21" s="246">
        <f t="shared" si="52"/>
        <v>0</v>
      </c>
      <c r="AO21" s="246">
        <f t="shared" si="52"/>
        <v>61250</v>
      </c>
      <c r="AP21" s="246">
        <f t="shared" si="52"/>
        <v>0</v>
      </c>
      <c r="AQ21" s="246">
        <f t="shared" si="52"/>
        <v>0</v>
      </c>
      <c r="AR21" s="246">
        <f t="shared" si="52"/>
        <v>0</v>
      </c>
      <c r="AS21" s="246">
        <f t="shared" si="52"/>
        <v>0</v>
      </c>
      <c r="AT21" s="246">
        <f t="shared" si="52"/>
        <v>0</v>
      </c>
      <c r="AU21" s="246">
        <f t="shared" si="52"/>
        <v>0</v>
      </c>
      <c r="AV21" s="246">
        <f t="shared" si="52"/>
        <v>0</v>
      </c>
      <c r="AW21" s="246">
        <f t="shared" si="52"/>
        <v>0</v>
      </c>
      <c r="AX21" s="246">
        <f t="shared" si="52"/>
        <v>0</v>
      </c>
      <c r="AY21" s="246">
        <f t="shared" si="52"/>
        <v>0</v>
      </c>
      <c r="AZ21" s="246">
        <f t="shared" si="52"/>
        <v>0</v>
      </c>
      <c r="BA21" s="246">
        <f t="shared" si="52"/>
        <v>0</v>
      </c>
      <c r="BB21" s="246">
        <f t="shared" si="52"/>
        <v>0</v>
      </c>
      <c r="BD21" s="239">
        <f t="shared" si="17"/>
        <v>0</v>
      </c>
    </row>
    <row r="22" spans="1:56" ht="15">
      <c r="A22" t="s">
        <v>167</v>
      </c>
      <c r="B22" s="316"/>
      <c r="C22" s="303"/>
      <c r="D22" s="238">
        <v>500000</v>
      </c>
      <c r="E22" s="303" t="s">
        <v>199</v>
      </c>
      <c r="F22" s="306"/>
      <c r="G22" s="306"/>
      <c r="H22" s="324"/>
      <c r="I22" s="306"/>
      <c r="J22" s="306"/>
      <c r="K22" s="306">
        <v>0.25</v>
      </c>
      <c r="L22" s="306">
        <v>0.25</v>
      </c>
      <c r="M22" s="306">
        <v>0.25</v>
      </c>
      <c r="N22" s="306">
        <v>0.25</v>
      </c>
      <c r="P22" s="303"/>
      <c r="Q22" s="303"/>
      <c r="T22" s="303"/>
      <c r="U22" s="236">
        <f t="shared" si="0"/>
        <v>1</v>
      </c>
      <c r="V22" s="303"/>
      <c r="W22" s="303"/>
      <c r="X22" s="246">
        <f t="shared" si="1"/>
        <v>0</v>
      </c>
      <c r="Y22" s="246">
        <f t="shared" si="2"/>
        <v>0</v>
      </c>
      <c r="Z22" s="246">
        <f t="shared" si="3"/>
        <v>0</v>
      </c>
      <c r="AA22" s="246">
        <f t="shared" si="4"/>
        <v>0</v>
      </c>
      <c r="AB22" s="246">
        <f t="shared" si="5"/>
        <v>0</v>
      </c>
      <c r="AC22" s="246">
        <f t="shared" si="6"/>
        <v>125000</v>
      </c>
      <c r="AD22" s="246">
        <f t="shared" si="7"/>
        <v>125000</v>
      </c>
      <c r="AE22" s="246">
        <f t="shared" si="8"/>
        <v>125000</v>
      </c>
      <c r="AF22" s="246">
        <f t="shared" si="9"/>
        <v>125000</v>
      </c>
      <c r="AG22" s="246">
        <f t="shared" si="10"/>
        <v>0</v>
      </c>
      <c r="AH22" s="246">
        <f t="shared" si="11"/>
        <v>0</v>
      </c>
      <c r="AI22" s="246">
        <f t="shared" si="12"/>
        <v>0</v>
      </c>
      <c r="AJ22" s="246">
        <f t="shared" si="13"/>
        <v>0</v>
      </c>
      <c r="AK22" s="246">
        <f t="shared" si="14"/>
        <v>0</v>
      </c>
      <c r="AL22" s="246">
        <f t="shared" si="15"/>
        <v>0</v>
      </c>
      <c r="AM22" s="244"/>
      <c r="AN22" s="246">
        <f t="shared" si="52"/>
        <v>0</v>
      </c>
      <c r="AO22" s="246">
        <f t="shared" si="52"/>
        <v>0</v>
      </c>
      <c r="AP22" s="246">
        <f t="shared" si="52"/>
        <v>0</v>
      </c>
      <c r="AQ22" s="246">
        <f t="shared" si="52"/>
        <v>0</v>
      </c>
      <c r="AR22" s="246">
        <f t="shared" si="52"/>
        <v>0</v>
      </c>
      <c r="AS22" s="246">
        <f t="shared" si="52"/>
        <v>500000</v>
      </c>
      <c r="AT22" s="246">
        <f t="shared" si="52"/>
        <v>0</v>
      </c>
      <c r="AU22" s="246">
        <f t="shared" si="52"/>
        <v>0</v>
      </c>
      <c r="AV22" s="246">
        <f t="shared" si="52"/>
        <v>0</v>
      </c>
      <c r="AW22" s="246">
        <f t="shared" si="52"/>
        <v>0</v>
      </c>
      <c r="AX22" s="246">
        <f t="shared" si="52"/>
        <v>0</v>
      </c>
      <c r="AY22" s="246">
        <f t="shared" si="52"/>
        <v>0</v>
      </c>
      <c r="AZ22" s="246">
        <f t="shared" si="52"/>
        <v>0</v>
      </c>
      <c r="BA22" s="246">
        <f t="shared" si="52"/>
        <v>0</v>
      </c>
      <c r="BB22" s="246">
        <f t="shared" si="52"/>
        <v>0</v>
      </c>
      <c r="BD22" s="239">
        <f t="shared" si="17"/>
        <v>0</v>
      </c>
    </row>
    <row r="23" spans="1:56" ht="15">
      <c r="A23" t="s">
        <v>167</v>
      </c>
      <c r="B23" s="316"/>
      <c r="C23" s="303"/>
      <c r="D23" s="238">
        <v>200000</v>
      </c>
      <c r="E23" s="303" t="s">
        <v>199</v>
      </c>
      <c r="F23" s="306"/>
      <c r="G23" s="306"/>
      <c r="H23" s="324"/>
      <c r="I23" s="306"/>
      <c r="J23" s="306">
        <v>0.25</v>
      </c>
      <c r="K23" s="306">
        <v>0.25</v>
      </c>
      <c r="L23" s="306">
        <v>0.25</v>
      </c>
      <c r="M23" s="306">
        <v>0.25</v>
      </c>
      <c r="U23" s="236">
        <f t="shared" si="0"/>
        <v>1</v>
      </c>
      <c r="V23" s="303"/>
      <c r="W23" s="303"/>
      <c r="X23" s="246">
        <f t="shared" si="1"/>
        <v>0</v>
      </c>
      <c r="Y23" s="246">
        <f t="shared" si="2"/>
        <v>0</v>
      </c>
      <c r="Z23" s="246">
        <f t="shared" si="3"/>
        <v>0</v>
      </c>
      <c r="AA23" s="246">
        <f t="shared" si="4"/>
        <v>0</v>
      </c>
      <c r="AB23" s="246">
        <f t="shared" si="5"/>
        <v>50000</v>
      </c>
      <c r="AC23" s="246">
        <f t="shared" si="6"/>
        <v>50000</v>
      </c>
      <c r="AD23" s="246">
        <f t="shared" si="7"/>
        <v>50000</v>
      </c>
      <c r="AE23" s="246">
        <f t="shared" si="8"/>
        <v>50000</v>
      </c>
      <c r="AF23" s="246">
        <f t="shared" si="9"/>
        <v>0</v>
      </c>
      <c r="AG23" s="246">
        <f t="shared" si="10"/>
        <v>0</v>
      </c>
      <c r="AH23" s="246">
        <f t="shared" si="11"/>
        <v>0</v>
      </c>
      <c r="AI23" s="246">
        <f t="shared" si="12"/>
        <v>0</v>
      </c>
      <c r="AJ23" s="246">
        <f t="shared" si="13"/>
        <v>0</v>
      </c>
      <c r="AK23" s="246">
        <f t="shared" si="14"/>
        <v>0</v>
      </c>
      <c r="AL23" s="246">
        <f t="shared" si="15"/>
        <v>0</v>
      </c>
      <c r="AM23" s="244"/>
      <c r="AN23" s="246">
        <f t="shared" si="52"/>
        <v>0</v>
      </c>
      <c r="AO23" s="246">
        <f t="shared" si="52"/>
        <v>0</v>
      </c>
      <c r="AP23" s="246">
        <f t="shared" si="52"/>
        <v>0</v>
      </c>
      <c r="AQ23" s="246">
        <f t="shared" si="52"/>
        <v>0</v>
      </c>
      <c r="AR23" s="246">
        <f t="shared" si="52"/>
        <v>0</v>
      </c>
      <c r="AS23" s="246">
        <f t="shared" si="52"/>
        <v>200000</v>
      </c>
      <c r="AT23" s="246">
        <f t="shared" si="52"/>
        <v>0</v>
      </c>
      <c r="AU23" s="246">
        <f t="shared" si="52"/>
        <v>0</v>
      </c>
      <c r="AV23" s="246">
        <f t="shared" si="52"/>
        <v>0</v>
      </c>
      <c r="AW23" s="246">
        <f t="shared" si="52"/>
        <v>0</v>
      </c>
      <c r="AX23" s="246">
        <f t="shared" si="52"/>
        <v>0</v>
      </c>
      <c r="AY23" s="246">
        <f t="shared" si="52"/>
        <v>0</v>
      </c>
      <c r="AZ23" s="246">
        <f t="shared" si="52"/>
        <v>0</v>
      </c>
      <c r="BA23" s="246">
        <f t="shared" si="52"/>
        <v>0</v>
      </c>
      <c r="BB23" s="246">
        <f t="shared" si="52"/>
        <v>0</v>
      </c>
      <c r="BD23" s="239">
        <f t="shared" si="17"/>
        <v>0</v>
      </c>
    </row>
    <row r="24" spans="1:56" ht="15">
      <c r="A24" t="s">
        <v>167</v>
      </c>
      <c r="B24" s="316"/>
      <c r="D24" s="238">
        <v>350000</v>
      </c>
      <c r="I24" s="303"/>
      <c r="J24" s="303"/>
      <c r="K24" s="303"/>
      <c r="U24" s="306">
        <f t="shared" si="0"/>
        <v>0</v>
      </c>
      <c r="V24" s="303"/>
      <c r="W24" s="303"/>
      <c r="X24" s="308">
        <f t="shared" si="1"/>
        <v>0</v>
      </c>
      <c r="Y24" s="308">
        <f t="shared" si="2"/>
        <v>0</v>
      </c>
      <c r="Z24" s="308">
        <f t="shared" si="3"/>
        <v>0</v>
      </c>
      <c r="AA24" s="308">
        <f t="shared" si="4"/>
        <v>0</v>
      </c>
      <c r="AB24" s="308">
        <f t="shared" si="5"/>
        <v>0</v>
      </c>
      <c r="AC24" s="308">
        <f t="shared" si="6"/>
        <v>0</v>
      </c>
      <c r="AD24" s="308">
        <f t="shared" si="7"/>
        <v>0</v>
      </c>
      <c r="AE24" s="308">
        <f t="shared" si="8"/>
        <v>0</v>
      </c>
      <c r="AF24" s="308">
        <f t="shared" si="9"/>
        <v>0</v>
      </c>
      <c r="AG24" s="308">
        <f t="shared" si="10"/>
        <v>0</v>
      </c>
      <c r="AH24" s="308">
        <f t="shared" si="11"/>
        <v>0</v>
      </c>
      <c r="AI24" s="308">
        <f t="shared" si="12"/>
        <v>0</v>
      </c>
      <c r="AJ24" s="308">
        <f t="shared" si="13"/>
        <v>0</v>
      </c>
      <c r="AK24" s="308">
        <f t="shared" si="14"/>
        <v>0</v>
      </c>
      <c r="AL24" s="308">
        <f t="shared" si="15"/>
        <v>0</v>
      </c>
      <c r="AM24" s="244"/>
      <c r="AN24" s="246">
        <f t="shared" si="52"/>
        <v>0</v>
      </c>
      <c r="AO24" s="246">
        <f t="shared" si="52"/>
        <v>0</v>
      </c>
      <c r="AP24" s="246">
        <f t="shared" si="52"/>
        <v>0</v>
      </c>
      <c r="AQ24" s="246">
        <f t="shared" si="52"/>
        <v>0</v>
      </c>
      <c r="AR24" s="246">
        <f t="shared" si="52"/>
        <v>0</v>
      </c>
      <c r="AS24" s="246">
        <f t="shared" si="52"/>
        <v>0</v>
      </c>
      <c r="AT24" s="246">
        <f t="shared" si="52"/>
        <v>0</v>
      </c>
      <c r="AU24" s="246">
        <f t="shared" si="52"/>
        <v>0</v>
      </c>
      <c r="AV24" s="246">
        <f t="shared" si="52"/>
        <v>0</v>
      </c>
      <c r="AW24" s="246">
        <f t="shared" si="52"/>
        <v>0</v>
      </c>
      <c r="AX24" s="246">
        <f t="shared" si="52"/>
        <v>0</v>
      </c>
      <c r="AY24" s="246">
        <f t="shared" si="52"/>
        <v>0</v>
      </c>
      <c r="AZ24" s="246">
        <f t="shared" si="52"/>
        <v>0</v>
      </c>
      <c r="BA24" s="246">
        <f t="shared" si="52"/>
        <v>0</v>
      </c>
      <c r="BB24" s="246">
        <f t="shared" si="52"/>
        <v>0</v>
      </c>
      <c r="BD24" s="239">
        <f t="shared" si="17"/>
        <v>0</v>
      </c>
    </row>
    <row r="25" spans="1:56" ht="15">
      <c r="A25" t="s">
        <v>167</v>
      </c>
      <c r="B25" s="316"/>
      <c r="D25" s="238">
        <v>200000</v>
      </c>
      <c r="E25" t="s">
        <v>199</v>
      </c>
      <c r="I25" s="236"/>
      <c r="J25" s="236"/>
      <c r="K25" s="236">
        <v>0.25</v>
      </c>
      <c r="L25" s="236">
        <v>0.25</v>
      </c>
      <c r="M25" s="306">
        <v>0.25</v>
      </c>
      <c r="N25" s="306">
        <v>0.25</v>
      </c>
      <c r="U25" s="306">
        <f t="shared" si="0"/>
        <v>1</v>
      </c>
      <c r="V25" s="303"/>
      <c r="W25" s="303"/>
      <c r="X25" s="308">
        <f t="shared" si="1"/>
        <v>0</v>
      </c>
      <c r="Y25" s="308">
        <f t="shared" si="2"/>
        <v>0</v>
      </c>
      <c r="Z25" s="308">
        <f t="shared" si="3"/>
        <v>0</v>
      </c>
      <c r="AA25" s="308">
        <f t="shared" si="4"/>
        <v>0</v>
      </c>
      <c r="AB25" s="308">
        <f t="shared" si="5"/>
        <v>0</v>
      </c>
      <c r="AC25" s="308">
        <f t="shared" si="6"/>
        <v>50000</v>
      </c>
      <c r="AD25" s="308">
        <f t="shared" si="7"/>
        <v>50000</v>
      </c>
      <c r="AE25" s="308">
        <f t="shared" si="8"/>
        <v>50000</v>
      </c>
      <c r="AF25" s="308">
        <f t="shared" si="9"/>
        <v>50000</v>
      </c>
      <c r="AG25" s="308">
        <f t="shared" si="10"/>
        <v>0</v>
      </c>
      <c r="AH25" s="308">
        <f t="shared" si="11"/>
        <v>0</v>
      </c>
      <c r="AI25" s="308">
        <f t="shared" si="12"/>
        <v>0</v>
      </c>
      <c r="AJ25" s="308">
        <f t="shared" si="13"/>
        <v>0</v>
      </c>
      <c r="AK25" s="308">
        <f t="shared" si="14"/>
        <v>0</v>
      </c>
      <c r="AL25" s="308">
        <f t="shared" si="15"/>
        <v>0</v>
      </c>
      <c r="AM25" s="244"/>
      <c r="AN25" s="246">
        <f t="shared" si="52"/>
        <v>0</v>
      </c>
      <c r="AO25" s="246">
        <f t="shared" si="52"/>
        <v>0</v>
      </c>
      <c r="AP25" s="246">
        <f t="shared" si="52"/>
        <v>0</v>
      </c>
      <c r="AQ25" s="246">
        <f t="shared" si="52"/>
        <v>0</v>
      </c>
      <c r="AR25" s="246">
        <f t="shared" si="52"/>
        <v>0</v>
      </c>
      <c r="AS25" s="246">
        <f t="shared" si="52"/>
        <v>200000</v>
      </c>
      <c r="AT25" s="246">
        <f t="shared" si="52"/>
        <v>0</v>
      </c>
      <c r="AU25" s="246">
        <f t="shared" si="52"/>
        <v>0</v>
      </c>
      <c r="AV25" s="246">
        <f t="shared" si="52"/>
        <v>0</v>
      </c>
      <c r="AW25" s="246">
        <f t="shared" si="52"/>
        <v>0</v>
      </c>
      <c r="AX25" s="246">
        <f t="shared" si="52"/>
        <v>0</v>
      </c>
      <c r="AY25" s="246">
        <f t="shared" si="52"/>
        <v>0</v>
      </c>
      <c r="AZ25" s="246">
        <f t="shared" si="52"/>
        <v>0</v>
      </c>
      <c r="BA25" s="246">
        <f t="shared" si="52"/>
        <v>0</v>
      </c>
      <c r="BB25" s="246">
        <f t="shared" si="52"/>
        <v>0</v>
      </c>
      <c r="BD25" s="239">
        <f t="shared" si="17"/>
        <v>0</v>
      </c>
    </row>
    <row r="26" spans="1:56" ht="15">
      <c r="A26" t="s">
        <v>167</v>
      </c>
      <c r="B26" s="316"/>
      <c r="D26" s="238">
        <v>350000</v>
      </c>
      <c r="G26" s="303"/>
      <c r="H26" s="324"/>
      <c r="I26" s="306"/>
      <c r="J26" s="306"/>
      <c r="K26" s="306">
        <v>0.25</v>
      </c>
      <c r="L26" s="306">
        <v>0.25</v>
      </c>
      <c r="M26" s="303"/>
      <c r="N26" s="303"/>
      <c r="U26" s="306">
        <f t="shared" si="0"/>
        <v>0.5</v>
      </c>
      <c r="V26" s="303"/>
      <c r="W26" s="303"/>
      <c r="X26" s="308">
        <f t="shared" si="1"/>
        <v>0</v>
      </c>
      <c r="Y26" s="308">
        <f t="shared" si="2"/>
        <v>0</v>
      </c>
      <c r="Z26" s="308">
        <f t="shared" si="3"/>
        <v>0</v>
      </c>
      <c r="AA26" s="308">
        <f t="shared" si="4"/>
        <v>0</v>
      </c>
      <c r="AB26" s="308">
        <f t="shared" si="5"/>
        <v>0</v>
      </c>
      <c r="AC26" s="308">
        <f t="shared" si="6"/>
        <v>87500</v>
      </c>
      <c r="AD26" s="308">
        <f t="shared" si="7"/>
        <v>87500</v>
      </c>
      <c r="AE26" s="308">
        <f t="shared" si="8"/>
        <v>0</v>
      </c>
      <c r="AF26" s="308">
        <f t="shared" si="9"/>
        <v>0</v>
      </c>
      <c r="AG26" s="308">
        <f t="shared" si="10"/>
        <v>0</v>
      </c>
      <c r="AH26" s="308">
        <f t="shared" si="11"/>
        <v>0</v>
      </c>
      <c r="AI26" s="308">
        <f t="shared" si="12"/>
        <v>0</v>
      </c>
      <c r="AJ26" s="308">
        <f t="shared" si="13"/>
        <v>0</v>
      </c>
      <c r="AK26" s="308">
        <f t="shared" si="14"/>
        <v>0</v>
      </c>
      <c r="AL26" s="308">
        <f t="shared" si="15"/>
        <v>0</v>
      </c>
      <c r="AM26" s="244"/>
      <c r="AN26" s="246">
        <f aca="true" t="shared" si="53" ref="AN26:BB41">IF(AN$3=$E26,$D26,0)</f>
        <v>0</v>
      </c>
      <c r="AO26" s="246">
        <f t="shared" si="53"/>
        <v>0</v>
      </c>
      <c r="AP26" s="246">
        <f t="shared" si="53"/>
        <v>0</v>
      </c>
      <c r="AQ26" s="246">
        <f t="shared" si="53"/>
        <v>0</v>
      </c>
      <c r="AR26" s="246">
        <f t="shared" si="53"/>
        <v>0</v>
      </c>
      <c r="AS26" s="246">
        <f t="shared" si="53"/>
        <v>0</v>
      </c>
      <c r="AT26" s="246">
        <f t="shared" si="53"/>
        <v>0</v>
      </c>
      <c r="AU26" s="246">
        <f t="shared" si="53"/>
        <v>0</v>
      </c>
      <c r="AV26" s="246">
        <f t="shared" si="53"/>
        <v>0</v>
      </c>
      <c r="AW26" s="246">
        <f t="shared" si="53"/>
        <v>0</v>
      </c>
      <c r="AX26" s="246">
        <f t="shared" si="53"/>
        <v>0</v>
      </c>
      <c r="AY26" s="246">
        <f t="shared" si="53"/>
        <v>0</v>
      </c>
      <c r="AZ26" s="246">
        <f t="shared" si="53"/>
        <v>0</v>
      </c>
      <c r="BA26" s="246">
        <f t="shared" si="53"/>
        <v>0</v>
      </c>
      <c r="BB26" s="246">
        <f t="shared" si="53"/>
        <v>0</v>
      </c>
      <c r="BD26" s="307">
        <f t="shared" si="17"/>
        <v>175000</v>
      </c>
    </row>
    <row r="27" spans="1:56" ht="15">
      <c r="A27" t="s">
        <v>167</v>
      </c>
      <c r="B27" s="316"/>
      <c r="D27" s="238">
        <v>50000</v>
      </c>
      <c r="G27" s="303"/>
      <c r="I27" s="303"/>
      <c r="J27" s="236">
        <v>0.25</v>
      </c>
      <c r="K27" s="236">
        <v>0.25</v>
      </c>
      <c r="L27" s="236">
        <v>0.25</v>
      </c>
      <c r="M27" s="236">
        <v>0.25</v>
      </c>
      <c r="N27" s="303"/>
      <c r="U27" s="306">
        <f t="shared" si="0"/>
        <v>1</v>
      </c>
      <c r="V27" s="303"/>
      <c r="W27" s="303"/>
      <c r="X27" s="308">
        <f t="shared" si="1"/>
        <v>0</v>
      </c>
      <c r="Y27" s="308">
        <f t="shared" si="2"/>
        <v>0</v>
      </c>
      <c r="Z27" s="308">
        <f t="shared" si="3"/>
        <v>0</v>
      </c>
      <c r="AA27" s="308">
        <f t="shared" si="4"/>
        <v>0</v>
      </c>
      <c r="AB27" s="308">
        <f t="shared" si="5"/>
        <v>12500</v>
      </c>
      <c r="AC27" s="308">
        <f t="shared" si="6"/>
        <v>12500</v>
      </c>
      <c r="AD27" s="308">
        <f t="shared" si="7"/>
        <v>12500</v>
      </c>
      <c r="AE27" s="308">
        <f t="shared" si="8"/>
        <v>12500</v>
      </c>
      <c r="AF27" s="308">
        <f t="shared" si="9"/>
        <v>0</v>
      </c>
      <c r="AG27" s="308">
        <f t="shared" si="10"/>
        <v>0</v>
      </c>
      <c r="AH27" s="308">
        <f t="shared" si="11"/>
        <v>0</v>
      </c>
      <c r="AI27" s="308">
        <f t="shared" si="12"/>
        <v>0</v>
      </c>
      <c r="AJ27" s="308">
        <f t="shared" si="13"/>
        <v>0</v>
      </c>
      <c r="AK27" s="308">
        <f t="shared" si="14"/>
        <v>0</v>
      </c>
      <c r="AL27" s="308">
        <f t="shared" si="15"/>
        <v>0</v>
      </c>
      <c r="AM27" s="244"/>
      <c r="AN27" s="246">
        <f t="shared" si="53"/>
        <v>0</v>
      </c>
      <c r="AO27" s="246">
        <f t="shared" si="53"/>
        <v>0</v>
      </c>
      <c r="AP27" s="246">
        <f t="shared" si="53"/>
        <v>0</v>
      </c>
      <c r="AQ27" s="246">
        <f t="shared" si="53"/>
        <v>0</v>
      </c>
      <c r="AR27" s="246">
        <f t="shared" si="53"/>
        <v>0</v>
      </c>
      <c r="AS27" s="246">
        <f t="shared" si="53"/>
        <v>0</v>
      </c>
      <c r="AT27" s="246">
        <f t="shared" si="53"/>
        <v>0</v>
      </c>
      <c r="AU27" s="246">
        <f t="shared" si="53"/>
        <v>0</v>
      </c>
      <c r="AV27" s="246">
        <f t="shared" si="53"/>
        <v>0</v>
      </c>
      <c r="AW27" s="246">
        <f t="shared" si="53"/>
        <v>0</v>
      </c>
      <c r="AX27" s="246">
        <f t="shared" si="53"/>
        <v>0</v>
      </c>
      <c r="AY27" s="246">
        <f t="shared" si="53"/>
        <v>0</v>
      </c>
      <c r="AZ27" s="246">
        <f t="shared" si="53"/>
        <v>0</v>
      </c>
      <c r="BA27" s="246">
        <f t="shared" si="53"/>
        <v>0</v>
      </c>
      <c r="BB27" s="246">
        <f t="shared" si="53"/>
        <v>0</v>
      </c>
      <c r="BD27" s="307">
        <f t="shared" si="17"/>
        <v>50000</v>
      </c>
    </row>
    <row r="28" spans="1:56" s="303" customFormat="1" ht="15">
      <c r="A28" s="303" t="s">
        <v>168</v>
      </c>
      <c r="B28" s="316"/>
      <c r="D28" s="238">
        <v>5000</v>
      </c>
      <c r="E28" s="303" t="s">
        <v>229</v>
      </c>
      <c r="H28" s="321"/>
      <c r="I28" s="306">
        <v>1</v>
      </c>
      <c r="J28" s="306"/>
      <c r="K28" s="306"/>
      <c r="L28" s="306"/>
      <c r="M28" s="306"/>
      <c r="U28" s="306">
        <f aca="true" t="shared" si="54" ref="U28">SUM(F28:T28)</f>
        <v>1</v>
      </c>
      <c r="X28" s="308">
        <f aca="true" t="shared" si="55" ref="X28">F28*$D28</f>
        <v>0</v>
      </c>
      <c r="Y28" s="308">
        <f aca="true" t="shared" si="56" ref="Y28">G28*$D28</f>
        <v>0</v>
      </c>
      <c r="Z28" s="308">
        <f aca="true" t="shared" si="57" ref="Z28">H28*$D28</f>
        <v>0</v>
      </c>
      <c r="AA28" s="308">
        <f aca="true" t="shared" si="58" ref="AA28">I28*$D28</f>
        <v>5000</v>
      </c>
      <c r="AB28" s="308">
        <f aca="true" t="shared" si="59" ref="AB28">J28*$D28</f>
        <v>0</v>
      </c>
      <c r="AC28" s="308">
        <f aca="true" t="shared" si="60" ref="AC28">K28*$D28</f>
        <v>0</v>
      </c>
      <c r="AD28" s="308">
        <f aca="true" t="shared" si="61" ref="AD28">L28*$D28</f>
        <v>0</v>
      </c>
      <c r="AE28" s="308">
        <f aca="true" t="shared" si="62" ref="AE28">M28*$D28</f>
        <v>0</v>
      </c>
      <c r="AF28" s="308">
        <f aca="true" t="shared" si="63" ref="AF28">N28*$D28</f>
        <v>0</v>
      </c>
      <c r="AG28" s="308">
        <f aca="true" t="shared" si="64" ref="AG28">O28*$D28</f>
        <v>0</v>
      </c>
      <c r="AH28" s="308">
        <f aca="true" t="shared" si="65" ref="AH28">P28*$D28</f>
        <v>0</v>
      </c>
      <c r="AI28" s="308">
        <f aca="true" t="shared" si="66" ref="AI28">Q28*$D28</f>
        <v>0</v>
      </c>
      <c r="AJ28" s="308">
        <f aca="true" t="shared" si="67" ref="AJ28">R28*$D28</f>
        <v>0</v>
      </c>
      <c r="AK28" s="308">
        <f aca="true" t="shared" si="68" ref="AK28">S28*$D28</f>
        <v>0</v>
      </c>
      <c r="AL28" s="308">
        <f aca="true" t="shared" si="69" ref="AL28">T28*$D28</f>
        <v>0</v>
      </c>
      <c r="AM28" s="244"/>
      <c r="AN28" s="308">
        <f t="shared" si="53"/>
        <v>0</v>
      </c>
      <c r="AO28" s="308">
        <f t="shared" si="53"/>
        <v>0</v>
      </c>
      <c r="AP28" s="308">
        <f t="shared" si="53"/>
        <v>0</v>
      </c>
      <c r="AQ28" s="308">
        <f t="shared" si="53"/>
        <v>5000</v>
      </c>
      <c r="AR28" s="308">
        <f t="shared" si="53"/>
        <v>0</v>
      </c>
      <c r="AS28" s="308">
        <f t="shared" si="53"/>
        <v>0</v>
      </c>
      <c r="AT28" s="308">
        <f t="shared" si="53"/>
        <v>0</v>
      </c>
      <c r="AU28" s="308">
        <f t="shared" si="53"/>
        <v>0</v>
      </c>
      <c r="AV28" s="308">
        <f t="shared" si="53"/>
        <v>0</v>
      </c>
      <c r="AW28" s="308">
        <f t="shared" si="53"/>
        <v>0</v>
      </c>
      <c r="AX28" s="308">
        <f t="shared" si="53"/>
        <v>0</v>
      </c>
      <c r="AY28" s="308">
        <f t="shared" si="53"/>
        <v>0</v>
      </c>
      <c r="AZ28" s="308">
        <f t="shared" si="53"/>
        <v>0</v>
      </c>
      <c r="BA28" s="308">
        <f t="shared" si="53"/>
        <v>0</v>
      </c>
      <c r="BB28" s="308">
        <f t="shared" si="53"/>
        <v>0</v>
      </c>
      <c r="BD28" s="307">
        <f aca="true" t="shared" si="70" ref="BD28">SUM(X28:AL28)-SUM(AN28:BB28)</f>
        <v>0</v>
      </c>
    </row>
    <row r="29" spans="1:56" ht="15">
      <c r="A29" t="s">
        <v>169</v>
      </c>
      <c r="B29" s="262"/>
      <c r="C29" s="253"/>
      <c r="D29" s="309">
        <v>100000</v>
      </c>
      <c r="E29" t="s">
        <v>226</v>
      </c>
      <c r="G29" s="303"/>
      <c r="H29" s="324"/>
      <c r="I29" s="306"/>
      <c r="J29" s="306">
        <v>0.25</v>
      </c>
      <c r="K29" s="306">
        <v>0.25</v>
      </c>
      <c r="L29" s="306">
        <v>0.25</v>
      </c>
      <c r="M29" s="306">
        <v>0.25</v>
      </c>
      <c r="N29" s="303"/>
      <c r="O29" s="303"/>
      <c r="P29" s="303"/>
      <c r="Q29" s="303"/>
      <c r="U29" s="306">
        <f t="shared" si="0"/>
        <v>1</v>
      </c>
      <c r="V29" s="303"/>
      <c r="W29" s="303"/>
      <c r="X29" s="308">
        <f t="shared" si="1"/>
        <v>0</v>
      </c>
      <c r="Y29" s="308">
        <f t="shared" si="2"/>
        <v>0</v>
      </c>
      <c r="Z29" s="308">
        <f t="shared" si="3"/>
        <v>0</v>
      </c>
      <c r="AA29" s="308">
        <f t="shared" si="4"/>
        <v>0</v>
      </c>
      <c r="AB29" s="308">
        <f t="shared" si="5"/>
        <v>25000</v>
      </c>
      <c r="AC29" s="308">
        <f t="shared" si="6"/>
        <v>25000</v>
      </c>
      <c r="AD29" s="308">
        <f t="shared" si="7"/>
        <v>25000</v>
      </c>
      <c r="AE29" s="308">
        <f t="shared" si="8"/>
        <v>25000</v>
      </c>
      <c r="AF29" s="308">
        <f t="shared" si="9"/>
        <v>0</v>
      </c>
      <c r="AG29" s="308">
        <f t="shared" si="10"/>
        <v>0</v>
      </c>
      <c r="AH29" s="308">
        <f t="shared" si="11"/>
        <v>0</v>
      </c>
      <c r="AI29" s="308">
        <f t="shared" si="12"/>
        <v>0</v>
      </c>
      <c r="AJ29" s="308">
        <f t="shared" si="13"/>
        <v>0</v>
      </c>
      <c r="AK29" s="308">
        <f t="shared" si="14"/>
        <v>0</v>
      </c>
      <c r="AL29" s="308">
        <f t="shared" si="15"/>
        <v>0</v>
      </c>
      <c r="AM29" s="244"/>
      <c r="AN29" s="246">
        <f t="shared" si="53"/>
        <v>0</v>
      </c>
      <c r="AO29" s="246">
        <f t="shared" si="53"/>
        <v>0</v>
      </c>
      <c r="AP29" s="246">
        <f t="shared" si="53"/>
        <v>0</v>
      </c>
      <c r="AQ29" s="246">
        <f t="shared" si="53"/>
        <v>0</v>
      </c>
      <c r="AR29" s="246">
        <f t="shared" si="53"/>
        <v>100000</v>
      </c>
      <c r="AS29" s="246">
        <f t="shared" si="53"/>
        <v>0</v>
      </c>
      <c r="AT29" s="246">
        <f t="shared" si="53"/>
        <v>0</v>
      </c>
      <c r="AU29" s="246">
        <f t="shared" si="53"/>
        <v>0</v>
      </c>
      <c r="AV29" s="246">
        <f t="shared" si="53"/>
        <v>0</v>
      </c>
      <c r="AW29" s="246">
        <f t="shared" si="53"/>
        <v>0</v>
      </c>
      <c r="AX29" s="246">
        <f t="shared" si="53"/>
        <v>0</v>
      </c>
      <c r="AY29" s="246">
        <f t="shared" si="53"/>
        <v>0</v>
      </c>
      <c r="AZ29" s="246">
        <f t="shared" si="53"/>
        <v>0</v>
      </c>
      <c r="BA29" s="246">
        <f t="shared" si="53"/>
        <v>0</v>
      </c>
      <c r="BB29" s="246">
        <f t="shared" si="53"/>
        <v>0</v>
      </c>
      <c r="BD29" s="307">
        <f t="shared" si="17"/>
        <v>0</v>
      </c>
    </row>
    <row r="30" spans="1:56" ht="15">
      <c r="A30" t="s">
        <v>169</v>
      </c>
      <c r="B30" s="262"/>
      <c r="C30" s="253"/>
      <c r="D30" s="249">
        <v>500000</v>
      </c>
      <c r="E30" t="s">
        <v>272</v>
      </c>
      <c r="J30" s="303"/>
      <c r="K30" s="303"/>
      <c r="L30" s="303"/>
      <c r="M30" s="303"/>
      <c r="N30" s="303"/>
      <c r="O30" s="303"/>
      <c r="P30" s="303"/>
      <c r="Q30" s="236">
        <v>0.25</v>
      </c>
      <c r="R30" s="236">
        <v>0.25</v>
      </c>
      <c r="S30" s="236">
        <v>0.25</v>
      </c>
      <c r="T30" s="236">
        <v>0.25</v>
      </c>
      <c r="U30" s="306">
        <f t="shared" si="0"/>
        <v>1</v>
      </c>
      <c r="V30" s="303"/>
      <c r="W30" s="303"/>
      <c r="X30" s="308">
        <f t="shared" si="1"/>
        <v>0</v>
      </c>
      <c r="Y30" s="308">
        <f t="shared" si="2"/>
        <v>0</v>
      </c>
      <c r="Z30" s="308">
        <f t="shared" si="3"/>
        <v>0</v>
      </c>
      <c r="AA30" s="308">
        <f t="shared" si="4"/>
        <v>0</v>
      </c>
      <c r="AB30" s="308">
        <f t="shared" si="5"/>
        <v>0</v>
      </c>
      <c r="AC30" s="308">
        <f t="shared" si="6"/>
        <v>0</v>
      </c>
      <c r="AD30" s="308">
        <f t="shared" si="7"/>
        <v>0</v>
      </c>
      <c r="AE30" s="308">
        <f t="shared" si="8"/>
        <v>0</v>
      </c>
      <c r="AF30" s="308">
        <f t="shared" si="9"/>
        <v>0</v>
      </c>
      <c r="AG30" s="308">
        <f t="shared" si="10"/>
        <v>0</v>
      </c>
      <c r="AH30" s="308">
        <f t="shared" si="11"/>
        <v>0</v>
      </c>
      <c r="AI30" s="308">
        <f t="shared" si="12"/>
        <v>125000</v>
      </c>
      <c r="AJ30" s="308">
        <f t="shared" si="13"/>
        <v>125000</v>
      </c>
      <c r="AK30" s="308">
        <f t="shared" si="14"/>
        <v>125000</v>
      </c>
      <c r="AL30" s="308">
        <f t="shared" si="15"/>
        <v>125000</v>
      </c>
      <c r="AM30" s="244"/>
      <c r="AN30" s="246">
        <f t="shared" si="53"/>
        <v>0</v>
      </c>
      <c r="AO30" s="246">
        <f t="shared" si="53"/>
        <v>0</v>
      </c>
      <c r="AP30" s="246">
        <f t="shared" si="53"/>
        <v>0</v>
      </c>
      <c r="AQ30" s="246">
        <f t="shared" si="53"/>
        <v>0</v>
      </c>
      <c r="AR30" s="246">
        <f t="shared" si="53"/>
        <v>0</v>
      </c>
      <c r="AS30" s="246">
        <f t="shared" si="53"/>
        <v>0</v>
      </c>
      <c r="AT30" s="246">
        <f t="shared" si="53"/>
        <v>0</v>
      </c>
      <c r="AU30" s="246">
        <f t="shared" si="53"/>
        <v>0</v>
      </c>
      <c r="AV30" s="246">
        <f t="shared" si="53"/>
        <v>0</v>
      </c>
      <c r="AW30" s="246">
        <f t="shared" si="53"/>
        <v>0</v>
      </c>
      <c r="AX30" s="246">
        <f t="shared" si="53"/>
        <v>0</v>
      </c>
      <c r="AY30" s="246">
        <f t="shared" si="53"/>
        <v>500000</v>
      </c>
      <c r="AZ30" s="246">
        <f t="shared" si="53"/>
        <v>0</v>
      </c>
      <c r="BA30" s="246">
        <f t="shared" si="53"/>
        <v>0</v>
      </c>
      <c r="BB30" s="246">
        <f t="shared" si="53"/>
        <v>0</v>
      </c>
      <c r="BD30" s="239">
        <f t="shared" si="17"/>
        <v>0</v>
      </c>
    </row>
    <row r="31" spans="1:56" ht="15">
      <c r="A31" t="s">
        <v>169</v>
      </c>
      <c r="B31" s="262"/>
      <c r="C31" s="303"/>
      <c r="D31" s="238">
        <v>7200</v>
      </c>
      <c r="E31" s="303" t="s">
        <v>197</v>
      </c>
      <c r="F31" s="303"/>
      <c r="G31" s="303"/>
      <c r="H31" s="324"/>
      <c r="I31" s="306">
        <v>0.3</v>
      </c>
      <c r="J31" s="306">
        <v>0.7</v>
      </c>
      <c r="K31" s="306"/>
      <c r="Q31" s="306"/>
      <c r="R31" s="306"/>
      <c r="S31" s="306"/>
      <c r="T31" s="306"/>
      <c r="U31" s="306">
        <f t="shared" si="0"/>
        <v>1</v>
      </c>
      <c r="V31" s="303"/>
      <c r="W31" s="303"/>
      <c r="X31" s="308">
        <f t="shared" si="1"/>
        <v>0</v>
      </c>
      <c r="Y31" s="308">
        <f t="shared" si="2"/>
        <v>0</v>
      </c>
      <c r="Z31" s="308">
        <f t="shared" si="3"/>
        <v>0</v>
      </c>
      <c r="AA31" s="308">
        <f t="shared" si="4"/>
        <v>2160</v>
      </c>
      <c r="AB31" s="308">
        <f t="shared" si="5"/>
        <v>5040</v>
      </c>
      <c r="AC31" s="308">
        <f t="shared" si="6"/>
        <v>0</v>
      </c>
      <c r="AD31" s="308">
        <f t="shared" si="7"/>
        <v>0</v>
      </c>
      <c r="AE31" s="308">
        <f t="shared" si="8"/>
        <v>0</v>
      </c>
      <c r="AF31" s="308">
        <f t="shared" si="9"/>
        <v>0</v>
      </c>
      <c r="AG31" s="308">
        <f t="shared" si="10"/>
        <v>0</v>
      </c>
      <c r="AH31" s="308">
        <f t="shared" si="11"/>
        <v>0</v>
      </c>
      <c r="AI31" s="308">
        <f t="shared" si="12"/>
        <v>0</v>
      </c>
      <c r="AJ31" s="308">
        <f t="shared" si="13"/>
        <v>0</v>
      </c>
      <c r="AK31" s="308">
        <f t="shared" si="14"/>
        <v>0</v>
      </c>
      <c r="AL31" s="308">
        <f t="shared" si="15"/>
        <v>0</v>
      </c>
      <c r="AM31" s="244"/>
      <c r="AN31" s="246">
        <f t="shared" si="53"/>
        <v>0</v>
      </c>
      <c r="AO31" s="246">
        <f t="shared" si="53"/>
        <v>0</v>
      </c>
      <c r="AP31" s="246">
        <f t="shared" si="53"/>
        <v>7200</v>
      </c>
      <c r="AQ31" s="246">
        <f t="shared" si="53"/>
        <v>0</v>
      </c>
      <c r="AR31" s="246">
        <f t="shared" si="53"/>
        <v>0</v>
      </c>
      <c r="AS31" s="246">
        <f t="shared" si="53"/>
        <v>0</v>
      </c>
      <c r="AT31" s="246">
        <f t="shared" si="53"/>
        <v>0</v>
      </c>
      <c r="AU31" s="246">
        <f t="shared" si="53"/>
        <v>0</v>
      </c>
      <c r="AV31" s="246">
        <f t="shared" si="53"/>
        <v>0</v>
      </c>
      <c r="AW31" s="246">
        <f t="shared" si="53"/>
        <v>0</v>
      </c>
      <c r="AX31" s="246">
        <f t="shared" si="53"/>
        <v>0</v>
      </c>
      <c r="AY31" s="246">
        <f t="shared" si="53"/>
        <v>0</v>
      </c>
      <c r="AZ31" s="246">
        <f t="shared" si="53"/>
        <v>0</v>
      </c>
      <c r="BA31" s="246">
        <f t="shared" si="53"/>
        <v>0</v>
      </c>
      <c r="BB31" s="246">
        <f t="shared" si="53"/>
        <v>0</v>
      </c>
      <c r="BD31" s="239"/>
    </row>
    <row r="32" spans="1:56" ht="15">
      <c r="A32" t="s">
        <v>169</v>
      </c>
      <c r="B32" s="262"/>
      <c r="C32" s="303"/>
      <c r="D32" s="238">
        <v>19200</v>
      </c>
      <c r="E32" s="303" t="s">
        <v>197</v>
      </c>
      <c r="F32" s="303"/>
      <c r="G32" s="303"/>
      <c r="H32" s="324"/>
      <c r="I32" s="306">
        <v>0.3</v>
      </c>
      <c r="J32" s="306">
        <v>0.7</v>
      </c>
      <c r="K32" s="306"/>
      <c r="L32" s="303"/>
      <c r="Q32" s="306"/>
      <c r="R32" s="306"/>
      <c r="S32" s="306"/>
      <c r="T32" s="306"/>
      <c r="U32" s="306">
        <f t="shared" si="0"/>
        <v>1</v>
      </c>
      <c r="V32" s="303"/>
      <c r="W32" s="303"/>
      <c r="X32" s="308">
        <f t="shared" si="1"/>
        <v>0</v>
      </c>
      <c r="Y32" s="308">
        <f t="shared" si="2"/>
        <v>0</v>
      </c>
      <c r="Z32" s="308">
        <f t="shared" si="3"/>
        <v>0</v>
      </c>
      <c r="AA32" s="308">
        <f t="shared" si="4"/>
        <v>5760</v>
      </c>
      <c r="AB32" s="308">
        <f t="shared" si="5"/>
        <v>13440</v>
      </c>
      <c r="AC32" s="308">
        <f t="shared" si="6"/>
        <v>0</v>
      </c>
      <c r="AD32" s="308">
        <f t="shared" si="7"/>
        <v>0</v>
      </c>
      <c r="AE32" s="308">
        <f t="shared" si="8"/>
        <v>0</v>
      </c>
      <c r="AF32" s="308">
        <f t="shared" si="9"/>
        <v>0</v>
      </c>
      <c r="AG32" s="308">
        <f t="shared" si="10"/>
        <v>0</v>
      </c>
      <c r="AH32" s="308">
        <f t="shared" si="11"/>
        <v>0</v>
      </c>
      <c r="AI32" s="308">
        <f t="shared" si="12"/>
        <v>0</v>
      </c>
      <c r="AJ32" s="308">
        <f t="shared" si="13"/>
        <v>0</v>
      </c>
      <c r="AK32" s="308">
        <f t="shared" si="14"/>
        <v>0</v>
      </c>
      <c r="AL32" s="308">
        <f t="shared" si="15"/>
        <v>0</v>
      </c>
      <c r="AM32" s="244"/>
      <c r="AN32" s="246">
        <f t="shared" si="53"/>
        <v>0</v>
      </c>
      <c r="AO32" s="246">
        <f t="shared" si="53"/>
        <v>0</v>
      </c>
      <c r="AP32" s="246">
        <f t="shared" si="53"/>
        <v>19200</v>
      </c>
      <c r="AQ32" s="246">
        <f t="shared" si="53"/>
        <v>0</v>
      </c>
      <c r="AR32" s="246">
        <f t="shared" si="53"/>
        <v>0</v>
      </c>
      <c r="AS32" s="246">
        <f t="shared" si="53"/>
        <v>0</v>
      </c>
      <c r="AT32" s="246">
        <f t="shared" si="53"/>
        <v>0</v>
      </c>
      <c r="AU32" s="246">
        <f t="shared" si="53"/>
        <v>0</v>
      </c>
      <c r="AV32" s="246">
        <f t="shared" si="53"/>
        <v>0</v>
      </c>
      <c r="AW32" s="246">
        <f t="shared" si="53"/>
        <v>0</v>
      </c>
      <c r="AX32" s="246">
        <f t="shared" si="53"/>
        <v>0</v>
      </c>
      <c r="AY32" s="246">
        <f t="shared" si="53"/>
        <v>0</v>
      </c>
      <c r="AZ32" s="246">
        <f t="shared" si="53"/>
        <v>0</v>
      </c>
      <c r="BA32" s="246">
        <f t="shared" si="53"/>
        <v>0</v>
      </c>
      <c r="BB32" s="246">
        <f t="shared" si="53"/>
        <v>0</v>
      </c>
      <c r="BD32" s="239"/>
    </row>
    <row r="33" spans="1:56" ht="15">
      <c r="A33" t="s">
        <v>169</v>
      </c>
      <c r="B33" s="262"/>
      <c r="C33" s="303"/>
      <c r="D33" s="238">
        <v>8000</v>
      </c>
      <c r="E33" s="303" t="s">
        <v>197</v>
      </c>
      <c r="F33" s="303"/>
      <c r="G33" s="303"/>
      <c r="H33" s="324"/>
      <c r="I33" s="306">
        <v>0.5</v>
      </c>
      <c r="J33" s="306">
        <v>0.5</v>
      </c>
      <c r="L33" s="303"/>
      <c r="M33" s="303"/>
      <c r="N33" s="303"/>
      <c r="O33" s="303"/>
      <c r="Q33" s="306"/>
      <c r="R33" s="306"/>
      <c r="S33" s="306"/>
      <c r="T33" s="306"/>
      <c r="U33" s="306">
        <f t="shared" si="0"/>
        <v>1</v>
      </c>
      <c r="V33" s="303"/>
      <c r="W33" s="303"/>
      <c r="X33" s="308">
        <f t="shared" si="1"/>
        <v>0</v>
      </c>
      <c r="Y33" s="308">
        <f t="shared" si="2"/>
        <v>0</v>
      </c>
      <c r="Z33" s="308">
        <f t="shared" si="3"/>
        <v>0</v>
      </c>
      <c r="AA33" s="308">
        <f t="shared" si="4"/>
        <v>4000</v>
      </c>
      <c r="AB33" s="308">
        <f t="shared" si="5"/>
        <v>4000</v>
      </c>
      <c r="AC33" s="308">
        <f t="shared" si="6"/>
        <v>0</v>
      </c>
      <c r="AD33" s="308">
        <f t="shared" si="7"/>
        <v>0</v>
      </c>
      <c r="AE33" s="308">
        <f t="shared" si="8"/>
        <v>0</v>
      </c>
      <c r="AF33" s="308">
        <f t="shared" si="9"/>
        <v>0</v>
      </c>
      <c r="AG33" s="308">
        <f t="shared" si="10"/>
        <v>0</v>
      </c>
      <c r="AH33" s="308">
        <f t="shared" si="11"/>
        <v>0</v>
      </c>
      <c r="AI33" s="308">
        <f t="shared" si="12"/>
        <v>0</v>
      </c>
      <c r="AJ33" s="308">
        <f t="shared" si="13"/>
        <v>0</v>
      </c>
      <c r="AK33" s="308">
        <f t="shared" si="14"/>
        <v>0</v>
      </c>
      <c r="AL33" s="308">
        <f t="shared" si="15"/>
        <v>0</v>
      </c>
      <c r="AM33" s="244"/>
      <c r="AN33" s="246">
        <f t="shared" si="53"/>
        <v>0</v>
      </c>
      <c r="AO33" s="246">
        <f t="shared" si="53"/>
        <v>0</v>
      </c>
      <c r="AP33" s="246">
        <f t="shared" si="53"/>
        <v>8000</v>
      </c>
      <c r="AQ33" s="246">
        <f t="shared" si="53"/>
        <v>0</v>
      </c>
      <c r="AR33" s="246">
        <f t="shared" si="53"/>
        <v>0</v>
      </c>
      <c r="AS33" s="246">
        <f t="shared" si="53"/>
        <v>0</v>
      </c>
      <c r="AT33" s="246">
        <f t="shared" si="53"/>
        <v>0</v>
      </c>
      <c r="AU33" s="246">
        <f t="shared" si="53"/>
        <v>0</v>
      </c>
      <c r="AV33" s="246">
        <f t="shared" si="53"/>
        <v>0</v>
      </c>
      <c r="AW33" s="246">
        <f t="shared" si="53"/>
        <v>0</v>
      </c>
      <c r="AX33" s="246">
        <f t="shared" si="53"/>
        <v>0</v>
      </c>
      <c r="AY33" s="246">
        <f t="shared" si="53"/>
        <v>0</v>
      </c>
      <c r="AZ33" s="246">
        <f t="shared" si="53"/>
        <v>0</v>
      </c>
      <c r="BA33" s="246">
        <f t="shared" si="53"/>
        <v>0</v>
      </c>
      <c r="BB33" s="246">
        <f t="shared" si="53"/>
        <v>0</v>
      </c>
      <c r="BD33" s="239"/>
    </row>
    <row r="34" spans="1:56" ht="15">
      <c r="A34" t="s">
        <v>169</v>
      </c>
      <c r="B34" s="262"/>
      <c r="C34" s="303"/>
      <c r="D34" s="238">
        <v>72000</v>
      </c>
      <c r="E34" s="303" t="s">
        <v>197</v>
      </c>
      <c r="F34" s="303"/>
      <c r="G34" s="303"/>
      <c r="H34" s="324"/>
      <c r="I34" s="306">
        <v>0.0833333333333333</v>
      </c>
      <c r="J34" s="306">
        <v>0.0833333333333333</v>
      </c>
      <c r="K34" s="306">
        <v>0.0833333333333333</v>
      </c>
      <c r="L34" s="306">
        <v>0.0833333333333333</v>
      </c>
      <c r="M34" s="306">
        <v>0.0833333333333333</v>
      </c>
      <c r="N34" s="306">
        <v>0.0833333333333333</v>
      </c>
      <c r="O34" s="306">
        <v>0.0833333333333333</v>
      </c>
      <c r="P34" s="306">
        <v>0.0833333333333333</v>
      </c>
      <c r="Q34" s="236">
        <v>0.0833333333333333</v>
      </c>
      <c r="R34" s="236">
        <v>0.0833333333333333</v>
      </c>
      <c r="S34" s="236">
        <v>0.0833333333333333</v>
      </c>
      <c r="T34" s="236"/>
      <c r="U34" s="306">
        <f t="shared" si="0"/>
        <v>0.9166666666666662</v>
      </c>
      <c r="V34" s="303"/>
      <c r="W34" s="303"/>
      <c r="X34" s="308">
        <f t="shared" si="1"/>
        <v>0</v>
      </c>
      <c r="Y34" s="308">
        <f t="shared" si="2"/>
        <v>0</v>
      </c>
      <c r="Z34" s="308">
        <f t="shared" si="3"/>
        <v>0</v>
      </c>
      <c r="AA34" s="308">
        <f t="shared" si="4"/>
        <v>5999.999999999997</v>
      </c>
      <c r="AB34" s="308">
        <f t="shared" si="5"/>
        <v>5999.999999999997</v>
      </c>
      <c r="AC34" s="308">
        <f t="shared" si="6"/>
        <v>5999.999999999997</v>
      </c>
      <c r="AD34" s="308">
        <f t="shared" si="7"/>
        <v>5999.999999999997</v>
      </c>
      <c r="AE34" s="308">
        <f t="shared" si="8"/>
        <v>5999.999999999997</v>
      </c>
      <c r="AF34" s="308">
        <f t="shared" si="9"/>
        <v>5999.999999999997</v>
      </c>
      <c r="AG34" s="308">
        <f t="shared" si="10"/>
        <v>5999.999999999997</v>
      </c>
      <c r="AH34" s="308">
        <f t="shared" si="11"/>
        <v>5999.999999999997</v>
      </c>
      <c r="AI34" s="308">
        <f t="shared" si="12"/>
        <v>5999.999999999997</v>
      </c>
      <c r="AJ34" s="308">
        <f t="shared" si="13"/>
        <v>5999.999999999997</v>
      </c>
      <c r="AK34" s="308">
        <f t="shared" si="14"/>
        <v>5999.999999999997</v>
      </c>
      <c r="AL34" s="308">
        <f t="shared" si="15"/>
        <v>0</v>
      </c>
      <c r="AM34" s="244"/>
      <c r="AN34" s="246">
        <f t="shared" si="53"/>
        <v>0</v>
      </c>
      <c r="AO34" s="246">
        <f t="shared" si="53"/>
        <v>0</v>
      </c>
      <c r="AP34" s="246">
        <f t="shared" si="53"/>
        <v>72000</v>
      </c>
      <c r="AQ34" s="246">
        <f t="shared" si="53"/>
        <v>0</v>
      </c>
      <c r="AR34" s="246">
        <f t="shared" si="53"/>
        <v>0</v>
      </c>
      <c r="AS34" s="246">
        <f t="shared" si="53"/>
        <v>0</v>
      </c>
      <c r="AT34" s="246">
        <f t="shared" si="53"/>
        <v>0</v>
      </c>
      <c r="AU34" s="246">
        <f t="shared" si="53"/>
        <v>0</v>
      </c>
      <c r="AV34" s="246">
        <f t="shared" si="53"/>
        <v>0</v>
      </c>
      <c r="AW34" s="246">
        <f t="shared" si="53"/>
        <v>0</v>
      </c>
      <c r="AX34" s="246">
        <f t="shared" si="53"/>
        <v>0</v>
      </c>
      <c r="AY34" s="246">
        <f t="shared" si="53"/>
        <v>0</v>
      </c>
      <c r="AZ34" s="246">
        <f t="shared" si="53"/>
        <v>0</v>
      </c>
      <c r="BA34" s="246">
        <f t="shared" si="53"/>
        <v>0</v>
      </c>
      <c r="BB34" s="246">
        <f t="shared" si="53"/>
        <v>0</v>
      </c>
      <c r="BD34" s="239"/>
    </row>
    <row r="35" spans="1:56" ht="15">
      <c r="A35" t="s">
        <v>170</v>
      </c>
      <c r="B35" s="262"/>
      <c r="C35" s="253"/>
      <c r="D35" s="238">
        <v>100000</v>
      </c>
      <c r="E35" s="303" t="s">
        <v>226</v>
      </c>
      <c r="I35" s="306"/>
      <c r="J35" s="306">
        <v>0.25</v>
      </c>
      <c r="K35" s="306">
        <v>0.25</v>
      </c>
      <c r="L35" s="306">
        <v>0.25</v>
      </c>
      <c r="Q35" s="303"/>
      <c r="R35" s="303"/>
      <c r="S35" s="303"/>
      <c r="T35" s="303"/>
      <c r="U35" s="306">
        <f t="shared" si="0"/>
        <v>0.75</v>
      </c>
      <c r="V35" s="303"/>
      <c r="W35" s="303"/>
      <c r="X35" s="308">
        <f t="shared" si="1"/>
        <v>0</v>
      </c>
      <c r="Y35" s="308">
        <f t="shared" si="2"/>
        <v>0</v>
      </c>
      <c r="Z35" s="308">
        <f t="shared" si="3"/>
        <v>0</v>
      </c>
      <c r="AA35" s="308">
        <f t="shared" si="4"/>
        <v>0</v>
      </c>
      <c r="AB35" s="308">
        <f t="shared" si="5"/>
        <v>25000</v>
      </c>
      <c r="AC35" s="308">
        <f t="shared" si="6"/>
        <v>25000</v>
      </c>
      <c r="AD35" s="308">
        <f t="shared" si="7"/>
        <v>25000</v>
      </c>
      <c r="AE35" s="308">
        <f t="shared" si="8"/>
        <v>0</v>
      </c>
      <c r="AF35" s="308">
        <f t="shared" si="9"/>
        <v>0</v>
      </c>
      <c r="AG35" s="308">
        <f t="shared" si="10"/>
        <v>0</v>
      </c>
      <c r="AH35" s="308">
        <f t="shared" si="11"/>
        <v>0</v>
      </c>
      <c r="AI35" s="308">
        <f t="shared" si="12"/>
        <v>0</v>
      </c>
      <c r="AJ35" s="308">
        <f t="shared" si="13"/>
        <v>0</v>
      </c>
      <c r="AK35" s="308">
        <f t="shared" si="14"/>
        <v>0</v>
      </c>
      <c r="AL35" s="308">
        <f t="shared" si="15"/>
        <v>0</v>
      </c>
      <c r="AM35" s="244"/>
      <c r="AN35" s="246">
        <f t="shared" si="53"/>
        <v>0</v>
      </c>
      <c r="AO35" s="246">
        <f t="shared" si="53"/>
        <v>0</v>
      </c>
      <c r="AP35" s="246">
        <f t="shared" si="53"/>
        <v>0</v>
      </c>
      <c r="AQ35" s="246">
        <f t="shared" si="53"/>
        <v>0</v>
      </c>
      <c r="AR35" s="246">
        <f t="shared" si="53"/>
        <v>100000</v>
      </c>
      <c r="AS35" s="246">
        <f t="shared" si="53"/>
        <v>0</v>
      </c>
      <c r="AT35" s="246">
        <f t="shared" si="53"/>
        <v>0</v>
      </c>
      <c r="AU35" s="246">
        <f t="shared" si="53"/>
        <v>0</v>
      </c>
      <c r="AV35" s="246">
        <f t="shared" si="53"/>
        <v>0</v>
      </c>
      <c r="AW35" s="246">
        <f t="shared" si="53"/>
        <v>0</v>
      </c>
      <c r="AX35" s="246">
        <f t="shared" si="53"/>
        <v>0</v>
      </c>
      <c r="AY35" s="246">
        <f t="shared" si="53"/>
        <v>0</v>
      </c>
      <c r="AZ35" s="246">
        <f t="shared" si="53"/>
        <v>0</v>
      </c>
      <c r="BA35" s="246">
        <f t="shared" si="53"/>
        <v>0</v>
      </c>
      <c r="BB35" s="246">
        <f t="shared" si="53"/>
        <v>0</v>
      </c>
      <c r="BD35" s="239">
        <f aca="true" t="shared" si="71" ref="BD35:BD41">SUM(X35:AL35)-SUM(AN35:BB35)</f>
        <v>-25000</v>
      </c>
    </row>
    <row r="36" spans="1:56" ht="15">
      <c r="A36" t="s">
        <v>170</v>
      </c>
      <c r="B36" s="262"/>
      <c r="C36" s="253"/>
      <c r="D36" s="238">
        <v>200000</v>
      </c>
      <c r="E36" t="s">
        <v>245</v>
      </c>
      <c r="Q36" s="236">
        <v>0.25</v>
      </c>
      <c r="R36" s="236">
        <v>0.25</v>
      </c>
      <c r="S36" s="236">
        <v>0.25</v>
      </c>
      <c r="T36" s="236">
        <v>0.25</v>
      </c>
      <c r="U36" s="306">
        <f t="shared" si="0"/>
        <v>1</v>
      </c>
      <c r="V36" s="303"/>
      <c r="W36" s="303"/>
      <c r="X36" s="308">
        <f t="shared" si="1"/>
        <v>0</v>
      </c>
      <c r="Y36" s="308">
        <f t="shared" si="2"/>
        <v>0</v>
      </c>
      <c r="Z36" s="308">
        <f t="shared" si="3"/>
        <v>0</v>
      </c>
      <c r="AA36" s="308">
        <f t="shared" si="4"/>
        <v>0</v>
      </c>
      <c r="AB36" s="308">
        <f t="shared" si="5"/>
        <v>0</v>
      </c>
      <c r="AC36" s="308">
        <f t="shared" si="6"/>
        <v>0</v>
      </c>
      <c r="AD36" s="308">
        <f t="shared" si="7"/>
        <v>0</v>
      </c>
      <c r="AE36" s="308">
        <f t="shared" si="8"/>
        <v>0</v>
      </c>
      <c r="AF36" s="308">
        <f t="shared" si="9"/>
        <v>0</v>
      </c>
      <c r="AG36" s="308">
        <f t="shared" si="10"/>
        <v>0</v>
      </c>
      <c r="AH36" s="308">
        <f t="shared" si="11"/>
        <v>0</v>
      </c>
      <c r="AI36" s="308">
        <f t="shared" si="12"/>
        <v>50000</v>
      </c>
      <c r="AJ36" s="308">
        <f t="shared" si="13"/>
        <v>50000</v>
      </c>
      <c r="AK36" s="308">
        <f t="shared" si="14"/>
        <v>50000</v>
      </c>
      <c r="AL36" s="308">
        <f t="shared" si="15"/>
        <v>50000</v>
      </c>
      <c r="AM36" s="244"/>
      <c r="AN36" s="246">
        <f t="shared" si="53"/>
        <v>0</v>
      </c>
      <c r="AO36" s="246">
        <f t="shared" si="53"/>
        <v>0</v>
      </c>
      <c r="AP36" s="246">
        <f t="shared" si="53"/>
        <v>0</v>
      </c>
      <c r="AQ36" s="246">
        <f t="shared" si="53"/>
        <v>0</v>
      </c>
      <c r="AR36" s="246">
        <f t="shared" si="53"/>
        <v>0</v>
      </c>
      <c r="AS36" s="246">
        <f t="shared" si="53"/>
        <v>0</v>
      </c>
      <c r="AT36" s="246">
        <f t="shared" si="53"/>
        <v>0</v>
      </c>
      <c r="AU36" s="246">
        <f t="shared" si="53"/>
        <v>0</v>
      </c>
      <c r="AV36" s="246">
        <f t="shared" si="53"/>
        <v>0</v>
      </c>
      <c r="AW36" s="246">
        <f t="shared" si="53"/>
        <v>0</v>
      </c>
      <c r="AX36" s="246">
        <f t="shared" si="53"/>
        <v>0</v>
      </c>
      <c r="AY36" s="246">
        <f t="shared" si="53"/>
        <v>0</v>
      </c>
      <c r="AZ36" s="246">
        <f t="shared" si="53"/>
        <v>0</v>
      </c>
      <c r="BA36" s="246">
        <f t="shared" si="53"/>
        <v>0</v>
      </c>
      <c r="BB36" s="246">
        <f t="shared" si="53"/>
        <v>200000</v>
      </c>
      <c r="BD36" s="239">
        <f t="shared" si="71"/>
        <v>0</v>
      </c>
    </row>
    <row r="37" spans="1:56" ht="15">
      <c r="A37" t="s">
        <v>171</v>
      </c>
      <c r="B37" s="262"/>
      <c r="C37" s="253"/>
      <c r="D37" s="238">
        <v>100000</v>
      </c>
      <c r="E37" t="s">
        <v>211</v>
      </c>
      <c r="L37" s="306">
        <v>0.25</v>
      </c>
      <c r="M37" s="306">
        <v>0.25</v>
      </c>
      <c r="N37" s="306">
        <v>0.25</v>
      </c>
      <c r="O37" s="306">
        <v>0.25</v>
      </c>
      <c r="Q37" s="303"/>
      <c r="R37" s="303"/>
      <c r="S37" s="303"/>
      <c r="T37" s="303"/>
      <c r="U37" s="306">
        <f t="shared" si="0"/>
        <v>1</v>
      </c>
      <c r="V37" s="303"/>
      <c r="W37" s="303"/>
      <c r="X37" s="246">
        <f t="shared" si="1"/>
        <v>0</v>
      </c>
      <c r="Y37" s="246">
        <f t="shared" si="2"/>
        <v>0</v>
      </c>
      <c r="Z37" s="246">
        <f t="shared" si="3"/>
        <v>0</v>
      </c>
      <c r="AA37" s="246">
        <f t="shared" si="4"/>
        <v>0</v>
      </c>
      <c r="AB37" s="246">
        <f t="shared" si="5"/>
        <v>0</v>
      </c>
      <c r="AC37" s="246">
        <f t="shared" si="6"/>
        <v>0</v>
      </c>
      <c r="AD37" s="246">
        <f t="shared" si="7"/>
        <v>25000</v>
      </c>
      <c r="AE37" s="246">
        <f t="shared" si="8"/>
        <v>25000</v>
      </c>
      <c r="AF37" s="246">
        <f t="shared" si="9"/>
        <v>25000</v>
      </c>
      <c r="AG37" s="246">
        <f t="shared" si="10"/>
        <v>25000</v>
      </c>
      <c r="AH37" s="246">
        <f t="shared" si="11"/>
        <v>0</v>
      </c>
      <c r="AI37" s="246">
        <f t="shared" si="12"/>
        <v>0</v>
      </c>
      <c r="AJ37" s="246">
        <f t="shared" si="13"/>
        <v>0</v>
      </c>
      <c r="AK37" s="246">
        <f t="shared" si="14"/>
        <v>0</v>
      </c>
      <c r="AL37" s="246">
        <f t="shared" si="15"/>
        <v>0</v>
      </c>
      <c r="AM37" s="244"/>
      <c r="AN37" s="246">
        <f t="shared" si="53"/>
        <v>0</v>
      </c>
      <c r="AO37" s="246">
        <f t="shared" si="53"/>
        <v>0</v>
      </c>
      <c r="AP37" s="246">
        <f t="shared" si="53"/>
        <v>0</v>
      </c>
      <c r="AQ37" s="246">
        <f t="shared" si="53"/>
        <v>0</v>
      </c>
      <c r="AR37" s="246">
        <f t="shared" si="53"/>
        <v>0</v>
      </c>
      <c r="AS37" s="246">
        <f t="shared" si="53"/>
        <v>0</v>
      </c>
      <c r="AT37" s="246">
        <f t="shared" si="53"/>
        <v>100000</v>
      </c>
      <c r="AU37" s="246">
        <f t="shared" si="53"/>
        <v>0</v>
      </c>
      <c r="AV37" s="246">
        <f t="shared" si="53"/>
        <v>0</v>
      </c>
      <c r="AW37" s="246">
        <f t="shared" si="53"/>
        <v>0</v>
      </c>
      <c r="AX37" s="246">
        <f t="shared" si="53"/>
        <v>0</v>
      </c>
      <c r="AY37" s="246">
        <f t="shared" si="53"/>
        <v>0</v>
      </c>
      <c r="AZ37" s="246">
        <f t="shared" si="53"/>
        <v>0</v>
      </c>
      <c r="BA37" s="246">
        <f t="shared" si="53"/>
        <v>0</v>
      </c>
      <c r="BB37" s="246">
        <f t="shared" si="53"/>
        <v>0</v>
      </c>
      <c r="BD37" s="239">
        <f t="shared" si="71"/>
        <v>0</v>
      </c>
    </row>
    <row r="38" spans="1:56" s="303" customFormat="1" ht="15">
      <c r="A38" s="303" t="s">
        <v>171</v>
      </c>
      <c r="B38" s="262"/>
      <c r="C38" s="253"/>
      <c r="D38" s="238">
        <v>200000</v>
      </c>
      <c r="E38" s="303" t="s">
        <v>245</v>
      </c>
      <c r="H38" s="321"/>
      <c r="Q38" s="306">
        <v>0.25</v>
      </c>
      <c r="R38" s="306">
        <v>0.25</v>
      </c>
      <c r="S38" s="306">
        <v>0.25</v>
      </c>
      <c r="T38" s="306">
        <v>0.25</v>
      </c>
      <c r="U38" s="306">
        <f t="shared" si="0"/>
        <v>1</v>
      </c>
      <c r="X38" s="308">
        <f t="shared" si="1"/>
        <v>0</v>
      </c>
      <c r="Y38" s="308">
        <f t="shared" si="2"/>
        <v>0</v>
      </c>
      <c r="Z38" s="308">
        <f t="shared" si="3"/>
        <v>0</v>
      </c>
      <c r="AA38" s="308">
        <f t="shared" si="4"/>
        <v>0</v>
      </c>
      <c r="AB38" s="308">
        <f t="shared" si="5"/>
        <v>0</v>
      </c>
      <c r="AC38" s="308">
        <f t="shared" si="6"/>
        <v>0</v>
      </c>
      <c r="AD38" s="308">
        <f t="shared" si="7"/>
        <v>0</v>
      </c>
      <c r="AE38" s="308">
        <f t="shared" si="8"/>
        <v>0</v>
      </c>
      <c r="AF38" s="308">
        <f t="shared" si="9"/>
        <v>0</v>
      </c>
      <c r="AG38" s="308">
        <f t="shared" si="10"/>
        <v>0</v>
      </c>
      <c r="AH38" s="308">
        <f t="shared" si="11"/>
        <v>0</v>
      </c>
      <c r="AI38" s="308">
        <f t="shared" si="12"/>
        <v>50000</v>
      </c>
      <c r="AJ38" s="308">
        <f t="shared" si="13"/>
        <v>50000</v>
      </c>
      <c r="AK38" s="308">
        <f t="shared" si="14"/>
        <v>50000</v>
      </c>
      <c r="AL38" s="308">
        <f t="shared" si="15"/>
        <v>50000</v>
      </c>
      <c r="AM38" s="244"/>
      <c r="AN38" s="308">
        <f t="shared" si="53"/>
        <v>0</v>
      </c>
      <c r="AO38" s="308">
        <f t="shared" si="53"/>
        <v>0</v>
      </c>
      <c r="AP38" s="308">
        <f t="shared" si="53"/>
        <v>0</v>
      </c>
      <c r="AQ38" s="308">
        <f t="shared" si="53"/>
        <v>0</v>
      </c>
      <c r="AR38" s="308">
        <f t="shared" si="53"/>
        <v>0</v>
      </c>
      <c r="AS38" s="308">
        <f t="shared" si="53"/>
        <v>0</v>
      </c>
      <c r="AT38" s="308">
        <f t="shared" si="53"/>
        <v>0</v>
      </c>
      <c r="AU38" s="308">
        <f t="shared" si="53"/>
        <v>0</v>
      </c>
      <c r="AV38" s="308">
        <f t="shared" si="53"/>
        <v>0</v>
      </c>
      <c r="AW38" s="308">
        <f t="shared" si="53"/>
        <v>0</v>
      </c>
      <c r="AX38" s="308">
        <f t="shared" si="53"/>
        <v>0</v>
      </c>
      <c r="AY38" s="308">
        <f t="shared" si="53"/>
        <v>0</v>
      </c>
      <c r="AZ38" s="308">
        <f t="shared" si="53"/>
        <v>0</v>
      </c>
      <c r="BA38" s="308">
        <f t="shared" si="53"/>
        <v>0</v>
      </c>
      <c r="BB38" s="308">
        <f t="shared" si="53"/>
        <v>200000</v>
      </c>
      <c r="BD38" s="307">
        <f t="shared" si="71"/>
        <v>0</v>
      </c>
    </row>
    <row r="39" spans="1:56" s="303" customFormat="1" ht="15">
      <c r="A39" s="303" t="s">
        <v>172</v>
      </c>
      <c r="B39" s="262"/>
      <c r="C39" s="253"/>
      <c r="D39" s="238">
        <v>200000</v>
      </c>
      <c r="E39" s="303" t="s">
        <v>245</v>
      </c>
      <c r="H39" s="321"/>
      <c r="Q39" s="306">
        <v>0.25</v>
      </c>
      <c r="R39" s="306">
        <v>0.25</v>
      </c>
      <c r="S39" s="306">
        <v>0.25</v>
      </c>
      <c r="T39" s="306">
        <v>0.25</v>
      </c>
      <c r="U39" s="306">
        <f t="shared" si="0"/>
        <v>1</v>
      </c>
      <c r="X39" s="308">
        <f t="shared" si="1"/>
        <v>0</v>
      </c>
      <c r="Y39" s="308">
        <f t="shared" si="2"/>
        <v>0</v>
      </c>
      <c r="Z39" s="308">
        <f t="shared" si="3"/>
        <v>0</v>
      </c>
      <c r="AA39" s="308">
        <f t="shared" si="4"/>
        <v>0</v>
      </c>
      <c r="AB39" s="308">
        <f t="shared" si="5"/>
        <v>0</v>
      </c>
      <c r="AC39" s="308">
        <f t="shared" si="6"/>
        <v>0</v>
      </c>
      <c r="AD39" s="308">
        <f t="shared" si="7"/>
        <v>0</v>
      </c>
      <c r="AE39" s="308">
        <f t="shared" si="8"/>
        <v>0</v>
      </c>
      <c r="AF39" s="308">
        <f t="shared" si="9"/>
        <v>0</v>
      </c>
      <c r="AG39" s="308">
        <f t="shared" si="10"/>
        <v>0</v>
      </c>
      <c r="AH39" s="308">
        <f t="shared" si="11"/>
        <v>0</v>
      </c>
      <c r="AI39" s="308">
        <f t="shared" si="12"/>
        <v>50000</v>
      </c>
      <c r="AJ39" s="308">
        <f t="shared" si="13"/>
        <v>50000</v>
      </c>
      <c r="AK39" s="308">
        <f t="shared" si="14"/>
        <v>50000</v>
      </c>
      <c r="AL39" s="308">
        <f t="shared" si="15"/>
        <v>50000</v>
      </c>
      <c r="AM39" s="244"/>
      <c r="AN39" s="308">
        <f t="shared" si="53"/>
        <v>0</v>
      </c>
      <c r="AO39" s="308">
        <f t="shared" si="53"/>
        <v>0</v>
      </c>
      <c r="AP39" s="308">
        <f t="shared" si="53"/>
        <v>0</v>
      </c>
      <c r="AQ39" s="308">
        <f t="shared" si="53"/>
        <v>0</v>
      </c>
      <c r="AR39" s="308">
        <f t="shared" si="53"/>
        <v>0</v>
      </c>
      <c r="AS39" s="308">
        <f t="shared" si="53"/>
        <v>0</v>
      </c>
      <c r="AT39" s="308">
        <f t="shared" si="53"/>
        <v>0</v>
      </c>
      <c r="AU39" s="308">
        <f t="shared" si="53"/>
        <v>0</v>
      </c>
      <c r="AV39" s="308">
        <f t="shared" si="53"/>
        <v>0</v>
      </c>
      <c r="AW39" s="308">
        <f t="shared" si="53"/>
        <v>0</v>
      </c>
      <c r="AX39" s="308">
        <f t="shared" si="53"/>
        <v>0</v>
      </c>
      <c r="AY39" s="308">
        <f t="shared" si="53"/>
        <v>0</v>
      </c>
      <c r="AZ39" s="308">
        <f t="shared" si="53"/>
        <v>0</v>
      </c>
      <c r="BA39" s="308">
        <f t="shared" si="53"/>
        <v>0</v>
      </c>
      <c r="BB39" s="308">
        <f t="shared" si="53"/>
        <v>200000</v>
      </c>
      <c r="BD39" s="307">
        <f t="shared" si="71"/>
        <v>0</v>
      </c>
    </row>
    <row r="40" spans="1:56" s="303" customFormat="1" ht="15">
      <c r="A40" s="303" t="s">
        <v>175</v>
      </c>
      <c r="B40" s="262"/>
      <c r="C40" s="253"/>
      <c r="D40" s="330">
        <v>90000</v>
      </c>
      <c r="E40" s="303" t="s">
        <v>226</v>
      </c>
      <c r="H40" s="321"/>
      <c r="K40" s="242"/>
      <c r="L40" s="242">
        <f>1/6</f>
        <v>0.16666666666666666</v>
      </c>
      <c r="M40" s="242">
        <f>1/6</f>
        <v>0.16666666666666666</v>
      </c>
      <c r="P40" s="242">
        <f>1/6</f>
        <v>0.16666666666666666</v>
      </c>
      <c r="Q40" s="242">
        <f>1/6</f>
        <v>0.16666666666666666</v>
      </c>
      <c r="T40" s="242">
        <f>1/3</f>
        <v>0.3333333333333333</v>
      </c>
      <c r="U40" s="306">
        <f t="shared" si="0"/>
        <v>1</v>
      </c>
      <c r="X40" s="308">
        <f t="shared" si="1"/>
        <v>0</v>
      </c>
      <c r="Y40" s="308">
        <f t="shared" si="2"/>
        <v>0</v>
      </c>
      <c r="Z40" s="308">
        <f t="shared" si="3"/>
        <v>0</v>
      </c>
      <c r="AA40" s="308">
        <f t="shared" si="4"/>
        <v>0</v>
      </c>
      <c r="AB40" s="308">
        <f t="shared" si="5"/>
        <v>0</v>
      </c>
      <c r="AC40" s="308">
        <f t="shared" si="6"/>
        <v>0</v>
      </c>
      <c r="AD40" s="308">
        <f t="shared" si="7"/>
        <v>15000</v>
      </c>
      <c r="AE40" s="308">
        <f t="shared" si="8"/>
        <v>15000</v>
      </c>
      <c r="AF40" s="308">
        <f t="shared" si="9"/>
        <v>0</v>
      </c>
      <c r="AG40" s="308">
        <f t="shared" si="10"/>
        <v>0</v>
      </c>
      <c r="AH40" s="308">
        <f t="shared" si="11"/>
        <v>15000</v>
      </c>
      <c r="AI40" s="308">
        <f t="shared" si="12"/>
        <v>15000</v>
      </c>
      <c r="AJ40" s="308">
        <f t="shared" si="13"/>
        <v>0</v>
      </c>
      <c r="AK40" s="308">
        <f t="shared" si="14"/>
        <v>0</v>
      </c>
      <c r="AL40" s="308">
        <f t="shared" si="15"/>
        <v>30000</v>
      </c>
      <c r="AM40" s="244"/>
      <c r="AN40" s="308">
        <f t="shared" si="53"/>
        <v>0</v>
      </c>
      <c r="AO40" s="308">
        <f t="shared" si="53"/>
        <v>0</v>
      </c>
      <c r="AP40" s="308">
        <f t="shared" si="53"/>
        <v>0</v>
      </c>
      <c r="AQ40" s="308">
        <f t="shared" si="53"/>
        <v>0</v>
      </c>
      <c r="AR40" s="308">
        <f t="shared" si="53"/>
        <v>90000</v>
      </c>
      <c r="AS40" s="308">
        <f t="shared" si="53"/>
        <v>0</v>
      </c>
      <c r="AT40" s="308">
        <f t="shared" si="53"/>
        <v>0</v>
      </c>
      <c r="AU40" s="308">
        <f t="shared" si="53"/>
        <v>0</v>
      </c>
      <c r="AV40" s="308">
        <f t="shared" si="53"/>
        <v>0</v>
      </c>
      <c r="AW40" s="308">
        <f t="shared" si="53"/>
        <v>0</v>
      </c>
      <c r="AX40" s="308">
        <f t="shared" si="53"/>
        <v>0</v>
      </c>
      <c r="AY40" s="308">
        <f t="shared" si="53"/>
        <v>0</v>
      </c>
      <c r="AZ40" s="308">
        <f t="shared" si="53"/>
        <v>0</v>
      </c>
      <c r="BA40" s="308">
        <f t="shared" si="53"/>
        <v>0</v>
      </c>
      <c r="BB40" s="308">
        <f t="shared" si="53"/>
        <v>0</v>
      </c>
      <c r="BD40" s="307">
        <f t="shared" si="71"/>
        <v>0</v>
      </c>
    </row>
    <row r="41" spans="1:56" s="303" customFormat="1" ht="15">
      <c r="A41" s="303" t="s">
        <v>176</v>
      </c>
      <c r="B41" s="262"/>
      <c r="C41" s="253"/>
      <c r="D41" s="338">
        <v>11500</v>
      </c>
      <c r="E41" s="303" t="s">
        <v>225</v>
      </c>
      <c r="G41" s="319">
        <v>0.67</v>
      </c>
      <c r="H41" s="325">
        <v>0.33</v>
      </c>
      <c r="U41" s="306">
        <f t="shared" si="0"/>
        <v>1</v>
      </c>
      <c r="X41" s="308">
        <f t="shared" si="1"/>
        <v>0</v>
      </c>
      <c r="Y41" s="308">
        <f t="shared" si="2"/>
        <v>7705.000000000001</v>
      </c>
      <c r="Z41" s="308">
        <f t="shared" si="3"/>
        <v>3795</v>
      </c>
      <c r="AA41" s="308">
        <f t="shared" si="4"/>
        <v>0</v>
      </c>
      <c r="AB41" s="308">
        <f t="shared" si="5"/>
        <v>0</v>
      </c>
      <c r="AC41" s="308">
        <f t="shared" si="6"/>
        <v>0</v>
      </c>
      <c r="AD41" s="308">
        <f t="shared" si="7"/>
        <v>0</v>
      </c>
      <c r="AE41" s="308">
        <f t="shared" si="8"/>
        <v>0</v>
      </c>
      <c r="AF41" s="308">
        <f t="shared" si="9"/>
        <v>0</v>
      </c>
      <c r="AG41" s="308">
        <f t="shared" si="10"/>
        <v>0</v>
      </c>
      <c r="AH41" s="308">
        <f t="shared" si="11"/>
        <v>0</v>
      </c>
      <c r="AI41" s="308">
        <f t="shared" si="12"/>
        <v>0</v>
      </c>
      <c r="AJ41" s="308">
        <f t="shared" si="13"/>
        <v>0</v>
      </c>
      <c r="AK41" s="308">
        <f t="shared" si="14"/>
        <v>0</v>
      </c>
      <c r="AL41" s="308">
        <f t="shared" si="15"/>
        <v>0</v>
      </c>
      <c r="AM41" s="244"/>
      <c r="AN41" s="308">
        <f t="shared" si="53"/>
        <v>0</v>
      </c>
      <c r="AO41" s="308">
        <f t="shared" si="53"/>
        <v>11500</v>
      </c>
      <c r="AP41" s="308">
        <f t="shared" si="53"/>
        <v>0</v>
      </c>
      <c r="AQ41" s="308">
        <f t="shared" si="53"/>
        <v>0</v>
      </c>
      <c r="AR41" s="308">
        <f t="shared" si="53"/>
        <v>0</v>
      </c>
      <c r="AS41" s="308">
        <f t="shared" si="53"/>
        <v>0</v>
      </c>
      <c r="AT41" s="308">
        <f t="shared" si="53"/>
        <v>0</v>
      </c>
      <c r="AU41" s="308">
        <f t="shared" si="53"/>
        <v>0</v>
      </c>
      <c r="AV41" s="308">
        <f t="shared" si="53"/>
        <v>0</v>
      </c>
      <c r="AW41" s="308">
        <f t="shared" si="53"/>
        <v>0</v>
      </c>
      <c r="AX41" s="308">
        <f t="shared" si="53"/>
        <v>0</v>
      </c>
      <c r="AY41" s="308">
        <f t="shared" si="53"/>
        <v>0</v>
      </c>
      <c r="AZ41" s="308">
        <f t="shared" si="53"/>
        <v>0</v>
      </c>
      <c r="BA41" s="308">
        <f t="shared" si="53"/>
        <v>0</v>
      </c>
      <c r="BB41" s="308">
        <f t="shared" si="53"/>
        <v>0</v>
      </c>
      <c r="BD41" s="307">
        <f t="shared" si="71"/>
        <v>0</v>
      </c>
    </row>
    <row r="42" spans="2:56" s="303" customFormat="1" ht="15">
      <c r="B42" s="262"/>
      <c r="C42" s="253"/>
      <c r="D42" s="238"/>
      <c r="H42" s="321"/>
      <c r="Q42" s="306"/>
      <c r="R42" s="306"/>
      <c r="S42" s="306"/>
      <c r="T42" s="306"/>
      <c r="U42" s="306"/>
      <c r="X42" s="308"/>
      <c r="Y42" s="308"/>
      <c r="Z42" s="308"/>
      <c r="AA42" s="308"/>
      <c r="AB42" s="308"/>
      <c r="AC42" s="308"/>
      <c r="AD42" s="308"/>
      <c r="AE42" s="308"/>
      <c r="AF42" s="308"/>
      <c r="AG42" s="308"/>
      <c r="AH42" s="308"/>
      <c r="AI42" s="308"/>
      <c r="AJ42" s="308"/>
      <c r="AK42" s="308"/>
      <c r="AL42" s="308"/>
      <c r="AM42" s="244"/>
      <c r="AN42" s="308"/>
      <c r="AO42" s="308"/>
      <c r="AP42" s="308"/>
      <c r="AQ42" s="308"/>
      <c r="AR42" s="308"/>
      <c r="AS42" s="308"/>
      <c r="AT42" s="308"/>
      <c r="AU42" s="308"/>
      <c r="AV42" s="308"/>
      <c r="AW42" s="308"/>
      <c r="AX42" s="308"/>
      <c r="AY42" s="308"/>
      <c r="AZ42" s="308"/>
      <c r="BA42" s="308"/>
      <c r="BB42" s="308"/>
      <c r="BD42" s="307"/>
    </row>
    <row r="43" spans="2:56" ht="15">
      <c r="B43" s="241"/>
      <c r="D43" s="238"/>
      <c r="V43" s="303"/>
      <c r="W43" s="303"/>
      <c r="X43" s="246">
        <f aca="true" t="shared" si="72" ref="X43">F43*$D43</f>
        <v>0</v>
      </c>
      <c r="Y43" s="246">
        <f aca="true" t="shared" si="73" ref="Y43">G43*$D43</f>
        <v>0</v>
      </c>
      <c r="Z43" s="246">
        <f aca="true" t="shared" si="74" ref="Z43">H43*$D43</f>
        <v>0</v>
      </c>
      <c r="AA43" s="246">
        <f aca="true" t="shared" si="75" ref="AA43">I43*$D43</f>
        <v>0</v>
      </c>
      <c r="AB43" s="246">
        <f aca="true" t="shared" si="76" ref="AB43">J43*$D43</f>
        <v>0</v>
      </c>
      <c r="AC43" s="246">
        <f aca="true" t="shared" si="77" ref="AC43">K43*$D43</f>
        <v>0</v>
      </c>
      <c r="AD43" s="246">
        <f aca="true" t="shared" si="78" ref="AD43">L43*$D43</f>
        <v>0</v>
      </c>
      <c r="AE43" s="246">
        <f aca="true" t="shared" si="79" ref="AE43">M43*$D43</f>
        <v>0</v>
      </c>
      <c r="AF43" s="246">
        <f aca="true" t="shared" si="80" ref="AF43">N43*$D43</f>
        <v>0</v>
      </c>
      <c r="AG43" s="246">
        <f aca="true" t="shared" si="81" ref="AG43">O43*$D43</f>
        <v>0</v>
      </c>
      <c r="AH43" s="246">
        <f aca="true" t="shared" si="82" ref="AH43">P43*$D43</f>
        <v>0</v>
      </c>
      <c r="AI43" s="246">
        <f aca="true" t="shared" si="83" ref="AI43">Q43*$D43</f>
        <v>0</v>
      </c>
      <c r="AJ43" s="246">
        <f aca="true" t="shared" si="84" ref="AJ43">R43*$D43</f>
        <v>0</v>
      </c>
      <c r="AK43" s="246">
        <f aca="true" t="shared" si="85" ref="AK43">S43*$D43</f>
        <v>0</v>
      </c>
      <c r="AL43" s="246">
        <f aca="true" t="shared" si="86" ref="AL43">T43*$D43</f>
        <v>0</v>
      </c>
      <c r="AM43" s="244"/>
      <c r="AN43" s="246">
        <f aca="true" t="shared" si="87" ref="AN43:BB43">IF(AN$3=$E43,$D43,0)</f>
        <v>0</v>
      </c>
      <c r="AO43" s="246">
        <f t="shared" si="87"/>
        <v>0</v>
      </c>
      <c r="AP43" s="246">
        <f t="shared" si="87"/>
        <v>0</v>
      </c>
      <c r="AQ43" s="246">
        <f t="shared" si="87"/>
        <v>0</v>
      </c>
      <c r="AR43" s="246">
        <f t="shared" si="87"/>
        <v>0</v>
      </c>
      <c r="AS43" s="246">
        <f t="shared" si="87"/>
        <v>0</v>
      </c>
      <c r="AT43" s="246">
        <f t="shared" si="87"/>
        <v>0</v>
      </c>
      <c r="AU43" s="246">
        <f t="shared" si="87"/>
        <v>0</v>
      </c>
      <c r="AV43" s="246">
        <f t="shared" si="87"/>
        <v>0</v>
      </c>
      <c r="AW43" s="246">
        <f t="shared" si="87"/>
        <v>0</v>
      </c>
      <c r="AX43" s="246">
        <f t="shared" si="87"/>
        <v>0</v>
      </c>
      <c r="AY43" s="246">
        <f t="shared" si="87"/>
        <v>0</v>
      </c>
      <c r="AZ43" s="246">
        <f t="shared" si="87"/>
        <v>0</v>
      </c>
      <c r="BA43" s="246">
        <f t="shared" si="87"/>
        <v>0</v>
      </c>
      <c r="BB43" s="246">
        <f t="shared" si="87"/>
        <v>0</v>
      </c>
      <c r="BD43" s="239">
        <f aca="true" t="shared" si="88" ref="BD43:BD59">SUM(X43:AL43)-SUM(AN43:BB43)</f>
        <v>0</v>
      </c>
    </row>
    <row r="44" spans="4:56" ht="15">
      <c r="D44" t="s">
        <v>195</v>
      </c>
      <c r="F44" t="s">
        <v>178</v>
      </c>
      <c r="G44" t="s">
        <v>182</v>
      </c>
      <c r="H44" s="321" t="s">
        <v>183</v>
      </c>
      <c r="I44" t="s">
        <v>184</v>
      </c>
      <c r="J44" t="s">
        <v>185</v>
      </c>
      <c r="K44" t="s">
        <v>186</v>
      </c>
      <c r="L44" t="s">
        <v>187</v>
      </c>
      <c r="M44" t="s">
        <v>188</v>
      </c>
      <c r="N44" t="s">
        <v>189</v>
      </c>
      <c r="O44" t="s">
        <v>190</v>
      </c>
      <c r="P44" t="s">
        <v>191</v>
      </c>
      <c r="Q44" t="s">
        <v>192</v>
      </c>
      <c r="R44" t="s">
        <v>193</v>
      </c>
      <c r="S44" t="s">
        <v>194</v>
      </c>
      <c r="T44" t="s">
        <v>196</v>
      </c>
      <c r="U44" t="s">
        <v>195</v>
      </c>
      <c r="V44" s="303"/>
      <c r="W44" s="303"/>
      <c r="X44" s="246"/>
      <c r="Y44" s="246"/>
      <c r="Z44" s="246"/>
      <c r="AA44" s="246"/>
      <c r="AB44" s="246"/>
      <c r="AC44" s="246"/>
      <c r="AD44" s="246"/>
      <c r="AE44" s="246"/>
      <c r="AF44" s="246"/>
      <c r="AG44" s="246"/>
      <c r="AH44" s="246"/>
      <c r="AI44" s="246"/>
      <c r="AJ44" s="246"/>
      <c r="AK44" s="246"/>
      <c r="AL44" s="246"/>
      <c r="AM44" s="244"/>
      <c r="AN44" s="244"/>
      <c r="AO44" s="244"/>
      <c r="AP44" s="244"/>
      <c r="AQ44" s="244"/>
      <c r="AR44" s="244"/>
      <c r="AS44" s="244"/>
      <c r="AT44" s="244"/>
      <c r="AU44" s="244"/>
      <c r="AV44" s="244"/>
      <c r="AW44" s="244"/>
      <c r="AX44" s="244"/>
      <c r="AY44" s="244"/>
      <c r="AZ44" s="244"/>
      <c r="BA44" s="244"/>
      <c r="BB44" s="244"/>
      <c r="BD44" s="239">
        <f t="shared" si="88"/>
        <v>0</v>
      </c>
    </row>
    <row r="45" spans="1:56" ht="15">
      <c r="A45" s="240" t="s">
        <v>222</v>
      </c>
      <c r="B45" s="240"/>
      <c r="D45" s="238"/>
      <c r="V45" s="303"/>
      <c r="W45" s="303"/>
      <c r="X45" s="257"/>
      <c r="Y45" s="246"/>
      <c r="Z45" s="246"/>
      <c r="AA45" s="246"/>
      <c r="AB45" s="246"/>
      <c r="AC45" s="246"/>
      <c r="AD45" s="246"/>
      <c r="AE45" s="246"/>
      <c r="AF45" s="246"/>
      <c r="AG45" s="246"/>
      <c r="AH45" s="246"/>
      <c r="AI45" s="246"/>
      <c r="AJ45" s="246"/>
      <c r="AK45" s="246"/>
      <c r="AL45" s="246"/>
      <c r="AM45" s="244"/>
      <c r="AN45" s="243" t="s">
        <v>178</v>
      </c>
      <c r="AO45" s="243" t="s">
        <v>182</v>
      </c>
      <c r="AP45" s="243" t="s">
        <v>183</v>
      </c>
      <c r="AQ45" s="243" t="s">
        <v>184</v>
      </c>
      <c r="AR45" s="243" t="s">
        <v>178</v>
      </c>
      <c r="AS45" s="243" t="s">
        <v>182</v>
      </c>
      <c r="AT45" s="243" t="s">
        <v>183</v>
      </c>
      <c r="AU45" s="243" t="s">
        <v>184</v>
      </c>
      <c r="AV45" s="243" t="s">
        <v>178</v>
      </c>
      <c r="AW45" s="243" t="s">
        <v>182</v>
      </c>
      <c r="AX45" s="243" t="s">
        <v>183</v>
      </c>
      <c r="AY45" s="243" t="s">
        <v>184</v>
      </c>
      <c r="AZ45" s="243" t="s">
        <v>178</v>
      </c>
      <c r="BA45" s="243" t="s">
        <v>182</v>
      </c>
      <c r="BB45" s="243" t="s">
        <v>183</v>
      </c>
      <c r="BD45" s="239">
        <f t="shared" si="88"/>
        <v>0</v>
      </c>
    </row>
    <row r="46" spans="1:56" ht="15">
      <c r="A46" t="s">
        <v>163</v>
      </c>
      <c r="B46" s="251"/>
      <c r="D46" s="238">
        <f aca="true" t="shared" si="89" ref="D46:D52">SUM(F46:T46)</f>
        <v>121400</v>
      </c>
      <c r="E46" t="s">
        <v>225</v>
      </c>
      <c r="F46" s="303"/>
      <c r="G46" s="310">
        <v>4400</v>
      </c>
      <c r="H46" s="326">
        <v>9000</v>
      </c>
      <c r="I46" s="310">
        <v>9000</v>
      </c>
      <c r="J46" s="310">
        <v>9000</v>
      </c>
      <c r="K46" s="310">
        <v>9000</v>
      </c>
      <c r="L46" s="310">
        <v>9000</v>
      </c>
      <c r="M46" s="310">
        <v>9000</v>
      </c>
      <c r="N46" s="310">
        <v>9000</v>
      </c>
      <c r="O46" s="310">
        <v>9000</v>
      </c>
      <c r="P46" s="310">
        <v>9000</v>
      </c>
      <c r="Q46" s="310">
        <v>9000</v>
      </c>
      <c r="R46" s="310">
        <v>9000</v>
      </c>
      <c r="S46" s="310">
        <v>9000</v>
      </c>
      <c r="T46" s="310">
        <v>9000</v>
      </c>
      <c r="U46" s="310">
        <f>SUM(F46:T46)</f>
        <v>121400</v>
      </c>
      <c r="V46" s="303"/>
      <c r="W46" s="303"/>
      <c r="X46" s="257">
        <f aca="true" t="shared" si="90" ref="X46:X55">F46</f>
        <v>0</v>
      </c>
      <c r="Y46" s="246">
        <f aca="true" t="shared" si="91" ref="Y46:AL55">G46</f>
        <v>4400</v>
      </c>
      <c r="Z46" s="246">
        <f t="shared" si="91"/>
        <v>9000</v>
      </c>
      <c r="AA46" s="246">
        <f t="shared" si="91"/>
        <v>9000</v>
      </c>
      <c r="AB46" s="246">
        <f t="shared" si="91"/>
        <v>9000</v>
      </c>
      <c r="AC46" s="246">
        <f t="shared" si="91"/>
        <v>9000</v>
      </c>
      <c r="AD46" s="246">
        <f t="shared" si="91"/>
        <v>9000</v>
      </c>
      <c r="AE46" s="246">
        <f t="shared" si="91"/>
        <v>9000</v>
      </c>
      <c r="AF46" s="246">
        <f t="shared" si="91"/>
        <v>9000</v>
      </c>
      <c r="AG46" s="246">
        <f t="shared" si="91"/>
        <v>9000</v>
      </c>
      <c r="AH46" s="246">
        <f t="shared" si="91"/>
        <v>9000</v>
      </c>
      <c r="AI46" s="246">
        <f t="shared" si="91"/>
        <v>9000</v>
      </c>
      <c r="AJ46" s="246">
        <f t="shared" si="91"/>
        <v>9000</v>
      </c>
      <c r="AK46" s="246">
        <f t="shared" si="91"/>
        <v>9000</v>
      </c>
      <c r="AL46" s="246">
        <f t="shared" si="91"/>
        <v>9000</v>
      </c>
      <c r="AM46" s="244"/>
      <c r="AN46" s="246">
        <f>IF(AN$45=$E46,SUM(X46:AA46),0)</f>
        <v>0</v>
      </c>
      <c r="AO46" s="246">
        <f aca="true" t="shared" si="92" ref="AO46:AY55">IF(AO$45=$E46,SUM(Y46:AB46),0)</f>
        <v>31400</v>
      </c>
      <c r="AP46" s="246">
        <f t="shared" si="92"/>
        <v>0</v>
      </c>
      <c r="AQ46" s="246">
        <f t="shared" si="92"/>
        <v>0</v>
      </c>
      <c r="AR46" s="246">
        <f t="shared" si="92"/>
        <v>0</v>
      </c>
      <c r="AS46" s="246">
        <f t="shared" si="92"/>
        <v>36000</v>
      </c>
      <c r="AT46" s="246">
        <f t="shared" si="92"/>
        <v>0</v>
      </c>
      <c r="AU46" s="246">
        <f t="shared" si="92"/>
        <v>0</v>
      </c>
      <c r="AV46" s="246">
        <f t="shared" si="92"/>
        <v>0</v>
      </c>
      <c r="AW46" s="246">
        <f t="shared" si="92"/>
        <v>36000</v>
      </c>
      <c r="AX46" s="246">
        <f t="shared" si="92"/>
        <v>0</v>
      </c>
      <c r="AY46" s="246">
        <f t="shared" si="92"/>
        <v>0</v>
      </c>
      <c r="AZ46" s="246">
        <f>IF(AZ$45=$E46,SUM(AJ46:$AL46),0)</f>
        <v>0</v>
      </c>
      <c r="BA46" s="246">
        <f>IF(BA$45=$E46,SUM(AK46:$AL46),0)</f>
        <v>18000</v>
      </c>
      <c r="BB46" s="246">
        <f>IF(BB$45=$E46,SUM(AL46:$AL46),0)</f>
        <v>0</v>
      </c>
      <c r="BD46" s="239">
        <f t="shared" si="88"/>
        <v>0</v>
      </c>
    </row>
    <row r="47" spans="1:56" ht="15">
      <c r="A47" t="s">
        <v>163</v>
      </c>
      <c r="B47" s="251"/>
      <c r="D47" s="238">
        <f>1500*12</f>
        <v>18000</v>
      </c>
      <c r="E47" t="s">
        <v>229</v>
      </c>
      <c r="F47" s="303"/>
      <c r="G47" s="303">
        <v>0</v>
      </c>
      <c r="H47" s="326">
        <v>0</v>
      </c>
      <c r="I47" s="310">
        <v>3000</v>
      </c>
      <c r="J47" s="310">
        <v>4500</v>
      </c>
      <c r="K47" s="310">
        <v>4500</v>
      </c>
      <c r="L47" s="310">
        <v>4500</v>
      </c>
      <c r="M47" s="310">
        <v>4500</v>
      </c>
      <c r="N47" s="310">
        <v>4500</v>
      </c>
      <c r="O47" s="310">
        <v>4500</v>
      </c>
      <c r="P47" s="310">
        <v>4500</v>
      </c>
      <c r="Q47" s="310">
        <v>4500</v>
      </c>
      <c r="R47" s="310">
        <v>4500</v>
      </c>
      <c r="S47" s="310">
        <v>4500</v>
      </c>
      <c r="T47" s="310">
        <v>4500</v>
      </c>
      <c r="U47" s="310">
        <f aca="true" t="shared" si="93" ref="U47:U59">SUM(F47:T47)</f>
        <v>52500</v>
      </c>
      <c r="V47" s="303"/>
      <c r="W47" s="303"/>
      <c r="X47" s="257">
        <f t="shared" si="90"/>
        <v>0</v>
      </c>
      <c r="Y47" s="246">
        <f t="shared" si="91"/>
        <v>0</v>
      </c>
      <c r="Z47" s="246">
        <f t="shared" si="91"/>
        <v>0</v>
      </c>
      <c r="AA47" s="246">
        <f t="shared" si="91"/>
        <v>3000</v>
      </c>
      <c r="AB47" s="246">
        <f t="shared" si="91"/>
        <v>4500</v>
      </c>
      <c r="AC47" s="246">
        <f t="shared" si="91"/>
        <v>4500</v>
      </c>
      <c r="AD47" s="246">
        <f t="shared" si="91"/>
        <v>4500</v>
      </c>
      <c r="AE47" s="246">
        <f t="shared" si="91"/>
        <v>4500</v>
      </c>
      <c r="AF47" s="246">
        <f t="shared" si="91"/>
        <v>4500</v>
      </c>
      <c r="AG47" s="246">
        <f t="shared" si="91"/>
        <v>4500</v>
      </c>
      <c r="AH47" s="246">
        <f t="shared" si="91"/>
        <v>4500</v>
      </c>
      <c r="AI47" s="246">
        <f t="shared" si="91"/>
        <v>4500</v>
      </c>
      <c r="AJ47" s="246">
        <f t="shared" si="91"/>
        <v>4500</v>
      </c>
      <c r="AK47" s="246">
        <f t="shared" si="91"/>
        <v>4500</v>
      </c>
      <c r="AL47" s="246">
        <f t="shared" si="91"/>
        <v>4500</v>
      </c>
      <c r="AM47" s="244"/>
      <c r="AN47" s="246">
        <f aca="true" t="shared" si="94" ref="AN47:AN55">IF(AN$45=$E47,SUM(X47:AA47),0)</f>
        <v>0</v>
      </c>
      <c r="AO47" s="246">
        <f t="shared" si="92"/>
        <v>0</v>
      </c>
      <c r="AP47" s="246">
        <f t="shared" si="92"/>
        <v>0</v>
      </c>
      <c r="AQ47" s="246">
        <f>1500*12</f>
        <v>18000</v>
      </c>
      <c r="AR47" s="246">
        <f t="shared" si="92"/>
        <v>0</v>
      </c>
      <c r="AS47" s="246">
        <f t="shared" si="92"/>
        <v>0</v>
      </c>
      <c r="AT47" s="246">
        <f t="shared" si="92"/>
        <v>0</v>
      </c>
      <c r="AU47" s="246">
        <f t="shared" si="92"/>
        <v>18000</v>
      </c>
      <c r="AV47" s="246">
        <f t="shared" si="92"/>
        <v>0</v>
      </c>
      <c r="AW47" s="246">
        <f t="shared" si="92"/>
        <v>0</v>
      </c>
      <c r="AX47" s="246">
        <f t="shared" si="92"/>
        <v>0</v>
      </c>
      <c r="AY47" s="246">
        <f t="shared" si="92"/>
        <v>18000</v>
      </c>
      <c r="AZ47" s="246">
        <f>IF(AZ$45=$E47,SUM(AJ47:$AL47),0)</f>
        <v>0</v>
      </c>
      <c r="BA47" s="246">
        <f>IF(BA$45=$E47,SUM(AK47:$AL47),0)</f>
        <v>0</v>
      </c>
      <c r="BB47" s="246">
        <f>IF(BB$45=$E47,SUM(AL47:$AL47),0)</f>
        <v>0</v>
      </c>
      <c r="BD47" s="239">
        <f t="shared" si="88"/>
        <v>-1500</v>
      </c>
    </row>
    <row r="48" spans="1:56" ht="15">
      <c r="A48" t="s">
        <v>173</v>
      </c>
      <c r="B48" s="262"/>
      <c r="D48" s="238">
        <f t="shared" si="89"/>
        <v>181000</v>
      </c>
      <c r="E48" t="s">
        <v>227</v>
      </c>
      <c r="F48" s="310">
        <v>10000</v>
      </c>
      <c r="G48" s="310">
        <f>15000</f>
        <v>15000</v>
      </c>
      <c r="H48" s="326">
        <v>12000</v>
      </c>
      <c r="I48" s="310">
        <v>12000</v>
      </c>
      <c r="J48" s="310">
        <v>12000</v>
      </c>
      <c r="K48" s="310">
        <v>12000</v>
      </c>
      <c r="L48" s="310">
        <v>12000</v>
      </c>
      <c r="M48" s="310">
        <v>12000</v>
      </c>
      <c r="N48" s="310">
        <v>12000</v>
      </c>
      <c r="O48" s="310">
        <v>12000</v>
      </c>
      <c r="P48" s="310">
        <v>12000</v>
      </c>
      <c r="Q48" s="310">
        <v>12000</v>
      </c>
      <c r="R48" s="310">
        <v>12000</v>
      </c>
      <c r="S48" s="310">
        <v>12000</v>
      </c>
      <c r="T48" s="310">
        <v>12000</v>
      </c>
      <c r="U48" s="310">
        <f t="shared" si="93"/>
        <v>181000</v>
      </c>
      <c r="V48" s="303"/>
      <c r="W48" s="303"/>
      <c r="X48" s="257">
        <f t="shared" si="90"/>
        <v>10000</v>
      </c>
      <c r="Y48" s="246">
        <f t="shared" si="91"/>
        <v>15000</v>
      </c>
      <c r="Z48" s="246">
        <f t="shared" si="91"/>
        <v>12000</v>
      </c>
      <c r="AA48" s="246">
        <f t="shared" si="91"/>
        <v>12000</v>
      </c>
      <c r="AB48" s="246">
        <f t="shared" si="91"/>
        <v>12000</v>
      </c>
      <c r="AC48" s="246">
        <f t="shared" si="91"/>
        <v>12000</v>
      </c>
      <c r="AD48" s="246">
        <f t="shared" si="91"/>
        <v>12000</v>
      </c>
      <c r="AE48" s="246">
        <f t="shared" si="91"/>
        <v>12000</v>
      </c>
      <c r="AF48" s="246">
        <f t="shared" si="91"/>
        <v>12000</v>
      </c>
      <c r="AG48" s="246">
        <f t="shared" si="91"/>
        <v>12000</v>
      </c>
      <c r="AH48" s="246">
        <f t="shared" si="91"/>
        <v>12000</v>
      </c>
      <c r="AI48" s="246">
        <f t="shared" si="91"/>
        <v>12000</v>
      </c>
      <c r="AJ48" s="246">
        <f t="shared" si="91"/>
        <v>12000</v>
      </c>
      <c r="AK48" s="246">
        <f t="shared" si="91"/>
        <v>12000</v>
      </c>
      <c r="AL48" s="246">
        <f t="shared" si="91"/>
        <v>12000</v>
      </c>
      <c r="AM48" s="244"/>
      <c r="AN48" s="246">
        <f t="shared" si="94"/>
        <v>49000</v>
      </c>
      <c r="AO48" s="246">
        <f t="shared" si="92"/>
        <v>0</v>
      </c>
      <c r="AP48" s="246">
        <f t="shared" si="92"/>
        <v>0</v>
      </c>
      <c r="AQ48" s="246">
        <f t="shared" si="92"/>
        <v>0</v>
      </c>
      <c r="AR48" s="246">
        <f t="shared" si="92"/>
        <v>48000</v>
      </c>
      <c r="AS48" s="246">
        <f t="shared" si="92"/>
        <v>0</v>
      </c>
      <c r="AT48" s="246">
        <f t="shared" si="92"/>
        <v>0</v>
      </c>
      <c r="AU48" s="246">
        <f t="shared" si="92"/>
        <v>0</v>
      </c>
      <c r="AV48" s="246">
        <f t="shared" si="92"/>
        <v>48000</v>
      </c>
      <c r="AW48" s="246">
        <f t="shared" si="92"/>
        <v>0</v>
      </c>
      <c r="AX48" s="246">
        <f t="shared" si="92"/>
        <v>0</v>
      </c>
      <c r="AY48" s="246">
        <f t="shared" si="92"/>
        <v>0</v>
      </c>
      <c r="AZ48" s="246">
        <f>IF(AZ$45=$E48,SUM(AJ48:$AL48),0)</f>
        <v>36000</v>
      </c>
      <c r="BA48" s="246">
        <f>IF(BA$45=$E48,SUM(AK48:$AL48),0)</f>
        <v>0</v>
      </c>
      <c r="BB48" s="246">
        <f>IF(BB$45=$E48,SUM(AL48:$AL48),0)</f>
        <v>0</v>
      </c>
      <c r="BD48" s="239">
        <f t="shared" si="88"/>
        <v>0</v>
      </c>
    </row>
    <row r="49" spans="1:56" ht="15">
      <c r="A49" t="s">
        <v>173</v>
      </c>
      <c r="B49" s="262"/>
      <c r="D49" s="238">
        <v>15375</v>
      </c>
      <c r="E49" t="s">
        <v>197</v>
      </c>
      <c r="F49" s="303"/>
      <c r="G49" s="310">
        <v>0</v>
      </c>
      <c r="H49" s="326">
        <f>3000</f>
        <v>3000</v>
      </c>
      <c r="I49" s="310">
        <v>4500</v>
      </c>
      <c r="J49" s="310">
        <v>4500</v>
      </c>
      <c r="K49" s="310">
        <v>4500</v>
      </c>
      <c r="L49" s="310">
        <v>4500</v>
      </c>
      <c r="M49" s="310">
        <v>4500</v>
      </c>
      <c r="N49" s="310">
        <v>4500</v>
      </c>
      <c r="O49" s="310">
        <v>4500</v>
      </c>
      <c r="P49" s="310">
        <v>4500</v>
      </c>
      <c r="Q49" s="310">
        <v>4500</v>
      </c>
      <c r="R49" s="310">
        <v>4500</v>
      </c>
      <c r="S49" s="310">
        <v>4500</v>
      </c>
      <c r="T49" s="310">
        <v>4500</v>
      </c>
      <c r="U49" s="310">
        <f t="shared" si="93"/>
        <v>57000</v>
      </c>
      <c r="V49" s="303"/>
      <c r="W49" s="303"/>
      <c r="X49" s="257">
        <f t="shared" si="90"/>
        <v>0</v>
      </c>
      <c r="Y49" s="246">
        <f t="shared" si="91"/>
        <v>0</v>
      </c>
      <c r="Z49" s="246">
        <f t="shared" si="91"/>
        <v>3000</v>
      </c>
      <c r="AA49" s="246">
        <f t="shared" si="91"/>
        <v>4500</v>
      </c>
      <c r="AB49" s="246">
        <f t="shared" si="91"/>
        <v>4500</v>
      </c>
      <c r="AC49" s="246">
        <f t="shared" si="91"/>
        <v>4500</v>
      </c>
      <c r="AD49" s="246">
        <f t="shared" si="91"/>
        <v>4500</v>
      </c>
      <c r="AE49" s="246">
        <f t="shared" si="91"/>
        <v>4500</v>
      </c>
      <c r="AF49" s="246">
        <f t="shared" si="91"/>
        <v>4500</v>
      </c>
      <c r="AG49" s="246">
        <f t="shared" si="91"/>
        <v>4500</v>
      </c>
      <c r="AH49" s="246">
        <f t="shared" si="91"/>
        <v>4500</v>
      </c>
      <c r="AI49" s="246">
        <f t="shared" si="91"/>
        <v>4500</v>
      </c>
      <c r="AJ49" s="246">
        <f t="shared" si="91"/>
        <v>4500</v>
      </c>
      <c r="AK49" s="246">
        <f t="shared" si="91"/>
        <v>4500</v>
      </c>
      <c r="AL49" s="246">
        <f t="shared" si="91"/>
        <v>4500</v>
      </c>
      <c r="AM49" s="244"/>
      <c r="AN49" s="246">
        <f t="shared" si="94"/>
        <v>0</v>
      </c>
      <c r="AO49" s="246">
        <f t="shared" si="92"/>
        <v>0</v>
      </c>
      <c r="AP49" s="246">
        <f>IF(AP$45=$E49,SUM(Z49:AC49),0)</f>
        <v>16500</v>
      </c>
      <c r="AQ49" s="246">
        <f t="shared" si="92"/>
        <v>0</v>
      </c>
      <c r="AR49" s="246">
        <f t="shared" si="92"/>
        <v>0</v>
      </c>
      <c r="AS49" s="246">
        <f t="shared" si="92"/>
        <v>0</v>
      </c>
      <c r="AT49" s="246">
        <f t="shared" si="92"/>
        <v>18000</v>
      </c>
      <c r="AU49" s="246">
        <f t="shared" si="92"/>
        <v>0</v>
      </c>
      <c r="AV49" s="246">
        <f t="shared" si="92"/>
        <v>0</v>
      </c>
      <c r="AW49" s="246">
        <f t="shared" si="92"/>
        <v>0</v>
      </c>
      <c r="AX49" s="246">
        <f t="shared" si="92"/>
        <v>18000</v>
      </c>
      <c r="AY49" s="246">
        <f t="shared" si="92"/>
        <v>0</v>
      </c>
      <c r="AZ49" s="246">
        <f>IF(AZ$45=$E49,SUM(AJ49:$AL49),0)</f>
        <v>0</v>
      </c>
      <c r="BA49" s="246">
        <f>IF(BA$45=$E49,SUM(AK49:$AL49),0)</f>
        <v>0</v>
      </c>
      <c r="BB49" s="246">
        <f>IF(BB$45=$E49,SUM(AL49:$AL49),0)</f>
        <v>4500</v>
      </c>
      <c r="BD49" s="239">
        <f t="shared" si="88"/>
        <v>0</v>
      </c>
    </row>
    <row r="50" spans="1:56" ht="15">
      <c r="A50" t="s">
        <v>173</v>
      </c>
      <c r="B50" s="262"/>
      <c r="D50" s="238">
        <f t="shared" si="89"/>
        <v>147000</v>
      </c>
      <c r="E50" t="s">
        <v>225</v>
      </c>
      <c r="G50" s="310">
        <v>10500</v>
      </c>
      <c r="H50" s="326">
        <f>3500*3</f>
        <v>10500</v>
      </c>
      <c r="I50" s="310">
        <v>10500</v>
      </c>
      <c r="J50" s="310">
        <v>10500</v>
      </c>
      <c r="K50" s="310">
        <v>10500</v>
      </c>
      <c r="L50" s="310">
        <v>10500</v>
      </c>
      <c r="M50" s="310">
        <v>10500</v>
      </c>
      <c r="N50" s="310">
        <v>10500</v>
      </c>
      <c r="O50" s="310">
        <v>10500</v>
      </c>
      <c r="P50" s="310">
        <v>10500</v>
      </c>
      <c r="Q50" s="310">
        <v>10500</v>
      </c>
      <c r="R50" s="310">
        <v>10500</v>
      </c>
      <c r="S50" s="310">
        <v>10500</v>
      </c>
      <c r="T50" s="310">
        <v>10500</v>
      </c>
      <c r="U50" s="310">
        <f t="shared" si="93"/>
        <v>147000</v>
      </c>
      <c r="V50" s="303"/>
      <c r="W50" s="303"/>
      <c r="X50" s="257">
        <f t="shared" si="90"/>
        <v>0</v>
      </c>
      <c r="Y50" s="246">
        <f t="shared" si="91"/>
        <v>10500</v>
      </c>
      <c r="Z50" s="246">
        <f t="shared" si="91"/>
        <v>10500</v>
      </c>
      <c r="AA50" s="246">
        <f t="shared" si="91"/>
        <v>10500</v>
      </c>
      <c r="AB50" s="246">
        <f t="shared" si="91"/>
        <v>10500</v>
      </c>
      <c r="AC50" s="246">
        <f t="shared" si="91"/>
        <v>10500</v>
      </c>
      <c r="AD50" s="246">
        <f t="shared" si="91"/>
        <v>10500</v>
      </c>
      <c r="AE50" s="246">
        <f t="shared" si="91"/>
        <v>10500</v>
      </c>
      <c r="AF50" s="246">
        <f t="shared" si="91"/>
        <v>10500</v>
      </c>
      <c r="AG50" s="246">
        <f t="shared" si="91"/>
        <v>10500</v>
      </c>
      <c r="AH50" s="246">
        <f t="shared" si="91"/>
        <v>10500</v>
      </c>
      <c r="AI50" s="246">
        <f t="shared" si="91"/>
        <v>10500</v>
      </c>
      <c r="AJ50" s="246">
        <f t="shared" si="91"/>
        <v>10500</v>
      </c>
      <c r="AK50" s="246">
        <f t="shared" si="91"/>
        <v>10500</v>
      </c>
      <c r="AL50" s="246">
        <f t="shared" si="91"/>
        <v>10500</v>
      </c>
      <c r="AM50" s="244"/>
      <c r="AN50" s="246">
        <f t="shared" si="94"/>
        <v>0</v>
      </c>
      <c r="AO50" s="246">
        <f t="shared" si="92"/>
        <v>42000</v>
      </c>
      <c r="AP50" s="246">
        <f t="shared" si="92"/>
        <v>0</v>
      </c>
      <c r="AQ50" s="246">
        <f t="shared" si="92"/>
        <v>0</v>
      </c>
      <c r="AR50" s="246">
        <f t="shared" si="92"/>
        <v>0</v>
      </c>
      <c r="AS50" s="246">
        <f t="shared" si="92"/>
        <v>42000</v>
      </c>
      <c r="AT50" s="246">
        <f t="shared" si="92"/>
        <v>0</v>
      </c>
      <c r="AU50" s="246">
        <f t="shared" si="92"/>
        <v>0</v>
      </c>
      <c r="AV50" s="246">
        <f t="shared" si="92"/>
        <v>0</v>
      </c>
      <c r="AW50" s="246">
        <f t="shared" si="92"/>
        <v>42000</v>
      </c>
      <c r="AX50" s="246">
        <f t="shared" si="92"/>
        <v>0</v>
      </c>
      <c r="AY50" s="246">
        <f t="shared" si="92"/>
        <v>0</v>
      </c>
      <c r="AZ50" s="246">
        <f>IF(AZ$45=$E50,SUM(AJ50:$AL50),0)</f>
        <v>0</v>
      </c>
      <c r="BA50" s="246">
        <f>IF(BA$45=$E50,SUM(AK50:$AL50),0)</f>
        <v>21000</v>
      </c>
      <c r="BB50" s="246">
        <f>IF(BB$45=$E50,SUM(AL50:$AL50),0)</f>
        <v>0</v>
      </c>
      <c r="BD50" s="239">
        <f t="shared" si="88"/>
        <v>0</v>
      </c>
    </row>
    <row r="51" spans="1:56" ht="15">
      <c r="A51" t="s">
        <v>173</v>
      </c>
      <c r="B51" s="262"/>
      <c r="D51" s="238">
        <f t="shared" si="89"/>
        <v>89760</v>
      </c>
      <c r="E51" t="s">
        <v>225</v>
      </c>
      <c r="G51" s="310">
        <v>3960</v>
      </c>
      <c r="H51" s="326">
        <f>2200*3</f>
        <v>6600</v>
      </c>
      <c r="I51" s="310">
        <f aca="true" t="shared" si="95" ref="I51:T52">2200*3</f>
        <v>6600</v>
      </c>
      <c r="J51" s="310">
        <f t="shared" si="95"/>
        <v>6600</v>
      </c>
      <c r="K51" s="310">
        <f t="shared" si="95"/>
        <v>6600</v>
      </c>
      <c r="L51" s="310">
        <f t="shared" si="95"/>
        <v>6600</v>
      </c>
      <c r="M51" s="310">
        <f t="shared" si="95"/>
        <v>6600</v>
      </c>
      <c r="N51" s="310">
        <f t="shared" si="95"/>
        <v>6600</v>
      </c>
      <c r="O51" s="310">
        <f t="shared" si="95"/>
        <v>6600</v>
      </c>
      <c r="P51" s="310">
        <f t="shared" si="95"/>
        <v>6600</v>
      </c>
      <c r="Q51" s="310">
        <f t="shared" si="95"/>
        <v>6600</v>
      </c>
      <c r="R51" s="310">
        <f t="shared" si="95"/>
        <v>6600</v>
      </c>
      <c r="S51" s="310">
        <f t="shared" si="95"/>
        <v>6600</v>
      </c>
      <c r="T51" s="310">
        <f t="shared" si="95"/>
        <v>6600</v>
      </c>
      <c r="U51" s="310">
        <f t="shared" si="93"/>
        <v>89760</v>
      </c>
      <c r="V51" s="303"/>
      <c r="W51" s="303"/>
      <c r="X51" s="257">
        <f t="shared" si="90"/>
        <v>0</v>
      </c>
      <c r="Y51" s="246">
        <f t="shared" si="91"/>
        <v>3960</v>
      </c>
      <c r="Z51" s="246">
        <f t="shared" si="91"/>
        <v>6600</v>
      </c>
      <c r="AA51" s="246">
        <f t="shared" si="91"/>
        <v>6600</v>
      </c>
      <c r="AB51" s="246">
        <f t="shared" si="91"/>
        <v>6600</v>
      </c>
      <c r="AC51" s="246">
        <f t="shared" si="91"/>
        <v>6600</v>
      </c>
      <c r="AD51" s="246">
        <f t="shared" si="91"/>
        <v>6600</v>
      </c>
      <c r="AE51" s="246">
        <f t="shared" si="91"/>
        <v>6600</v>
      </c>
      <c r="AF51" s="246">
        <f t="shared" si="91"/>
        <v>6600</v>
      </c>
      <c r="AG51" s="246">
        <f t="shared" si="91"/>
        <v>6600</v>
      </c>
      <c r="AH51" s="246">
        <f t="shared" si="91"/>
        <v>6600</v>
      </c>
      <c r="AI51" s="246">
        <f t="shared" si="91"/>
        <v>6600</v>
      </c>
      <c r="AJ51" s="246">
        <f t="shared" si="91"/>
        <v>6600</v>
      </c>
      <c r="AK51" s="246">
        <f t="shared" si="91"/>
        <v>6600</v>
      </c>
      <c r="AL51" s="246">
        <f t="shared" si="91"/>
        <v>6600</v>
      </c>
      <c r="AM51" s="244"/>
      <c r="AN51" s="246">
        <f t="shared" si="94"/>
        <v>0</v>
      </c>
      <c r="AO51" s="246">
        <f t="shared" si="92"/>
        <v>23760</v>
      </c>
      <c r="AP51" s="246">
        <f t="shared" si="92"/>
        <v>0</v>
      </c>
      <c r="AQ51" s="246">
        <f t="shared" si="92"/>
        <v>0</v>
      </c>
      <c r="AR51" s="246">
        <f t="shared" si="92"/>
        <v>0</v>
      </c>
      <c r="AS51" s="246">
        <f t="shared" si="92"/>
        <v>26400</v>
      </c>
      <c r="AT51" s="246">
        <f t="shared" si="92"/>
        <v>0</v>
      </c>
      <c r="AU51" s="246">
        <f t="shared" si="92"/>
        <v>0</v>
      </c>
      <c r="AV51" s="246">
        <f t="shared" si="92"/>
        <v>0</v>
      </c>
      <c r="AW51" s="246">
        <f t="shared" si="92"/>
        <v>26400</v>
      </c>
      <c r="AX51" s="246">
        <f t="shared" si="92"/>
        <v>0</v>
      </c>
      <c r="AY51" s="246">
        <f t="shared" si="92"/>
        <v>0</v>
      </c>
      <c r="AZ51" s="246">
        <f>IF(AZ$45=$E51,SUM(AJ51:$AL51),0)</f>
        <v>0</v>
      </c>
      <c r="BA51" s="246">
        <f>IF(BA$45=$E51,SUM(AK51:$AL51),0)</f>
        <v>13200</v>
      </c>
      <c r="BB51" s="246">
        <f>IF(BB$45=$E51,SUM(AL51:$AL51),0)</f>
        <v>0</v>
      </c>
      <c r="BD51" s="239">
        <f t="shared" si="88"/>
        <v>0</v>
      </c>
    </row>
    <row r="52" spans="1:56" ht="15">
      <c r="A52" t="s">
        <v>173</v>
      </c>
      <c r="B52" s="262"/>
      <c r="D52" s="238">
        <f t="shared" si="89"/>
        <v>89760</v>
      </c>
      <c r="E52" t="s">
        <v>225</v>
      </c>
      <c r="G52" s="310">
        <v>3960</v>
      </c>
      <c r="H52" s="326">
        <f>2200*3</f>
        <v>6600</v>
      </c>
      <c r="I52" s="310">
        <f t="shared" si="95"/>
        <v>6600</v>
      </c>
      <c r="J52" s="310">
        <f t="shared" si="95"/>
        <v>6600</v>
      </c>
      <c r="K52" s="310">
        <f t="shared" si="95"/>
        <v>6600</v>
      </c>
      <c r="L52" s="310">
        <f t="shared" si="95"/>
        <v>6600</v>
      </c>
      <c r="M52" s="310">
        <f t="shared" si="95"/>
        <v>6600</v>
      </c>
      <c r="N52" s="310">
        <f t="shared" si="95"/>
        <v>6600</v>
      </c>
      <c r="O52" s="310">
        <f t="shared" si="95"/>
        <v>6600</v>
      </c>
      <c r="P52" s="310">
        <f t="shared" si="95"/>
        <v>6600</v>
      </c>
      <c r="Q52" s="310">
        <f t="shared" si="95"/>
        <v>6600</v>
      </c>
      <c r="R52" s="310">
        <f t="shared" si="95"/>
        <v>6600</v>
      </c>
      <c r="S52" s="310">
        <f t="shared" si="95"/>
        <v>6600</v>
      </c>
      <c r="T52" s="310">
        <f t="shared" si="95"/>
        <v>6600</v>
      </c>
      <c r="U52" s="310">
        <f t="shared" si="93"/>
        <v>89760</v>
      </c>
      <c r="V52" s="303"/>
      <c r="W52" s="303"/>
      <c r="X52" s="257">
        <f t="shared" si="90"/>
        <v>0</v>
      </c>
      <c r="Y52" s="246">
        <f t="shared" si="91"/>
        <v>3960</v>
      </c>
      <c r="Z52" s="246">
        <f t="shared" si="91"/>
        <v>6600</v>
      </c>
      <c r="AA52" s="246">
        <f t="shared" si="91"/>
        <v>6600</v>
      </c>
      <c r="AB52" s="246">
        <f t="shared" si="91"/>
        <v>6600</v>
      </c>
      <c r="AC52" s="246">
        <f t="shared" si="91"/>
        <v>6600</v>
      </c>
      <c r="AD52" s="246">
        <f t="shared" si="91"/>
        <v>6600</v>
      </c>
      <c r="AE52" s="246">
        <f t="shared" si="91"/>
        <v>6600</v>
      </c>
      <c r="AF52" s="246">
        <f t="shared" si="91"/>
        <v>6600</v>
      </c>
      <c r="AG52" s="246">
        <f t="shared" si="91"/>
        <v>6600</v>
      </c>
      <c r="AH52" s="246">
        <f t="shared" si="91"/>
        <v>6600</v>
      </c>
      <c r="AI52" s="246">
        <f t="shared" si="91"/>
        <v>6600</v>
      </c>
      <c r="AJ52" s="246">
        <f t="shared" si="91"/>
        <v>6600</v>
      </c>
      <c r="AK52" s="246">
        <f t="shared" si="91"/>
        <v>6600</v>
      </c>
      <c r="AL52" s="246">
        <f t="shared" si="91"/>
        <v>6600</v>
      </c>
      <c r="AM52" s="244"/>
      <c r="AN52" s="246">
        <f t="shared" si="94"/>
        <v>0</v>
      </c>
      <c r="AO52" s="246">
        <f t="shared" si="92"/>
        <v>23760</v>
      </c>
      <c r="AP52" s="246">
        <f t="shared" si="92"/>
        <v>0</v>
      </c>
      <c r="AQ52" s="246">
        <f t="shared" si="92"/>
        <v>0</v>
      </c>
      <c r="AR52" s="246">
        <f t="shared" si="92"/>
        <v>0</v>
      </c>
      <c r="AS52" s="246">
        <f t="shared" si="92"/>
        <v>26400</v>
      </c>
      <c r="AT52" s="246">
        <f t="shared" si="92"/>
        <v>0</v>
      </c>
      <c r="AU52" s="246">
        <f t="shared" si="92"/>
        <v>0</v>
      </c>
      <c r="AV52" s="246">
        <f t="shared" si="92"/>
        <v>0</v>
      </c>
      <c r="AW52" s="246">
        <f t="shared" si="92"/>
        <v>26400</v>
      </c>
      <c r="AX52" s="246">
        <f t="shared" si="92"/>
        <v>0</v>
      </c>
      <c r="AY52" s="246">
        <f t="shared" si="92"/>
        <v>0</v>
      </c>
      <c r="AZ52" s="246">
        <f>IF(AZ$45=$E52,SUM(AJ52:$AL52),0)</f>
        <v>0</v>
      </c>
      <c r="BA52" s="246">
        <f>IF(BA$45=$E52,SUM(AK52:$AL52),0)</f>
        <v>13200</v>
      </c>
      <c r="BB52" s="246">
        <f>IF(BB$45=$E52,SUM(AL52:$AL52),0)</f>
        <v>0</v>
      </c>
      <c r="BD52" s="239">
        <f t="shared" si="88"/>
        <v>0</v>
      </c>
    </row>
    <row r="53" spans="1:56" s="303" customFormat="1" ht="15">
      <c r="A53" s="303" t="s">
        <v>173</v>
      </c>
      <c r="B53" s="262"/>
      <c r="D53" s="238">
        <f>2200*12</f>
        <v>26400</v>
      </c>
      <c r="E53" s="303" t="s">
        <v>229</v>
      </c>
      <c r="G53" s="310"/>
      <c r="H53" s="326"/>
      <c r="I53" s="310">
        <f>2200*3</f>
        <v>6600</v>
      </c>
      <c r="J53" s="310">
        <f>2200*3</f>
        <v>6600</v>
      </c>
      <c r="K53" s="310">
        <f>2200*3</f>
        <v>6600</v>
      </c>
      <c r="L53" s="310">
        <f>2200*3</f>
        <v>6600</v>
      </c>
      <c r="M53" s="310"/>
      <c r="N53" s="310"/>
      <c r="O53" s="310"/>
      <c r="P53" s="310"/>
      <c r="Q53" s="310"/>
      <c r="R53" s="310"/>
      <c r="S53" s="310"/>
      <c r="T53" s="310"/>
      <c r="U53" s="310">
        <f t="shared" si="93"/>
        <v>26400</v>
      </c>
      <c r="X53" s="257">
        <f aca="true" t="shared" si="96" ref="X53:X54">F53</f>
        <v>0</v>
      </c>
      <c r="Y53" s="308">
        <f aca="true" t="shared" si="97" ref="Y53:Y54">G53</f>
        <v>0</v>
      </c>
      <c r="Z53" s="308">
        <f aca="true" t="shared" si="98" ref="Z53:Z54">H53</f>
        <v>0</v>
      </c>
      <c r="AA53" s="308">
        <f aca="true" t="shared" si="99" ref="AA53:AA54">I53</f>
        <v>6600</v>
      </c>
      <c r="AB53" s="308">
        <f aca="true" t="shared" si="100" ref="AB53:AB54">J53</f>
        <v>6600</v>
      </c>
      <c r="AC53" s="308">
        <f aca="true" t="shared" si="101" ref="AC53:AC54">K53</f>
        <v>6600</v>
      </c>
      <c r="AD53" s="308">
        <f aca="true" t="shared" si="102" ref="AD53:AD54">L53</f>
        <v>6600</v>
      </c>
      <c r="AE53" s="308">
        <f aca="true" t="shared" si="103" ref="AE53:AE54">M53</f>
        <v>0</v>
      </c>
      <c r="AF53" s="308">
        <f aca="true" t="shared" si="104" ref="AF53:AF54">N53</f>
        <v>0</v>
      </c>
      <c r="AG53" s="308">
        <f aca="true" t="shared" si="105" ref="AG53:AG54">O53</f>
        <v>0</v>
      </c>
      <c r="AH53" s="308">
        <f aca="true" t="shared" si="106" ref="AH53:AH54">P53</f>
        <v>0</v>
      </c>
      <c r="AI53" s="308">
        <f aca="true" t="shared" si="107" ref="AI53:AI54">Q53</f>
        <v>0</v>
      </c>
      <c r="AJ53" s="308">
        <f aca="true" t="shared" si="108" ref="AJ53:AJ54">R53</f>
        <v>0</v>
      </c>
      <c r="AK53" s="308">
        <f aca="true" t="shared" si="109" ref="AK53:AK54">S53</f>
        <v>0</v>
      </c>
      <c r="AL53" s="308">
        <f aca="true" t="shared" si="110" ref="AL53:AL54">T53</f>
        <v>0</v>
      </c>
      <c r="AM53" s="244"/>
      <c r="AN53" s="308">
        <f aca="true" t="shared" si="111" ref="AN53:AN54">IF(AN$45=$E53,SUM(X53:AA53),0)</f>
        <v>0</v>
      </c>
      <c r="AO53" s="308">
        <f aca="true" t="shared" si="112" ref="AO53:AO54">IF(AO$45=$E53,SUM(Y53:AB53),0)</f>
        <v>0</v>
      </c>
      <c r="AP53" s="308">
        <f aca="true" t="shared" si="113" ref="AP53:AP54">IF(AP$45=$E53,SUM(Z53:AC53),0)</f>
        <v>0</v>
      </c>
      <c r="AQ53" s="308">
        <v>26400</v>
      </c>
      <c r="AR53" s="308">
        <f aca="true" t="shared" si="114" ref="AR53:AR54">IF(AR$45=$E53,SUM(AB53:AE53),0)</f>
        <v>0</v>
      </c>
      <c r="AS53" s="308">
        <f aca="true" t="shared" si="115" ref="AS53:AS54">IF(AS$45=$E53,SUM(AC53:AF53),0)</f>
        <v>0</v>
      </c>
      <c r="AT53" s="308">
        <f aca="true" t="shared" si="116" ref="AT53:AT54">IF(AT$45=$E53,SUM(AD53:AG53),0)</f>
        <v>0</v>
      </c>
      <c r="AU53" s="308">
        <f aca="true" t="shared" si="117" ref="AU53:AU54">IF(AU$45=$E53,SUM(AE53:AH53),0)</f>
        <v>0</v>
      </c>
      <c r="AV53" s="308">
        <f aca="true" t="shared" si="118" ref="AV53:AV54">IF(AV$45=$E53,SUM(AF53:AI53),0)</f>
        <v>0</v>
      </c>
      <c r="AW53" s="308">
        <f aca="true" t="shared" si="119" ref="AW53:AW54">IF(AW$45=$E53,SUM(AG53:AJ53),0)</f>
        <v>0</v>
      </c>
      <c r="AX53" s="308">
        <f aca="true" t="shared" si="120" ref="AX53:AX54">IF(AX$45=$E53,SUM(AH53:AK53),0)</f>
        <v>0</v>
      </c>
      <c r="AY53" s="308">
        <f aca="true" t="shared" si="121" ref="AY53:AY54">IF(AY$45=$E53,SUM(AI53:AL53),0)</f>
        <v>0</v>
      </c>
      <c r="AZ53" s="308">
        <f>IF(AZ$45=$E53,SUM(AJ53:$AL53),0)</f>
        <v>0</v>
      </c>
      <c r="BA53" s="308">
        <f>IF(BA$45=$E53,SUM(AK53:$AL53),0)</f>
        <v>0</v>
      </c>
      <c r="BB53" s="308">
        <f>IF(BB$45=$E53,SUM(AL53:$AL53),0)</f>
        <v>0</v>
      </c>
      <c r="BD53" s="307"/>
    </row>
    <row r="54" spans="1:56" s="303" customFormat="1" ht="15">
      <c r="A54" s="303" t="s">
        <v>173</v>
      </c>
      <c r="B54" s="262"/>
      <c r="D54" s="238">
        <v>9999</v>
      </c>
      <c r="E54" s="303" t="s">
        <v>197</v>
      </c>
      <c r="G54" s="310"/>
      <c r="H54" s="326"/>
      <c r="I54" s="310">
        <v>9999</v>
      </c>
      <c r="J54" s="310"/>
      <c r="K54" s="310"/>
      <c r="L54" s="310"/>
      <c r="M54" s="310"/>
      <c r="N54" s="310"/>
      <c r="O54" s="310"/>
      <c r="P54" s="310"/>
      <c r="Q54" s="310"/>
      <c r="R54" s="310"/>
      <c r="S54" s="310"/>
      <c r="T54" s="310"/>
      <c r="U54" s="310">
        <f aca="true" t="shared" si="122" ref="U54">SUM(F54:T54)</f>
        <v>9999</v>
      </c>
      <c r="X54" s="257">
        <f t="shared" si="96"/>
        <v>0</v>
      </c>
      <c r="Y54" s="308">
        <f t="shared" si="97"/>
        <v>0</v>
      </c>
      <c r="Z54" s="308">
        <f t="shared" si="98"/>
        <v>0</v>
      </c>
      <c r="AA54" s="308">
        <f t="shared" si="99"/>
        <v>9999</v>
      </c>
      <c r="AB54" s="308">
        <f t="shared" si="100"/>
        <v>0</v>
      </c>
      <c r="AC54" s="308">
        <f t="shared" si="101"/>
        <v>0</v>
      </c>
      <c r="AD54" s="308">
        <f t="shared" si="102"/>
        <v>0</v>
      </c>
      <c r="AE54" s="308">
        <f t="shared" si="103"/>
        <v>0</v>
      </c>
      <c r="AF54" s="308">
        <f t="shared" si="104"/>
        <v>0</v>
      </c>
      <c r="AG54" s="308">
        <f t="shared" si="105"/>
        <v>0</v>
      </c>
      <c r="AH54" s="308">
        <f t="shared" si="106"/>
        <v>0</v>
      </c>
      <c r="AI54" s="308">
        <f t="shared" si="107"/>
        <v>0</v>
      </c>
      <c r="AJ54" s="308">
        <f t="shared" si="108"/>
        <v>0</v>
      </c>
      <c r="AK54" s="308">
        <f t="shared" si="109"/>
        <v>0</v>
      </c>
      <c r="AL54" s="308">
        <f t="shared" si="110"/>
        <v>0</v>
      </c>
      <c r="AM54" s="244"/>
      <c r="AN54" s="308">
        <f t="shared" si="111"/>
        <v>0</v>
      </c>
      <c r="AO54" s="308">
        <f t="shared" si="112"/>
        <v>0</v>
      </c>
      <c r="AP54" s="308">
        <f t="shared" si="113"/>
        <v>9999</v>
      </c>
      <c r="AQ54" s="308">
        <f aca="true" t="shared" si="123" ref="AQ54">IF(AQ$45=$E54,SUM(AA54:AD54),0)</f>
        <v>0</v>
      </c>
      <c r="AR54" s="308">
        <f t="shared" si="114"/>
        <v>0</v>
      </c>
      <c r="AS54" s="308">
        <f t="shared" si="115"/>
        <v>0</v>
      </c>
      <c r="AT54" s="308">
        <f t="shared" si="116"/>
        <v>0</v>
      </c>
      <c r="AU54" s="308">
        <f t="shared" si="117"/>
        <v>0</v>
      </c>
      <c r="AV54" s="308">
        <f t="shared" si="118"/>
        <v>0</v>
      </c>
      <c r="AW54" s="308">
        <f t="shared" si="119"/>
        <v>0</v>
      </c>
      <c r="AX54" s="308">
        <f t="shared" si="120"/>
        <v>0</v>
      </c>
      <c r="AY54" s="308">
        <f t="shared" si="121"/>
        <v>0</v>
      </c>
      <c r="AZ54" s="308">
        <f>IF(AZ$45=$E54,SUM(AJ54:$AL54),0)</f>
        <v>0</v>
      </c>
      <c r="BA54" s="308">
        <f>IF(BA$45=$E54,SUM(AK54:$AL54),0)</f>
        <v>0</v>
      </c>
      <c r="BB54" s="308">
        <f>IF(BB$45=$E54,SUM(AL54:$AL54),0)</f>
        <v>0</v>
      </c>
      <c r="BD54" s="307"/>
    </row>
    <row r="55" spans="1:56" ht="15">
      <c r="A55" t="s">
        <v>161</v>
      </c>
      <c r="B55" s="251"/>
      <c r="D55" s="238">
        <f>2500*12</f>
        <v>30000</v>
      </c>
      <c r="E55" t="s">
        <v>229</v>
      </c>
      <c r="G55" s="310"/>
      <c r="H55" s="326">
        <v>0</v>
      </c>
      <c r="I55" s="310">
        <f>5000</f>
        <v>5000</v>
      </c>
      <c r="J55" s="310">
        <v>7500</v>
      </c>
      <c r="K55" s="310">
        <v>7500</v>
      </c>
      <c r="L55" s="310">
        <v>7500</v>
      </c>
      <c r="M55" s="310">
        <v>2500</v>
      </c>
      <c r="N55" s="310">
        <v>12000</v>
      </c>
      <c r="O55" s="310">
        <v>12000</v>
      </c>
      <c r="P55" s="310">
        <v>12000</v>
      </c>
      <c r="Q55" s="310">
        <v>12000</v>
      </c>
      <c r="R55" s="310">
        <v>12000</v>
      </c>
      <c r="S55" s="310">
        <v>12000</v>
      </c>
      <c r="T55" s="310">
        <v>12000</v>
      </c>
      <c r="U55" s="310">
        <f t="shared" si="93"/>
        <v>114000</v>
      </c>
      <c r="V55" s="303"/>
      <c r="W55" s="303"/>
      <c r="X55" s="257">
        <f t="shared" si="90"/>
        <v>0</v>
      </c>
      <c r="Y55" s="246">
        <f t="shared" si="91"/>
        <v>0</v>
      </c>
      <c r="Z55" s="246">
        <f t="shared" si="91"/>
        <v>0</v>
      </c>
      <c r="AA55" s="246">
        <f t="shared" si="91"/>
        <v>5000</v>
      </c>
      <c r="AB55" s="246">
        <f t="shared" si="91"/>
        <v>7500</v>
      </c>
      <c r="AC55" s="246">
        <f t="shared" si="91"/>
        <v>7500</v>
      </c>
      <c r="AD55" s="246">
        <f t="shared" si="91"/>
        <v>7500</v>
      </c>
      <c r="AE55" s="246">
        <f t="shared" si="91"/>
        <v>2500</v>
      </c>
      <c r="AF55" s="246">
        <f t="shared" si="91"/>
        <v>12000</v>
      </c>
      <c r="AG55" s="246">
        <f t="shared" si="91"/>
        <v>12000</v>
      </c>
      <c r="AH55" s="246">
        <f t="shared" si="91"/>
        <v>12000</v>
      </c>
      <c r="AI55" s="246">
        <f t="shared" si="91"/>
        <v>12000</v>
      </c>
      <c r="AJ55" s="246">
        <f t="shared" si="91"/>
        <v>12000</v>
      </c>
      <c r="AK55" s="246">
        <f t="shared" si="91"/>
        <v>12000</v>
      </c>
      <c r="AL55" s="246">
        <f t="shared" si="91"/>
        <v>12000</v>
      </c>
      <c r="AM55" s="244"/>
      <c r="AN55" s="246">
        <f t="shared" si="94"/>
        <v>0</v>
      </c>
      <c r="AO55" s="246">
        <f t="shared" si="92"/>
        <v>0</v>
      </c>
      <c r="AP55" s="246">
        <f t="shared" si="92"/>
        <v>0</v>
      </c>
      <c r="AQ55" s="246">
        <v>30000</v>
      </c>
      <c r="AR55" s="246">
        <f t="shared" si="92"/>
        <v>0</v>
      </c>
      <c r="AS55" s="246">
        <f t="shared" si="92"/>
        <v>0</v>
      </c>
      <c r="AT55" s="246">
        <f t="shared" si="92"/>
        <v>0</v>
      </c>
      <c r="AU55" s="246">
        <f t="shared" si="92"/>
        <v>38500</v>
      </c>
      <c r="AV55" s="246">
        <f t="shared" si="92"/>
        <v>0</v>
      </c>
      <c r="AW55" s="246">
        <f t="shared" si="92"/>
        <v>0</v>
      </c>
      <c r="AX55" s="246">
        <f t="shared" si="92"/>
        <v>0</v>
      </c>
      <c r="AY55" s="246">
        <f t="shared" si="92"/>
        <v>48000</v>
      </c>
      <c r="AZ55" s="246">
        <f>IF(AZ$45=$E55,SUM(AJ55:$AL55),0)</f>
        <v>0</v>
      </c>
      <c r="BA55" s="246">
        <f>IF(BA$45=$E55,SUM(AK55:$AL55),0)</f>
        <v>0</v>
      </c>
      <c r="BB55" s="246">
        <f>IF(BB$45=$E55,SUM(AL55:$AL55),0)</f>
        <v>0</v>
      </c>
      <c r="BD55" s="239">
        <f t="shared" si="88"/>
        <v>-2500</v>
      </c>
    </row>
    <row r="56" spans="7:56" ht="15">
      <c r="G56" s="310"/>
      <c r="H56" s="326"/>
      <c r="I56" s="310"/>
      <c r="J56" s="310"/>
      <c r="K56" s="310"/>
      <c r="L56" s="310"/>
      <c r="M56" s="310"/>
      <c r="N56" s="310"/>
      <c r="O56" s="310"/>
      <c r="P56" s="310"/>
      <c r="Q56" s="310"/>
      <c r="R56" s="310"/>
      <c r="S56" s="310"/>
      <c r="T56" s="310"/>
      <c r="U56" s="310"/>
      <c r="V56" s="303"/>
      <c r="W56" s="303"/>
      <c r="X56" s="243"/>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D56" s="239">
        <f t="shared" si="88"/>
        <v>0</v>
      </c>
    </row>
    <row r="57" spans="1:56" ht="15">
      <c r="A57" s="240" t="s">
        <v>221</v>
      </c>
      <c r="B57" s="240"/>
      <c r="C57" s="240"/>
      <c r="D57" s="240"/>
      <c r="E57" s="240"/>
      <c r="G57" s="310"/>
      <c r="H57" s="326"/>
      <c r="I57" s="310"/>
      <c r="J57" s="310"/>
      <c r="K57" s="310"/>
      <c r="L57" s="310"/>
      <c r="M57" s="310"/>
      <c r="N57" s="310"/>
      <c r="O57" s="310"/>
      <c r="P57" s="310"/>
      <c r="Q57" s="310"/>
      <c r="R57" s="310"/>
      <c r="S57" s="310"/>
      <c r="T57" s="310"/>
      <c r="U57" s="310"/>
      <c r="V57" s="303"/>
      <c r="W57" s="303"/>
      <c r="X57" s="243"/>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D57" s="239">
        <f t="shared" si="88"/>
        <v>0</v>
      </c>
    </row>
    <row r="58" spans="1:56" ht="15">
      <c r="A58" t="s">
        <v>176</v>
      </c>
      <c r="B58" s="262"/>
      <c r="D58" s="238">
        <v>20000</v>
      </c>
      <c r="F58" s="303"/>
      <c r="G58" s="310">
        <v>1267.82</v>
      </c>
      <c r="H58" s="336">
        <v>2800</v>
      </c>
      <c r="I58" s="337">
        <v>4800</v>
      </c>
      <c r="J58" s="337">
        <v>1400</v>
      </c>
      <c r="K58" s="337">
        <v>1400</v>
      </c>
      <c r="L58" s="337">
        <v>1400</v>
      </c>
      <c r="M58" s="310">
        <v>1400</v>
      </c>
      <c r="N58" s="310">
        <v>1400</v>
      </c>
      <c r="O58" s="310">
        <v>1400</v>
      </c>
      <c r="P58" s="310">
        <v>1400</v>
      </c>
      <c r="Q58" s="310">
        <v>1400</v>
      </c>
      <c r="R58" s="310">
        <v>1400</v>
      </c>
      <c r="S58" s="310">
        <v>1400</v>
      </c>
      <c r="T58" s="310">
        <f>1400-68</f>
        <v>1332</v>
      </c>
      <c r="U58" s="310">
        <f t="shared" si="93"/>
        <v>24199.82</v>
      </c>
      <c r="V58" s="303"/>
      <c r="W58" s="303"/>
      <c r="X58" s="257">
        <f aca="true" t="shared" si="124" ref="X58:X59">F58</f>
        <v>0</v>
      </c>
      <c r="Y58" s="246">
        <f aca="true" t="shared" si="125" ref="Y58:Y59">G58</f>
        <v>1267.82</v>
      </c>
      <c r="Z58" s="246">
        <f aca="true" t="shared" si="126" ref="Z58:Z59">H58</f>
        <v>2800</v>
      </c>
      <c r="AA58" s="246">
        <f aca="true" t="shared" si="127" ref="AA58:AA59">I58</f>
        <v>4800</v>
      </c>
      <c r="AB58" s="246">
        <f aca="true" t="shared" si="128" ref="AB58:AB59">J58</f>
        <v>1400</v>
      </c>
      <c r="AC58" s="246">
        <f aca="true" t="shared" si="129" ref="AC58:AC59">K58</f>
        <v>1400</v>
      </c>
      <c r="AD58" s="246">
        <f aca="true" t="shared" si="130" ref="AD58:AD59">L58</f>
        <v>1400</v>
      </c>
      <c r="AE58" s="246">
        <f aca="true" t="shared" si="131" ref="AE58:AE59">M58</f>
        <v>1400</v>
      </c>
      <c r="AF58" s="246">
        <f aca="true" t="shared" si="132" ref="AF58:AF59">N58</f>
        <v>1400</v>
      </c>
      <c r="AG58" s="246">
        <f aca="true" t="shared" si="133" ref="AG58:AG59">O58</f>
        <v>1400</v>
      </c>
      <c r="AH58" s="246">
        <f aca="true" t="shared" si="134" ref="AH58:AH59">P58</f>
        <v>1400</v>
      </c>
      <c r="AI58" s="246">
        <f aca="true" t="shared" si="135" ref="AI58:AI59">Q58</f>
        <v>1400</v>
      </c>
      <c r="AJ58" s="246">
        <f aca="true" t="shared" si="136" ref="AJ58:AJ59">R58</f>
        <v>1400</v>
      </c>
      <c r="AK58" s="246">
        <f aca="true" t="shared" si="137" ref="AK58:AK59">S58</f>
        <v>1400</v>
      </c>
      <c r="AL58" s="246">
        <f aca="true" t="shared" si="138" ref="AL58:AL59">T58</f>
        <v>1332</v>
      </c>
      <c r="AM58" s="244"/>
      <c r="AN58" s="246">
        <f>X58</f>
        <v>0</v>
      </c>
      <c r="AO58" s="246">
        <f aca="true" t="shared" si="139" ref="AO58:BB59">Y58</f>
        <v>1267.82</v>
      </c>
      <c r="AP58" s="246">
        <f t="shared" si="139"/>
        <v>2800</v>
      </c>
      <c r="AQ58" s="246">
        <f t="shared" si="139"/>
        <v>4800</v>
      </c>
      <c r="AR58" s="246">
        <f t="shared" si="139"/>
        <v>1400</v>
      </c>
      <c r="AS58" s="246">
        <f t="shared" si="139"/>
        <v>1400</v>
      </c>
      <c r="AT58" s="246">
        <f t="shared" si="139"/>
        <v>1400</v>
      </c>
      <c r="AU58" s="246">
        <f t="shared" si="139"/>
        <v>1400</v>
      </c>
      <c r="AV58" s="246">
        <f t="shared" si="139"/>
        <v>1400</v>
      </c>
      <c r="AW58" s="246">
        <f t="shared" si="139"/>
        <v>1400</v>
      </c>
      <c r="AX58" s="246">
        <f t="shared" si="139"/>
        <v>1400</v>
      </c>
      <c r="AY58" s="246">
        <f t="shared" si="139"/>
        <v>1400</v>
      </c>
      <c r="AZ58" s="246">
        <f t="shared" si="139"/>
        <v>1400</v>
      </c>
      <c r="BA58" s="246">
        <f t="shared" si="139"/>
        <v>1400</v>
      </c>
      <c r="BB58" s="246">
        <f t="shared" si="139"/>
        <v>1332</v>
      </c>
      <c r="BD58" s="239">
        <f t="shared" si="88"/>
        <v>0</v>
      </c>
    </row>
    <row r="59" spans="1:56" ht="15">
      <c r="A59" t="s">
        <v>174</v>
      </c>
      <c r="B59" s="262"/>
      <c r="D59" s="238">
        <v>35000</v>
      </c>
      <c r="F59" s="303"/>
      <c r="G59" s="310">
        <v>0</v>
      </c>
      <c r="H59" s="336">
        <v>0</v>
      </c>
      <c r="I59" s="337">
        <v>6500</v>
      </c>
      <c r="J59" s="337">
        <v>2500</v>
      </c>
      <c r="K59" s="337">
        <v>2500</v>
      </c>
      <c r="L59" s="337">
        <v>3500</v>
      </c>
      <c r="M59" s="310">
        <v>2500</v>
      </c>
      <c r="N59" s="310">
        <v>2500</v>
      </c>
      <c r="O59" s="310">
        <v>2500</v>
      </c>
      <c r="P59" s="310">
        <v>2500</v>
      </c>
      <c r="Q59" s="310">
        <v>2500</v>
      </c>
      <c r="R59" s="310">
        <v>2500</v>
      </c>
      <c r="S59" s="310">
        <v>2500</v>
      </c>
      <c r="T59" s="310">
        <v>2500</v>
      </c>
      <c r="U59" s="310">
        <f t="shared" si="93"/>
        <v>35000</v>
      </c>
      <c r="V59" s="303"/>
      <c r="W59" s="303"/>
      <c r="X59" s="257">
        <f t="shared" si="124"/>
        <v>0</v>
      </c>
      <c r="Y59" s="246">
        <f t="shared" si="125"/>
        <v>0</v>
      </c>
      <c r="Z59" s="246">
        <f t="shared" si="126"/>
        <v>0</v>
      </c>
      <c r="AA59" s="246">
        <f t="shared" si="127"/>
        <v>6500</v>
      </c>
      <c r="AB59" s="246">
        <f t="shared" si="128"/>
        <v>2500</v>
      </c>
      <c r="AC59" s="246">
        <f t="shared" si="129"/>
        <v>2500</v>
      </c>
      <c r="AD59" s="246">
        <f t="shared" si="130"/>
        <v>3500</v>
      </c>
      <c r="AE59" s="246">
        <f t="shared" si="131"/>
        <v>2500</v>
      </c>
      <c r="AF59" s="246">
        <f t="shared" si="132"/>
        <v>2500</v>
      </c>
      <c r="AG59" s="246">
        <f t="shared" si="133"/>
        <v>2500</v>
      </c>
      <c r="AH59" s="246">
        <f t="shared" si="134"/>
        <v>2500</v>
      </c>
      <c r="AI59" s="246">
        <f t="shared" si="135"/>
        <v>2500</v>
      </c>
      <c r="AJ59" s="246">
        <f t="shared" si="136"/>
        <v>2500</v>
      </c>
      <c r="AK59" s="246">
        <f t="shared" si="137"/>
        <v>2500</v>
      </c>
      <c r="AL59" s="246">
        <f t="shared" si="138"/>
        <v>2500</v>
      </c>
      <c r="AM59" s="244"/>
      <c r="AN59" s="246">
        <f>X59</f>
        <v>0</v>
      </c>
      <c r="AO59" s="246">
        <f t="shared" si="139"/>
        <v>0</v>
      </c>
      <c r="AP59" s="246">
        <f t="shared" si="139"/>
        <v>0</v>
      </c>
      <c r="AQ59" s="246">
        <f t="shared" si="139"/>
        <v>6500</v>
      </c>
      <c r="AR59" s="246">
        <f t="shared" si="139"/>
        <v>2500</v>
      </c>
      <c r="AS59" s="246">
        <f t="shared" si="139"/>
        <v>2500</v>
      </c>
      <c r="AT59" s="246">
        <f t="shared" si="139"/>
        <v>3500</v>
      </c>
      <c r="AU59" s="246">
        <f t="shared" si="139"/>
        <v>2500</v>
      </c>
      <c r="AV59" s="246">
        <f t="shared" si="139"/>
        <v>2500</v>
      </c>
      <c r="AW59" s="246">
        <f t="shared" si="139"/>
        <v>2500</v>
      </c>
      <c r="AX59" s="246">
        <f t="shared" si="139"/>
        <v>2500</v>
      </c>
      <c r="AY59" s="246">
        <f t="shared" si="139"/>
        <v>2500</v>
      </c>
      <c r="AZ59" s="246">
        <f t="shared" si="139"/>
        <v>2500</v>
      </c>
      <c r="BA59" s="246">
        <f t="shared" si="139"/>
        <v>2500</v>
      </c>
      <c r="BB59" s="246">
        <f t="shared" si="139"/>
        <v>2500</v>
      </c>
      <c r="BD59" s="239">
        <f t="shared" si="88"/>
        <v>0</v>
      </c>
    </row>
    <row r="60" spans="1:38" s="253" customFormat="1" ht="15">
      <c r="A60" s="254"/>
      <c r="D60" s="255"/>
      <c r="H60" s="327"/>
      <c r="U60" s="256"/>
      <c r="V60" s="303"/>
      <c r="W60" s="303"/>
      <c r="X60" s="250"/>
      <c r="Y60" s="250"/>
      <c r="Z60" s="250"/>
      <c r="AA60" s="250"/>
      <c r="AB60" s="250"/>
      <c r="AC60" s="250"/>
      <c r="AD60" s="250"/>
      <c r="AE60" s="250"/>
      <c r="AF60" s="250"/>
      <c r="AG60" s="250"/>
      <c r="AH60" s="250"/>
      <c r="AI60" s="250"/>
      <c r="AJ60" s="250"/>
      <c r="AK60" s="250"/>
      <c r="AL60" s="250"/>
    </row>
    <row r="61" spans="2:24" ht="15">
      <c r="B61" s="243"/>
      <c r="D61" s="257">
        <f>SUM(D4:D59)</f>
        <v>23723044</v>
      </c>
      <c r="E61" s="243"/>
      <c r="F61" s="243"/>
      <c r="G61" s="243"/>
      <c r="H61" s="328"/>
      <c r="I61" s="243"/>
      <c r="J61" s="243"/>
      <c r="K61" s="243"/>
      <c r="L61" s="243"/>
      <c r="M61" s="243"/>
      <c r="N61" s="243"/>
      <c r="O61" s="243"/>
      <c r="P61" s="243"/>
      <c r="Q61" s="243"/>
      <c r="R61" s="243"/>
      <c r="T61" s="243"/>
      <c r="U61" s="243"/>
      <c r="V61" s="303"/>
      <c r="W61" s="303"/>
      <c r="X61" s="239" t="s">
        <v>134</v>
      </c>
    </row>
    <row r="62" spans="4:24" ht="15">
      <c r="D62" s="260"/>
      <c r="E62" s="261"/>
      <c r="F62" s="261"/>
      <c r="G62" s="261"/>
      <c r="H62" s="327"/>
      <c r="I62" s="261"/>
      <c r="J62" s="261"/>
      <c r="K62" s="261"/>
      <c r="L62" s="261"/>
      <c r="M62" s="261"/>
      <c r="N62" s="261"/>
      <c r="O62" s="261"/>
      <c r="P62" s="261"/>
      <c r="Q62" s="261"/>
      <c r="R62" s="261"/>
      <c r="S62" s="261"/>
      <c r="T62" s="261"/>
      <c r="U62" s="261"/>
      <c r="V62" s="303"/>
      <c r="W62" s="303"/>
      <c r="X62" s="239"/>
    </row>
    <row r="63" spans="1:4" ht="15">
      <c r="A63" s="303" t="s">
        <v>158</v>
      </c>
      <c r="B63" s="376"/>
      <c r="C63" s="376"/>
      <c r="D63" s="238">
        <f>SUMIF($A$4:$A$60,"="&amp;A63,$D$4:$D$60)</f>
        <v>8700000</v>
      </c>
    </row>
    <row r="64" spans="1:4" ht="15">
      <c r="A64" s="303" t="s">
        <v>159</v>
      </c>
      <c r="B64" s="376"/>
      <c r="C64" s="376"/>
      <c r="D64" s="238">
        <f>SUMIF($A$4:$A$60,"="&amp;A64,$D$4:$D$60)</f>
        <v>3000000</v>
      </c>
    </row>
    <row r="65" spans="1:4" ht="15">
      <c r="A65" s="303" t="s">
        <v>161</v>
      </c>
      <c r="B65" s="376"/>
      <c r="C65" s="376"/>
      <c r="D65" s="238">
        <f>SUMIF($A$4:$A$60,"="&amp;A65,$D$4:$D$60)</f>
        <v>4030000</v>
      </c>
    </row>
    <row r="66" spans="1:4" ht="15">
      <c r="A66" s="303" t="s">
        <v>162</v>
      </c>
      <c r="B66" s="376"/>
      <c r="C66" s="376"/>
      <c r="D66" s="238">
        <f>SUMIF($A$4:$A$60,"="&amp;A66,$D$4:$D$60)</f>
        <v>2500000</v>
      </c>
    </row>
    <row r="67" spans="1:4" ht="15">
      <c r="A67" s="303" t="s">
        <v>163</v>
      </c>
      <c r="B67" s="376"/>
      <c r="C67" s="376"/>
      <c r="D67" s="238">
        <f>SUMIF($A$4:$A$60,"="&amp;A67,$D$4:$D$60)</f>
        <v>139400</v>
      </c>
    </row>
    <row r="68" spans="2:8" s="303" customFormat="1" ht="15">
      <c r="B68" s="312"/>
      <c r="C68" s="312"/>
      <c r="D68" s="313">
        <f>SUM(D63:D67)</f>
        <v>18369400</v>
      </c>
      <c r="E68" s="248">
        <f>'QFR - B'!G14</f>
        <v>19300000</v>
      </c>
      <c r="F68" s="307">
        <f>E68-D68</f>
        <v>930600</v>
      </c>
      <c r="H68" s="321"/>
    </row>
    <row r="69" spans="1:4" ht="15">
      <c r="A69" s="303" t="s">
        <v>165</v>
      </c>
      <c r="B69" s="376"/>
      <c r="C69" s="376"/>
      <c r="D69" s="238">
        <f>SUMIF($A$4:$A$60,"="&amp;A69,$D$4:$D$60)</f>
        <v>775000</v>
      </c>
    </row>
    <row r="70" spans="2:8" s="303" customFormat="1" ht="15">
      <c r="B70" s="312"/>
      <c r="C70" s="312"/>
      <c r="D70" s="314">
        <f>D69</f>
        <v>775000</v>
      </c>
      <c r="E70" s="248">
        <f>'QFR - B'!G20</f>
        <v>800000</v>
      </c>
      <c r="F70" s="307">
        <f>E70-D70</f>
        <v>25000</v>
      </c>
      <c r="H70" s="321"/>
    </row>
    <row r="71" spans="1:4" ht="15">
      <c r="A71" s="303" t="s">
        <v>166</v>
      </c>
      <c r="B71" s="376"/>
      <c r="C71" s="376"/>
      <c r="D71" s="238">
        <f>SUMIF($A$4:$A$60,"="&amp;A71,$D$4:$D$60)</f>
        <v>701450</v>
      </c>
    </row>
    <row r="72" spans="1:4" ht="15">
      <c r="A72" s="303" t="s">
        <v>167</v>
      </c>
      <c r="B72" s="376"/>
      <c r="C72" s="376"/>
      <c r="D72" s="238">
        <f>SUMIF($A$4:$A$60,"="&amp;A72,$D$4:$D$60)</f>
        <v>1650000</v>
      </c>
    </row>
    <row r="73" spans="2:8" s="303" customFormat="1" ht="15">
      <c r="B73" s="312"/>
      <c r="C73" s="312"/>
      <c r="D73" s="314">
        <f>SUM(D71:D72)</f>
        <v>2351450</v>
      </c>
      <c r="E73" s="248">
        <f>'QFR - B'!G21</f>
        <v>3600000</v>
      </c>
      <c r="F73" s="307">
        <f>E73-D73</f>
        <v>1248550</v>
      </c>
      <c r="H73" s="321"/>
    </row>
    <row r="74" spans="1:4" ht="15">
      <c r="A74" s="303" t="s">
        <v>169</v>
      </c>
      <c r="B74" s="376"/>
      <c r="C74" s="376"/>
      <c r="D74" s="238">
        <f>SUMIF($A$4:$A$60,"="&amp;A74,$D$4:$D$60)</f>
        <v>706400</v>
      </c>
    </row>
    <row r="75" spans="1:4" ht="15">
      <c r="A75" s="303" t="s">
        <v>170</v>
      </c>
      <c r="B75" s="376"/>
      <c r="C75" s="376"/>
      <c r="D75" s="238">
        <f>SUMIF($A$4:$A$60,"="&amp;A75,$D$4:$D$60)</f>
        <v>300000</v>
      </c>
    </row>
    <row r="76" spans="1:4" ht="15">
      <c r="A76" s="303" t="s">
        <v>171</v>
      </c>
      <c r="B76" s="376"/>
      <c r="C76" s="376"/>
      <c r="D76" s="238">
        <f>SUMIF($A$4:$A$60,"="&amp;A76,$D$4:$D$60)</f>
        <v>300000</v>
      </c>
    </row>
    <row r="77" spans="1:4" ht="15">
      <c r="A77" s="303" t="s">
        <v>172</v>
      </c>
      <c r="B77" s="376"/>
      <c r="C77" s="376"/>
      <c r="D77" s="238">
        <f>SUMIF($A$4:$A$60,"="&amp;A77,$D$4:$D$60)</f>
        <v>200000</v>
      </c>
    </row>
    <row r="78" spans="2:8" s="303" customFormat="1" ht="15">
      <c r="B78" s="312"/>
      <c r="C78" s="312"/>
      <c r="D78" s="314">
        <f>SUM(D74:D77)</f>
        <v>1506400</v>
      </c>
      <c r="E78" s="248">
        <f>'QFR - B'!G24</f>
        <v>1700000</v>
      </c>
      <c r="F78" s="307">
        <f>E78-D78</f>
        <v>193600</v>
      </c>
      <c r="H78" s="321"/>
    </row>
    <row r="79" spans="1:4" ht="15">
      <c r="A79" s="303" t="s">
        <v>173</v>
      </c>
      <c r="B79" s="376"/>
      <c r="C79" s="376"/>
      <c r="D79" s="238">
        <f>SUMIF($A$4:$A$60,"="&amp;A79,$D$4:$D$60)</f>
        <v>559294</v>
      </c>
    </row>
    <row r="80" spans="1:4" ht="15">
      <c r="A80" s="303" t="s">
        <v>174</v>
      </c>
      <c r="B80" s="376"/>
      <c r="C80" s="376"/>
      <c r="D80" s="238">
        <f>SUMIF($A$4:$A$60,"="&amp;A80,$D$4:$D$60)</f>
        <v>35000</v>
      </c>
    </row>
    <row r="81" spans="1:4" ht="15">
      <c r="A81" s="303" t="s">
        <v>175</v>
      </c>
      <c r="B81" s="376"/>
      <c r="C81" s="376"/>
      <c r="D81" s="238">
        <f>SUMIF($A$4:$A$60,"="&amp;A81,$D$4:$D$60)</f>
        <v>90000</v>
      </c>
    </row>
    <row r="82" spans="1:4" ht="15">
      <c r="A82" s="303" t="s">
        <v>176</v>
      </c>
      <c r="B82" s="376"/>
      <c r="C82" s="376"/>
      <c r="D82" s="238">
        <f>SUMIF($A$4:$A$60,"="&amp;A82,$D$4:$D$60)</f>
        <v>31500</v>
      </c>
    </row>
    <row r="83" spans="2:8" s="303" customFormat="1" ht="15">
      <c r="B83" s="312"/>
      <c r="C83" s="312"/>
      <c r="D83" s="314">
        <f>SUM(D79:D82)</f>
        <v>715794</v>
      </c>
      <c r="E83" s="248">
        <f>'QFR - B'!G27</f>
        <v>800000</v>
      </c>
      <c r="F83" s="307">
        <f>E83-D83</f>
        <v>84206</v>
      </c>
      <c r="H83" s="321"/>
    </row>
    <row r="84" ht="15">
      <c r="A84" s="303"/>
    </row>
    <row r="85" ht="15">
      <c r="A85" s="303"/>
    </row>
  </sheetData>
  <autoFilter ref="A3:BD83"/>
  <mergeCells count="16">
    <mergeCell ref="B82:C82"/>
    <mergeCell ref="B75:C75"/>
    <mergeCell ref="B76:C76"/>
    <mergeCell ref="B77:C77"/>
    <mergeCell ref="B79:C79"/>
    <mergeCell ref="B80:C80"/>
    <mergeCell ref="B69:C69"/>
    <mergeCell ref="B71:C71"/>
    <mergeCell ref="B72:C72"/>
    <mergeCell ref="B74:C74"/>
    <mergeCell ref="B81:C81"/>
    <mergeCell ref="B63:C63"/>
    <mergeCell ref="B64:C64"/>
    <mergeCell ref="B65:C65"/>
    <mergeCell ref="B66:C66"/>
    <mergeCell ref="B67:C6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topLeftCell="A4">
      <selection activeCell="A23" sqref="A23:S23"/>
    </sheetView>
  </sheetViews>
  <sheetFormatPr defaultColWidth="8.8515625" defaultRowHeight="15"/>
  <cols>
    <col min="1" max="1" width="47.00390625" style="0" customWidth="1"/>
    <col min="2" max="2" width="11.140625" style="0" customWidth="1"/>
    <col min="3" max="10" width="4.8515625" style="0" customWidth="1"/>
    <col min="11" max="19" width="4.8515625" style="303" customWidth="1"/>
  </cols>
  <sheetData>
    <row r="1" ht="15">
      <c r="A1" s="303"/>
    </row>
    <row r="2" spans="1:2" ht="15">
      <c r="A2" s="190" t="s">
        <v>107</v>
      </c>
      <c r="B2" t="s">
        <v>269</v>
      </c>
    </row>
    <row r="3" spans="1:12" ht="15">
      <c r="A3" s="44"/>
      <c r="B3" t="s">
        <v>268</v>
      </c>
      <c r="D3" t="s">
        <v>267</v>
      </c>
      <c r="L3" s="303" t="s">
        <v>267</v>
      </c>
    </row>
    <row r="4" ht="15">
      <c r="A4" s="46" t="s">
        <v>88</v>
      </c>
    </row>
    <row r="5" spans="1:19" ht="15">
      <c r="A5" s="51" t="s">
        <v>89</v>
      </c>
      <c r="B5" s="258" t="str">
        <f>IF('DFP-Com'!U15-'DFP-CASH'!U17=0,"ok","error")</f>
        <v>ok</v>
      </c>
      <c r="C5" t="str">
        <f>IF(SUM('DFP-CASH'!$C17:C17)&gt;SUM('DFP-Com'!$C15:D15),"error","ok")</f>
        <v>ok</v>
      </c>
      <c r="D5" s="303" t="str">
        <f>IF(SUM('DFP-CASH'!$C17:E17)&gt;SUM('DFP-Com'!$C15:E15),"error","ok")</f>
        <v>ok</v>
      </c>
      <c r="E5" s="303" t="str">
        <f>IF(SUM('DFP-CASH'!$C17:F17)&gt;SUM('DFP-Com'!$C15:F15),"error","ok")</f>
        <v>ok</v>
      </c>
      <c r="F5" s="303" t="str">
        <f>IF(SUM('DFP-CASH'!$C17:G17)&gt;SUM('DFP-Com'!$C15:G15),"error","ok")</f>
        <v>ok</v>
      </c>
      <c r="G5" s="303" t="str">
        <f>IF(SUM('DFP-CASH'!$C17:G17)&gt;SUM('DFP-Com'!$C15:G15),"error","ok")</f>
        <v>ok</v>
      </c>
      <c r="H5" s="303" t="str">
        <f>IF(SUM('DFP-CASH'!$C17:G17)&gt;SUM('DFP-Com'!$C15:G15),"error","ok")</f>
        <v>ok</v>
      </c>
      <c r="I5" s="303" t="str">
        <f>IF(SUM('DFP-CASH'!$C17:H17)&gt;SUM('DFP-Com'!$C15:H15),"error","ok")</f>
        <v>ok</v>
      </c>
      <c r="J5" s="303" t="str">
        <f>IF(SUM('DFP-CASH'!$C17:I17)&gt;SUM('DFP-Com'!$C15:I15),"error","ok")</f>
        <v>ok</v>
      </c>
      <c r="K5" s="303" t="str">
        <f>IF(SUM('DFP-CASH'!$C17:J17)&gt;SUM('DFP-Com'!$C15:J15),"error","ok")</f>
        <v>ok</v>
      </c>
      <c r="L5" s="303" t="str">
        <f>IF(SUM('DFP-CASH'!$C17:K17)&gt;SUM('DFP-Com'!$C15:K15),"error","ok")</f>
        <v>ok</v>
      </c>
      <c r="M5" s="303" t="str">
        <f>IF(SUM('DFP-CASH'!$C17:L17)&gt;SUM('DFP-Com'!$C15:L15),"error","ok")</f>
        <v>ok</v>
      </c>
      <c r="N5" s="303" t="str">
        <f>IF(SUM('DFP-CASH'!$C17:M17)&gt;SUM('DFP-Com'!$C15:M15),"error","ok")</f>
        <v>ok</v>
      </c>
      <c r="O5" s="303" t="str">
        <f>IF(SUM('DFP-CASH'!$C17:N17)&gt;SUM('DFP-Com'!$C15:N15),"error","ok")</f>
        <v>ok</v>
      </c>
      <c r="P5" s="303" t="str">
        <f>IF(SUM('DFP-CASH'!$C17:O17)&gt;SUM('DFP-Com'!$C15:O15),"error","ok")</f>
        <v>ok</v>
      </c>
      <c r="Q5" s="303" t="str">
        <f>IF(SUM('DFP-CASH'!$C17:P17)&gt;SUM('DFP-Com'!$C15:P15),"error","ok")</f>
        <v>ok</v>
      </c>
      <c r="R5" s="303" t="str">
        <f>IF(SUM('DFP-CASH'!$C17:Q17)&gt;SUM('DFP-Com'!$C15:Q15),"error","ok")</f>
        <v>ok</v>
      </c>
      <c r="S5" s="303" t="str">
        <f>IF(SUM('DFP-CASH'!$C17:R17)&gt;SUM('DFP-Com'!$C15:R15),"error","ok")</f>
        <v>ok</v>
      </c>
    </row>
    <row r="6" spans="1:19" ht="15">
      <c r="A6" s="203" t="s">
        <v>128</v>
      </c>
      <c r="B6" s="258" t="str">
        <f>IF('DFP-Com'!U16-'DFP-CASH'!U18=0,"ok","error")</f>
        <v>ok</v>
      </c>
      <c r="C6" s="303" t="str">
        <f>IF(SUM('DFP-CASH'!$C18:C18)&gt;SUM('DFP-Com'!$C16:D16),"error","ok")</f>
        <v>ok</v>
      </c>
      <c r="D6" s="303" t="str">
        <f>IF(SUM('DFP-CASH'!$C18:E18)&gt;SUM('DFP-Com'!$C16:E16),"error","ok")</f>
        <v>ok</v>
      </c>
      <c r="E6" s="303" t="str">
        <f>IF(SUM('DFP-CASH'!$C18:F18)&gt;SUM('DFP-Com'!$C16:F16),"error","ok")</f>
        <v>ok</v>
      </c>
      <c r="F6" s="303" t="str">
        <f>IF(SUM('DFP-CASH'!$C18:G18)&gt;SUM('DFP-Com'!$C16:G16),"error","ok")</f>
        <v>ok</v>
      </c>
      <c r="G6" s="303" t="str">
        <f>IF(SUM('DFP-CASH'!$C18:G18)&gt;SUM('DFP-Com'!$C16:G16),"error","ok")</f>
        <v>ok</v>
      </c>
      <c r="H6" s="303" t="str">
        <f>IF(SUM('DFP-CASH'!$C18:G18)&gt;SUM('DFP-Com'!$C16:G16),"error","ok")</f>
        <v>ok</v>
      </c>
      <c r="I6" s="303" t="str">
        <f>IF(SUM('DFP-CASH'!$C18:H18)&gt;SUM('DFP-Com'!$C16:H16),"error","ok")</f>
        <v>ok</v>
      </c>
      <c r="J6" s="303" t="str">
        <f>IF(SUM('DFP-CASH'!$C18:I18)&gt;SUM('DFP-Com'!$C16:I16),"error","ok")</f>
        <v>ok</v>
      </c>
      <c r="K6" s="303" t="str">
        <f>IF(SUM('DFP-CASH'!$C18:J18)&gt;SUM('DFP-Com'!$C16:J16),"error","ok")</f>
        <v>ok</v>
      </c>
      <c r="L6" s="303" t="str">
        <f>IF(SUM('DFP-CASH'!$C18:K18)&gt;SUM('DFP-Com'!$C16:K16),"error","ok")</f>
        <v>ok</v>
      </c>
      <c r="M6" s="303" t="str">
        <f>IF(SUM('DFP-CASH'!$C18:L18)&gt;SUM('DFP-Com'!$C16:L16),"error","ok")</f>
        <v>ok</v>
      </c>
      <c r="N6" s="303" t="str">
        <f>IF(SUM('DFP-CASH'!$C18:M18)&gt;SUM('DFP-Com'!$C16:M16),"error","ok")</f>
        <v>ok</v>
      </c>
      <c r="O6" s="303" t="str">
        <f>IF(SUM('DFP-CASH'!$C18:N18)&gt;SUM('DFP-Com'!$C16:N16),"error","ok")</f>
        <v>ok</v>
      </c>
      <c r="P6" s="303" t="str">
        <f>IF(SUM('DFP-CASH'!$C18:O18)&gt;SUM('DFP-Com'!$C16:O16),"error","ok")</f>
        <v>ok</v>
      </c>
      <c r="Q6" s="303" t="str">
        <f>IF(SUM('DFP-CASH'!$C18:P18)&gt;SUM('DFP-Com'!$C16:P16),"error","ok")</f>
        <v>ok</v>
      </c>
      <c r="R6" s="303" t="str">
        <f>IF(SUM('DFP-CASH'!$C18:Q18)&gt;SUM('DFP-Com'!$C16:Q16),"error","ok")</f>
        <v>ok</v>
      </c>
      <c r="S6" s="303" t="str">
        <f>IF(SUM('DFP-CASH'!$C18:R18)&gt;SUM('DFP-Com'!$C16:R16),"error","ok")</f>
        <v>ok</v>
      </c>
    </row>
    <row r="7" spans="1:19" ht="15">
      <c r="A7" s="203" t="s">
        <v>129</v>
      </c>
      <c r="B7" s="258" t="str">
        <f>IF('DFP-Com'!U17-'DFP-CASH'!U19=0,"ok","error")</f>
        <v>ok</v>
      </c>
      <c r="C7" s="303" t="str">
        <f>IF(SUM('DFP-CASH'!$C19:C19)&gt;SUM('DFP-Com'!$C17:D17),"error","ok")</f>
        <v>ok</v>
      </c>
      <c r="D7" s="303" t="str">
        <f>IF(SUM('DFP-CASH'!$C19:E19)&gt;SUM('DFP-Com'!$C17:E17),"error","ok")</f>
        <v>ok</v>
      </c>
      <c r="E7" s="303" t="str">
        <f>IF(SUM('DFP-CASH'!$C19:F19)&gt;SUM('DFP-Com'!$C17:F17),"error","ok")</f>
        <v>ok</v>
      </c>
      <c r="F7" s="303" t="str">
        <f>IF(SUM('DFP-CASH'!$C19:G19)&gt;SUM('DFP-Com'!$C17:G17),"error","ok")</f>
        <v>ok</v>
      </c>
      <c r="G7" s="303" t="str">
        <f>IF(SUM('DFP-CASH'!$C19:G19)&gt;SUM('DFP-Com'!$C17:G17),"error","ok")</f>
        <v>ok</v>
      </c>
      <c r="H7" s="303" t="str">
        <f>IF(SUM('DFP-CASH'!$C19:G19)&gt;SUM('DFP-Com'!$C17:G17),"error","ok")</f>
        <v>ok</v>
      </c>
      <c r="I7" s="303" t="str">
        <f>IF(SUM('DFP-CASH'!$C19:H19)&gt;SUM('DFP-Com'!$C17:H17),"error","ok")</f>
        <v>ok</v>
      </c>
      <c r="J7" s="303" t="str">
        <f>IF(SUM('DFP-CASH'!$C19:I19)&gt;SUM('DFP-Com'!$C17:I17),"error","ok")</f>
        <v>ok</v>
      </c>
      <c r="K7" s="303" t="str">
        <f>IF(SUM('DFP-CASH'!$C19:J19)&gt;SUM('DFP-Com'!$C17:J17),"error","ok")</f>
        <v>ok</v>
      </c>
      <c r="L7" s="303" t="str">
        <f>IF(SUM('DFP-CASH'!$C19:K19)&gt;SUM('DFP-Com'!$C17:K17),"error","ok")</f>
        <v>ok</v>
      </c>
      <c r="M7" s="303" t="str">
        <f>IF(SUM('DFP-CASH'!$C19:L19)&gt;SUM('DFP-Com'!$C17:L17),"error","ok")</f>
        <v>ok</v>
      </c>
      <c r="N7" s="303" t="str">
        <f>IF(SUM('DFP-CASH'!$C19:M19)&gt;SUM('DFP-Com'!$C17:M17),"error","ok")</f>
        <v>ok</v>
      </c>
      <c r="O7" s="303" t="str">
        <f>IF(SUM('DFP-CASH'!$C19:N19)&gt;SUM('DFP-Com'!$C17:N17),"error","ok")</f>
        <v>ok</v>
      </c>
      <c r="P7" s="303" t="str">
        <f>IF(SUM('DFP-CASH'!$C19:O19)&gt;SUM('DFP-Com'!$C17:O17),"error","ok")</f>
        <v>ok</v>
      </c>
      <c r="Q7" s="303" t="str">
        <f>IF(SUM('DFP-CASH'!$C19:P19)&gt;SUM('DFP-Com'!$C17:P17),"error","ok")</f>
        <v>ok</v>
      </c>
      <c r="R7" s="303" t="str">
        <f>IF(SUM('DFP-CASH'!$C19:Q19)&gt;SUM('DFP-Com'!$C17:Q17),"error","ok")</f>
        <v>ok</v>
      </c>
      <c r="S7" s="303" t="str">
        <f>IF(SUM('DFP-CASH'!$C19:R19)&gt;SUM('DFP-Com'!$C17:R17),"error","ok")</f>
        <v>ok</v>
      </c>
    </row>
    <row r="8" spans="1:19" ht="15">
      <c r="A8" s="203" t="s">
        <v>136</v>
      </c>
      <c r="B8" s="258" t="str">
        <f>IF('DFP-Com'!U18-'DFP-CASH'!U20=0,"ok","error")</f>
        <v>ok</v>
      </c>
      <c r="C8" s="303" t="str">
        <f>IF(SUM('DFP-CASH'!$C20:C20)&gt;SUM('DFP-Com'!$C18:D18),"error","ok")</f>
        <v>ok</v>
      </c>
      <c r="D8" s="303" t="str">
        <f>IF(SUM('DFP-CASH'!$C20:E20)&gt;SUM('DFP-Com'!$C18:E18),"error","ok")</f>
        <v>ok</v>
      </c>
      <c r="E8" s="303" t="str">
        <f>IF(SUM('DFP-CASH'!$C20:F20)&gt;SUM('DFP-Com'!$C18:F18),"error","ok")</f>
        <v>ok</v>
      </c>
      <c r="F8" s="303" t="str">
        <f>IF(SUM('DFP-CASH'!$C20:G20)&gt;SUM('DFP-Com'!$C18:G18),"error","ok")</f>
        <v>ok</v>
      </c>
      <c r="G8" s="303" t="str">
        <f>IF(SUM('DFP-CASH'!$C20:G20)&gt;SUM('DFP-Com'!$C18:G18),"error","ok")</f>
        <v>ok</v>
      </c>
      <c r="H8" s="303" t="str">
        <f>IF(SUM('DFP-CASH'!$C20:G20)&gt;SUM('DFP-Com'!$C18:G18),"error","ok")</f>
        <v>ok</v>
      </c>
      <c r="I8" s="303" t="str">
        <f>IF(SUM('DFP-CASH'!$C20:H20)&gt;SUM('DFP-Com'!$C18:H18),"error","ok")</f>
        <v>ok</v>
      </c>
      <c r="J8" s="303" t="str">
        <f>IF(SUM('DFP-CASH'!$C20:I20)&gt;SUM('DFP-Com'!$C18:I18),"error","ok")</f>
        <v>ok</v>
      </c>
      <c r="K8" s="303" t="str">
        <f>IF(SUM('DFP-CASH'!$C20:J20)&gt;SUM('DFP-Com'!$C18:J18),"error","ok")</f>
        <v>ok</v>
      </c>
      <c r="L8" s="303" t="str">
        <f>IF(SUM('DFP-CASH'!$C20:K20)&gt;SUM('DFP-Com'!$C18:K18),"error","ok")</f>
        <v>ok</v>
      </c>
      <c r="M8" s="303" t="str">
        <f>IF(SUM('DFP-CASH'!$C20:L20)&gt;SUM('DFP-Com'!$C18:L18),"error","ok")</f>
        <v>ok</v>
      </c>
      <c r="N8" s="303" t="str">
        <f>IF(SUM('DFP-CASH'!$C20:M20)&gt;SUM('DFP-Com'!$C18:M18),"error","ok")</f>
        <v>ok</v>
      </c>
      <c r="O8" s="303" t="str">
        <f>IF(SUM('DFP-CASH'!$C20:N20)&gt;SUM('DFP-Com'!$C18:N18),"error","ok")</f>
        <v>ok</v>
      </c>
      <c r="P8" s="303" t="str">
        <f>IF(SUM('DFP-CASH'!$C20:O20)&gt;SUM('DFP-Com'!$C18:O18),"error","ok")</f>
        <v>ok</v>
      </c>
      <c r="Q8" s="303" t="str">
        <f>IF(SUM('DFP-CASH'!$C20:P20)&gt;SUM('DFP-Com'!$C18:P18),"error","ok")</f>
        <v>ok</v>
      </c>
      <c r="R8" s="303" t="str">
        <f>IF(SUM('DFP-CASH'!$C20:Q20)&gt;SUM('DFP-Com'!$C18:Q18),"error","ok")</f>
        <v>ok</v>
      </c>
      <c r="S8" s="303" t="str">
        <f>IF(SUM('DFP-CASH'!$C20:R20)&gt;SUM('DFP-Com'!$C18:R18),"error","ok")</f>
        <v>ok</v>
      </c>
    </row>
    <row r="9" spans="1:19" ht="25.5">
      <c r="A9" s="51" t="s">
        <v>90</v>
      </c>
      <c r="B9" s="258" t="str">
        <f>IF('DFP-Com'!U19-'DFP-CASH'!U21=0,"ok","error")</f>
        <v>error</v>
      </c>
      <c r="C9" s="303" t="str">
        <f>IF(SUM('DFP-CASH'!$C21:C21)&gt;SUM('DFP-Com'!$C19:D19),"error","ok")</f>
        <v>ok</v>
      </c>
      <c r="D9" s="303" t="str">
        <f>IF(SUM('DFP-CASH'!$C21:E21)&gt;SUM('DFP-Com'!$C19:E19),"error","ok")</f>
        <v>ok</v>
      </c>
      <c r="E9" s="303" t="str">
        <f>IF(SUM('DFP-CASH'!$C21:F21)&gt;SUM('DFP-Com'!$C19:F19),"error","ok")</f>
        <v>ok</v>
      </c>
      <c r="F9" s="303" t="str">
        <f>IF(SUM('DFP-CASH'!$C21:G21)&gt;SUM('DFP-Com'!$C19:G19),"error","ok")</f>
        <v>ok</v>
      </c>
      <c r="G9" s="303" t="str">
        <f>IF(SUM('DFP-CASH'!$C21:G21)&gt;SUM('DFP-Com'!$C19:G19),"error","ok")</f>
        <v>ok</v>
      </c>
      <c r="H9" s="303" t="str">
        <f>IF(SUM('DFP-CASH'!$C21:G21)&gt;SUM('DFP-Com'!$C19:G19),"error","ok")</f>
        <v>ok</v>
      </c>
      <c r="I9" s="303" t="str">
        <f>IF(SUM('DFP-CASH'!$C21:H21)&gt;SUM('DFP-Com'!$C19:H19),"error","ok")</f>
        <v>ok</v>
      </c>
      <c r="J9" s="303" t="str">
        <f>IF(SUM('DFP-CASH'!$C21:I21)&gt;SUM('DFP-Com'!$C19:I19),"error","ok")</f>
        <v>ok</v>
      </c>
      <c r="K9" s="303" t="str">
        <f>IF(SUM('DFP-CASH'!$C21:J21)&gt;SUM('DFP-Com'!$C19:J19),"error","ok")</f>
        <v>ok</v>
      </c>
      <c r="L9" s="303" t="str">
        <f>IF(SUM('DFP-CASH'!$C21:K21)&gt;SUM('DFP-Com'!$C19:K19),"error","ok")</f>
        <v>ok</v>
      </c>
      <c r="M9" s="303" t="str">
        <f>IF(SUM('DFP-CASH'!$C21:L21)&gt;SUM('DFP-Com'!$C19:L19),"error","ok")</f>
        <v>ok</v>
      </c>
      <c r="N9" s="303" t="str">
        <f>IF(SUM('DFP-CASH'!$C21:M21)&gt;SUM('DFP-Com'!$C19:M19),"error","ok")</f>
        <v>ok</v>
      </c>
      <c r="O9" s="303" t="str">
        <f>IF(SUM('DFP-CASH'!$C21:N21)&gt;SUM('DFP-Com'!$C19:N19),"error","ok")</f>
        <v>ok</v>
      </c>
      <c r="P9" s="303" t="str">
        <f>IF(SUM('DFP-CASH'!$C21:O21)&gt;SUM('DFP-Com'!$C19:O19),"error","ok")</f>
        <v>ok</v>
      </c>
      <c r="Q9" s="303" t="str">
        <f>IF(SUM('DFP-CASH'!$C21:P21)&gt;SUM('DFP-Com'!$C19:P19),"error","ok")</f>
        <v>ok</v>
      </c>
      <c r="R9" s="303" t="str">
        <f>IF(SUM('DFP-CASH'!$C21:Q21)&gt;SUM('DFP-Com'!$C19:Q19),"error","ok")</f>
        <v>ok</v>
      </c>
      <c r="S9" s="303" t="str">
        <f>IF(SUM('DFP-CASH'!$C21:R21)&gt;SUM('DFP-Com'!$C19:R19),"error","ok")</f>
        <v>ok</v>
      </c>
    </row>
    <row r="10" spans="1:19" ht="15">
      <c r="A10" s="203" t="s">
        <v>137</v>
      </c>
      <c r="B10" s="258" t="str">
        <f>IF('DFP-Com'!U20-'DFP-CASH'!U22=0,"ok","error")</f>
        <v>error</v>
      </c>
      <c r="C10" s="303" t="str">
        <f>IF(SUM('DFP-CASH'!$C22:C22)&gt;SUM('DFP-Com'!$C20:D20),"error","ok")</f>
        <v>ok</v>
      </c>
      <c r="D10" s="303" t="str">
        <f>IF(SUM('DFP-CASH'!$C22:E22)&gt;SUM('DFP-Com'!$C20:E20),"error","ok")</f>
        <v>ok</v>
      </c>
      <c r="E10" s="303" t="str">
        <f>IF(SUM('DFP-CASH'!$C22:F22)&gt;SUM('DFP-Com'!$C20:F20),"error","ok")</f>
        <v>ok</v>
      </c>
      <c r="F10" s="303" t="str">
        <f>IF(SUM('DFP-CASH'!$C22:G22)&gt;SUM('DFP-Com'!$C20:G20),"error","ok")</f>
        <v>ok</v>
      </c>
      <c r="G10" s="303" t="str">
        <f>IF(SUM('DFP-CASH'!$C22:G22)&gt;SUM('DFP-Com'!$C20:G20),"error","ok")</f>
        <v>ok</v>
      </c>
      <c r="H10" s="303" t="str">
        <f>IF(SUM('DFP-CASH'!$C22:G22)&gt;SUM('DFP-Com'!$C20:G20),"error","ok")</f>
        <v>ok</v>
      </c>
      <c r="I10" s="303" t="str">
        <f>IF(SUM('DFP-CASH'!$C22:H22)&gt;SUM('DFP-Com'!$C20:H20),"error","ok")</f>
        <v>ok</v>
      </c>
      <c r="J10" s="303" t="str">
        <f>IF(SUM('DFP-CASH'!$C22:I22)&gt;SUM('DFP-Com'!$C20:I20),"error","ok")</f>
        <v>ok</v>
      </c>
      <c r="K10" s="303" t="str">
        <f>IF(SUM('DFP-CASH'!$C22:J22)&gt;SUM('DFP-Com'!$C20:J20),"error","ok")</f>
        <v>ok</v>
      </c>
      <c r="L10" s="303" t="str">
        <f>IF(SUM('DFP-CASH'!$C22:K22)&gt;SUM('DFP-Com'!$C20:K20),"error","ok")</f>
        <v>ok</v>
      </c>
      <c r="M10" s="303" t="str">
        <f>IF(SUM('DFP-CASH'!$C22:L22)&gt;SUM('DFP-Com'!$C20:L20),"error","ok")</f>
        <v>ok</v>
      </c>
      <c r="N10" s="303" t="str">
        <f>IF(SUM('DFP-CASH'!$C22:M22)&gt;SUM('DFP-Com'!$C20:M20),"error","ok")</f>
        <v>ok</v>
      </c>
      <c r="O10" s="303" t="str">
        <f>IF(SUM('DFP-CASH'!$C22:N22)&gt;SUM('DFP-Com'!$C20:N20),"error","ok")</f>
        <v>ok</v>
      </c>
      <c r="P10" s="303" t="str">
        <f>IF(SUM('DFP-CASH'!$C22:O22)&gt;SUM('DFP-Com'!$C20:O20),"error","ok")</f>
        <v>ok</v>
      </c>
      <c r="Q10" s="303" t="str">
        <f>IF(SUM('DFP-CASH'!$C22:P22)&gt;SUM('DFP-Com'!$C20:P20),"error","ok")</f>
        <v>ok</v>
      </c>
      <c r="R10" s="303" t="str">
        <f>IF(SUM('DFP-CASH'!$C22:Q22)&gt;SUM('DFP-Com'!$C20:Q20),"error","ok")</f>
        <v>ok</v>
      </c>
      <c r="S10" s="303" t="str">
        <f>IF(SUM('DFP-CASH'!$C22:R22)&gt;SUM('DFP-Com'!$C20:R20),"error","ok")</f>
        <v>ok</v>
      </c>
    </row>
    <row r="11" spans="1:19" ht="25.5">
      <c r="A11" s="51" t="s">
        <v>91</v>
      </c>
      <c r="B11" s="258" t="str">
        <f>IF('DFP-Com'!U21-'DFP-CASH'!U23=0,"ok","error")</f>
        <v>error</v>
      </c>
      <c r="C11" s="303" t="str">
        <f>IF(SUM('DFP-CASH'!$C23:C23)&gt;SUM('DFP-Com'!$C21:D21),"error","ok")</f>
        <v>ok</v>
      </c>
      <c r="D11" s="303" t="str">
        <f>IF(SUM('DFP-CASH'!$C23:E23)&gt;SUM('DFP-Com'!$C21:E21),"error","ok")</f>
        <v>ok</v>
      </c>
      <c r="E11" s="303" t="str">
        <f>IF(SUM('DFP-CASH'!$C23:F23)&gt;SUM('DFP-Com'!$C21:F21),"error","ok")</f>
        <v>ok</v>
      </c>
      <c r="F11" s="303" t="str">
        <f>IF(SUM('DFP-CASH'!$C23:G23)&gt;SUM('DFP-Com'!$C21:G21),"error","ok")</f>
        <v>ok</v>
      </c>
      <c r="G11" s="303" t="str">
        <f>IF(SUM('DFP-CASH'!$C23:G23)&gt;SUM('DFP-Com'!$C21:G21),"error","ok")</f>
        <v>ok</v>
      </c>
      <c r="H11" s="303" t="str">
        <f>IF(SUM('DFP-CASH'!$C23:G23)&gt;SUM('DFP-Com'!$C21:G21),"error","ok")</f>
        <v>ok</v>
      </c>
      <c r="I11" s="303" t="str">
        <f>IF(SUM('DFP-CASH'!$C23:H23)&gt;SUM('DFP-Com'!$C21:H21),"error","ok")</f>
        <v>ok</v>
      </c>
      <c r="J11" s="303" t="str">
        <f>IF(SUM('DFP-CASH'!$C23:I23)&gt;SUM('DFP-Com'!$C21:I21),"error","ok")</f>
        <v>ok</v>
      </c>
      <c r="K11" s="303" t="str">
        <f>IF(SUM('DFP-CASH'!$C23:J23)&gt;SUM('DFP-Com'!$C21:J21),"error","ok")</f>
        <v>ok</v>
      </c>
      <c r="L11" s="303" t="str">
        <f>IF(SUM('DFP-CASH'!$C23:K23)&gt;SUM('DFP-Com'!$C21:K21),"error","ok")</f>
        <v>ok</v>
      </c>
      <c r="M11" s="303" t="str">
        <f>IF(SUM('DFP-CASH'!$C23:L23)&gt;SUM('DFP-Com'!$C21:L21),"error","ok")</f>
        <v>ok</v>
      </c>
      <c r="N11" s="303" t="str">
        <f>IF(SUM('DFP-CASH'!$C23:M23)&gt;SUM('DFP-Com'!$C21:M21),"error","ok")</f>
        <v>ok</v>
      </c>
      <c r="O11" s="303" t="str">
        <f>IF(SUM('DFP-CASH'!$C23:N23)&gt;SUM('DFP-Com'!$C21:N21),"error","ok")</f>
        <v>ok</v>
      </c>
      <c r="P11" s="303" t="str">
        <f>IF(SUM('DFP-CASH'!$C23:O23)&gt;SUM('DFP-Com'!$C21:O21),"error","ok")</f>
        <v>ok</v>
      </c>
      <c r="Q11" s="303" t="str">
        <f>IF(SUM('DFP-CASH'!$C23:P23)&gt;SUM('DFP-Com'!$C21:P21),"error","ok")</f>
        <v>ok</v>
      </c>
      <c r="R11" s="303" t="str">
        <f>IF(SUM('DFP-CASH'!$C23:Q23)&gt;SUM('DFP-Com'!$C21:Q21),"error","ok")</f>
        <v>ok</v>
      </c>
      <c r="S11" s="303" t="str">
        <f>IF(SUM('DFP-CASH'!$C23:R23)&gt;SUM('DFP-Com'!$C21:R21),"error","ok")</f>
        <v>ok</v>
      </c>
    </row>
    <row r="12" spans="1:19" ht="15">
      <c r="A12" s="203" t="s">
        <v>130</v>
      </c>
      <c r="B12" s="258" t="str">
        <f>IF('DFP-Com'!U22-'DFP-CASH'!U24=0,"ok","error")</f>
        <v>ok</v>
      </c>
      <c r="C12" s="303" t="str">
        <f>IF(SUM('DFP-CASH'!$C24:C24)&gt;SUM('DFP-Com'!$C22:D22),"error","ok")</f>
        <v>ok</v>
      </c>
      <c r="D12" s="303" t="str">
        <f>IF(SUM('DFP-CASH'!$C24:E24)&gt;SUM('DFP-Com'!$C22:E22),"error","ok")</f>
        <v>ok</v>
      </c>
      <c r="E12" s="303" t="str">
        <f>IF(SUM('DFP-CASH'!$C24:F24)&gt;SUM('DFP-Com'!$C22:F22),"error","ok")</f>
        <v>ok</v>
      </c>
      <c r="F12" s="303" t="str">
        <f>IF(SUM('DFP-CASH'!$C24:G24)&gt;SUM('DFP-Com'!$C22:G22),"error","ok")</f>
        <v>ok</v>
      </c>
      <c r="G12" s="303" t="str">
        <f>IF(SUM('DFP-CASH'!$C24:G24)&gt;SUM('DFP-Com'!$C22:G22),"error","ok")</f>
        <v>ok</v>
      </c>
      <c r="H12" s="303" t="str">
        <f>IF(SUM('DFP-CASH'!$C24:G24)&gt;SUM('DFP-Com'!$C22:G22),"error","ok")</f>
        <v>ok</v>
      </c>
      <c r="I12" s="303" t="str">
        <f>IF(SUM('DFP-CASH'!$C24:H24)&gt;SUM('DFP-Com'!$C22:H22),"error","ok")</f>
        <v>ok</v>
      </c>
      <c r="J12" s="303" t="str">
        <f>IF(SUM('DFP-CASH'!$C24:I24)&gt;SUM('DFP-Com'!$C22:I22),"error","ok")</f>
        <v>ok</v>
      </c>
      <c r="K12" s="303" t="str">
        <f>IF(SUM('DFP-CASH'!$C24:J24)&gt;SUM('DFP-Com'!$C22:J22),"error","ok")</f>
        <v>ok</v>
      </c>
      <c r="L12" s="303" t="str">
        <f>IF(SUM('DFP-CASH'!$C24:K24)&gt;SUM('DFP-Com'!$C22:K22),"error","ok")</f>
        <v>ok</v>
      </c>
      <c r="M12" s="303" t="str">
        <f>IF(SUM('DFP-CASH'!$C24:L24)&gt;SUM('DFP-Com'!$C22:L22),"error","ok")</f>
        <v>ok</v>
      </c>
      <c r="N12" s="303" t="str">
        <f>IF(SUM('DFP-CASH'!$C24:M24)&gt;SUM('DFP-Com'!$C22:M22),"error","ok")</f>
        <v>ok</v>
      </c>
      <c r="O12" s="303" t="str">
        <f>IF(SUM('DFP-CASH'!$C24:N24)&gt;SUM('DFP-Com'!$C22:N22),"error","ok")</f>
        <v>ok</v>
      </c>
      <c r="P12" s="303" t="str">
        <f>IF(SUM('DFP-CASH'!$C24:O24)&gt;SUM('DFP-Com'!$C22:O22),"error","ok")</f>
        <v>ok</v>
      </c>
      <c r="Q12" s="303" t="str">
        <f>IF(SUM('DFP-CASH'!$C24:P24)&gt;SUM('DFP-Com'!$C22:P22),"error","ok")</f>
        <v>ok</v>
      </c>
      <c r="R12" s="303" t="str">
        <f>IF(SUM('DFP-CASH'!$C24:Q24)&gt;SUM('DFP-Com'!$C22:Q22),"error","ok")</f>
        <v>ok</v>
      </c>
      <c r="S12" s="303" t="str">
        <f>IF(SUM('DFP-CASH'!$C24:R24)&gt;SUM('DFP-Com'!$C22:R22),"error","ok")</f>
        <v>ok</v>
      </c>
    </row>
    <row r="13" spans="1:19" ht="15">
      <c r="A13" s="203" t="s">
        <v>146</v>
      </c>
      <c r="B13" s="258" t="str">
        <f>IF('DFP-Com'!U23-'DFP-CASH'!U25=0,"ok","error")</f>
        <v>error</v>
      </c>
      <c r="C13" s="303" t="str">
        <f>IF(SUM('DFP-CASH'!$C25:C25)&gt;SUM('DFP-Com'!$C23:D23),"error","ok")</f>
        <v>ok</v>
      </c>
      <c r="D13" s="303" t="str">
        <f>IF(SUM('DFP-CASH'!$C25:E25)&gt;SUM('DFP-Com'!$C23:E23),"error","ok")</f>
        <v>ok</v>
      </c>
      <c r="E13" s="303" t="str">
        <f>IF(SUM('DFP-CASH'!$C25:F25)&gt;SUM('DFP-Com'!$C23:F23),"error","ok")</f>
        <v>ok</v>
      </c>
      <c r="F13" s="303" t="str">
        <f>IF(SUM('DFP-CASH'!$C25:G25)&gt;SUM('DFP-Com'!$C23:G23),"error","ok")</f>
        <v>ok</v>
      </c>
      <c r="G13" s="303" t="str">
        <f>IF(SUM('DFP-CASH'!$C25:G25)&gt;SUM('DFP-Com'!$C23:G23),"error","ok")</f>
        <v>ok</v>
      </c>
      <c r="H13" s="303" t="str">
        <f>IF(SUM('DFP-CASH'!$C25:G25)&gt;SUM('DFP-Com'!$C23:G23),"error","ok")</f>
        <v>ok</v>
      </c>
      <c r="I13" s="303" t="str">
        <f>IF(SUM('DFP-CASH'!$C25:H25)&gt;SUM('DFP-Com'!$C23:H23),"error","ok")</f>
        <v>ok</v>
      </c>
      <c r="J13" s="303" t="str">
        <f>IF(SUM('DFP-CASH'!$C25:I25)&gt;SUM('DFP-Com'!$C23:I23),"error","ok")</f>
        <v>ok</v>
      </c>
      <c r="K13" s="303" t="str">
        <f>IF(SUM('DFP-CASH'!$C25:J25)&gt;SUM('DFP-Com'!$C23:J23),"error","ok")</f>
        <v>ok</v>
      </c>
      <c r="L13" s="303" t="str">
        <f>IF(SUM('DFP-CASH'!$C25:K25)&gt;SUM('DFP-Com'!$C23:K23),"error","ok")</f>
        <v>ok</v>
      </c>
      <c r="M13" s="303" t="str">
        <f>IF(SUM('DFP-CASH'!$C25:L25)&gt;SUM('DFP-Com'!$C23:L23),"error","ok")</f>
        <v>ok</v>
      </c>
      <c r="N13" s="303" t="str">
        <f>IF(SUM('DFP-CASH'!$C25:M25)&gt;SUM('DFP-Com'!$C23:M23),"error","ok")</f>
        <v>ok</v>
      </c>
      <c r="O13" s="303" t="str">
        <f>IF(SUM('DFP-CASH'!$C25:N25)&gt;SUM('DFP-Com'!$C23:N23),"error","ok")</f>
        <v>ok</v>
      </c>
      <c r="P13" s="303" t="str">
        <f>IF(SUM('DFP-CASH'!$C25:O25)&gt;SUM('DFP-Com'!$C23:O23),"error","ok")</f>
        <v>ok</v>
      </c>
      <c r="Q13" s="303" t="str">
        <f>IF(SUM('DFP-CASH'!$C25:P25)&gt;SUM('DFP-Com'!$C23:P23),"error","ok")</f>
        <v>ok</v>
      </c>
      <c r="R13" s="303" t="str">
        <f>IF(SUM('DFP-CASH'!$C25:Q25)&gt;SUM('DFP-Com'!$C23:Q23),"error","ok")</f>
        <v>ok</v>
      </c>
      <c r="S13" s="303" t="str">
        <f>IF(SUM('DFP-CASH'!$C25:R25)&gt;SUM('DFP-Com'!$C23:R23),"error","ok")</f>
        <v>ok</v>
      </c>
    </row>
    <row r="14" spans="1:19" ht="15">
      <c r="A14" s="203" t="s">
        <v>145</v>
      </c>
      <c r="B14" s="258" t="str">
        <f>IF('DFP-Com'!U24-'DFP-CASH'!U26=0,"ok","error")</f>
        <v>ok</v>
      </c>
      <c r="C14" s="303" t="str">
        <f>IF(SUM('DFP-CASH'!$C26:C26)&gt;SUM('DFP-Com'!$C24:D24),"error","ok")</f>
        <v>ok</v>
      </c>
      <c r="D14" s="303" t="str">
        <f>IF(SUM('DFP-CASH'!$C26:E26)&gt;SUM('DFP-Com'!$C24:E24),"error","ok")</f>
        <v>ok</v>
      </c>
      <c r="E14" s="303" t="str">
        <f>IF(SUM('DFP-CASH'!$C26:F26)&gt;SUM('DFP-Com'!$C24:F24),"error","ok")</f>
        <v>ok</v>
      </c>
      <c r="F14" s="303" t="str">
        <f>IF(SUM('DFP-CASH'!$C26:G26)&gt;SUM('DFP-Com'!$C24:G24),"error","ok")</f>
        <v>ok</v>
      </c>
      <c r="G14" s="303" t="str">
        <f>IF(SUM('DFP-CASH'!$C26:G26)&gt;SUM('DFP-Com'!$C24:G24),"error","ok")</f>
        <v>ok</v>
      </c>
      <c r="H14" s="303" t="str">
        <f>IF(SUM('DFP-CASH'!$C26:G26)&gt;SUM('DFP-Com'!$C24:G24),"error","ok")</f>
        <v>ok</v>
      </c>
      <c r="I14" s="303" t="str">
        <f>IF(SUM('DFP-CASH'!$C26:H26)&gt;SUM('DFP-Com'!$C24:H24),"error","ok")</f>
        <v>ok</v>
      </c>
      <c r="J14" s="303" t="str">
        <f>IF(SUM('DFP-CASH'!$C26:I26)&gt;SUM('DFP-Com'!$C24:I24),"error","ok")</f>
        <v>ok</v>
      </c>
      <c r="K14" s="303" t="str">
        <f>IF(SUM('DFP-CASH'!$C26:J26)&gt;SUM('DFP-Com'!$C24:J24),"error","ok")</f>
        <v>ok</v>
      </c>
      <c r="L14" s="303" t="str">
        <f>IF(SUM('DFP-CASH'!$C26:K26)&gt;SUM('DFP-Com'!$C24:K24),"error","ok")</f>
        <v>ok</v>
      </c>
      <c r="M14" s="303" t="str">
        <f>IF(SUM('DFP-CASH'!$C26:L26)&gt;SUM('DFP-Com'!$C24:L24),"error","ok")</f>
        <v>ok</v>
      </c>
      <c r="N14" s="303" t="str">
        <f>IF(SUM('DFP-CASH'!$C26:M26)&gt;SUM('DFP-Com'!$C24:M24),"error","ok")</f>
        <v>ok</v>
      </c>
      <c r="O14" s="303" t="str">
        <f>IF(SUM('DFP-CASH'!$C26:N26)&gt;SUM('DFP-Com'!$C24:N24),"error","ok")</f>
        <v>ok</v>
      </c>
      <c r="P14" s="303" t="str">
        <f>IF(SUM('DFP-CASH'!$C26:O26)&gt;SUM('DFP-Com'!$C24:O24),"error","ok")</f>
        <v>ok</v>
      </c>
      <c r="Q14" s="303" t="str">
        <f>IF(SUM('DFP-CASH'!$C26:P26)&gt;SUM('DFP-Com'!$C24:P24),"error","ok")</f>
        <v>ok</v>
      </c>
      <c r="R14" s="303" t="str">
        <f>IF(SUM('DFP-CASH'!$C26:Q26)&gt;SUM('DFP-Com'!$C24:Q24),"error","ok")</f>
        <v>ok</v>
      </c>
      <c r="S14" s="303" t="str">
        <f>IF(SUM('DFP-CASH'!$C26:R26)&gt;SUM('DFP-Com'!$C24:R24),"error","ok")</f>
        <v>ok</v>
      </c>
    </row>
    <row r="15" spans="1:19" ht="15">
      <c r="A15" s="53" t="s">
        <v>65</v>
      </c>
      <c r="B15" s="258" t="str">
        <f>IF('DFP-Com'!U25-'DFP-CASH'!U27=0,"ok","error")</f>
        <v>error</v>
      </c>
      <c r="C15" s="303" t="str">
        <f>IF(SUM('DFP-CASH'!$C27:C27)&gt;SUM('DFP-Com'!$C25:D25),"error","ok")</f>
        <v>ok</v>
      </c>
      <c r="D15" s="303" t="str">
        <f>IF(SUM('DFP-CASH'!$C27:E27)&gt;SUM('DFP-Com'!$C25:E25),"error","ok")</f>
        <v>ok</v>
      </c>
      <c r="E15" s="303" t="str">
        <f>IF(SUM('DFP-CASH'!$C27:F27)&gt;SUM('DFP-Com'!$C25:F25),"error","ok")</f>
        <v>ok</v>
      </c>
      <c r="F15" s="303" t="str">
        <f>IF(SUM('DFP-CASH'!$C27:G27)&gt;SUM('DFP-Com'!$C25:G25),"error","ok")</f>
        <v>ok</v>
      </c>
      <c r="G15" s="303" t="str">
        <f>IF(SUM('DFP-CASH'!$C27:G27)&gt;SUM('DFP-Com'!$C25:G25),"error","ok")</f>
        <v>ok</v>
      </c>
      <c r="H15" s="303" t="str">
        <f>IF(SUM('DFP-CASH'!$C27:G27)&gt;SUM('DFP-Com'!$C25:G25),"error","ok")</f>
        <v>ok</v>
      </c>
      <c r="I15" s="303" t="str">
        <f>IF(SUM('DFP-CASH'!$C27:H27)&gt;SUM('DFP-Com'!$C25:H25),"error","ok")</f>
        <v>ok</v>
      </c>
      <c r="J15" s="303" t="str">
        <f>IF(SUM('DFP-CASH'!$C27:I27)&gt;SUM('DFP-Com'!$C25:I25),"error","ok")</f>
        <v>ok</v>
      </c>
      <c r="K15" s="303" t="str">
        <f>IF(SUM('DFP-CASH'!$C27:J27)&gt;SUM('DFP-Com'!$C25:J25),"error","ok")</f>
        <v>ok</v>
      </c>
      <c r="L15" s="303" t="str">
        <f>IF(SUM('DFP-CASH'!$C27:K27)&gt;SUM('DFP-Com'!$C25:K25),"error","ok")</f>
        <v>ok</v>
      </c>
      <c r="M15" s="303" t="str">
        <f>IF(SUM('DFP-CASH'!$C27:L27)&gt;SUM('DFP-Com'!$C25:L25),"error","ok")</f>
        <v>ok</v>
      </c>
      <c r="N15" s="303" t="str">
        <f>IF(SUM('DFP-CASH'!$C27:M27)&gt;SUM('DFP-Com'!$C25:M25),"error","ok")</f>
        <v>ok</v>
      </c>
      <c r="O15" s="303" t="str">
        <f>IF(SUM('DFP-CASH'!$C27:N27)&gt;SUM('DFP-Com'!$C25:N25),"error","ok")</f>
        <v>ok</v>
      </c>
      <c r="P15" s="303" t="str">
        <f>IF(SUM('DFP-CASH'!$C27:O27)&gt;SUM('DFP-Com'!$C25:O25),"error","ok")</f>
        <v>ok</v>
      </c>
      <c r="Q15" s="303" t="str">
        <f>IF(SUM('DFP-CASH'!$C27:P27)&gt;SUM('DFP-Com'!$C25:P25),"error","ok")</f>
        <v>ok</v>
      </c>
      <c r="R15" s="303" t="str">
        <f>IF(SUM('DFP-CASH'!$C27:Q27)&gt;SUM('DFP-Com'!$C25:Q25),"error","ok")</f>
        <v>ok</v>
      </c>
      <c r="S15" s="303" t="str">
        <f>IF(SUM('DFP-CASH'!$C27:R27)&gt;SUM('DFP-Com'!$C25:R25),"error","ok")</f>
        <v>ok</v>
      </c>
    </row>
    <row r="16" spans="1:19" ht="15">
      <c r="A16" s="55"/>
      <c r="B16" s="258" t="str">
        <f>IF('DFP-Com'!U26-'DFP-CASH'!U28=0,"ok","error")</f>
        <v>ok</v>
      </c>
      <c r="C16" s="303" t="str">
        <f>IF(SUM('DFP-CASH'!$C28:C28)&gt;SUM('DFP-Com'!$C26:D26),"error","ok")</f>
        <v>ok</v>
      </c>
      <c r="D16" s="303" t="str">
        <f>IF(SUM('DFP-CASH'!$C28:E28)&gt;SUM('DFP-Com'!$C26:E26),"error","ok")</f>
        <v>ok</v>
      </c>
      <c r="E16" s="303" t="str">
        <f>IF(SUM('DFP-CASH'!$C28:F28)&gt;SUM('DFP-Com'!$C26:F26),"error","ok")</f>
        <v>ok</v>
      </c>
      <c r="F16" s="303" t="str">
        <f>IF(SUM('DFP-CASH'!$C28:G28)&gt;SUM('DFP-Com'!$C26:G26),"error","ok")</f>
        <v>ok</v>
      </c>
      <c r="G16" s="303" t="str">
        <f>IF(SUM('DFP-CASH'!$C28:G28)&gt;SUM('DFP-Com'!$C26:G26),"error","ok")</f>
        <v>ok</v>
      </c>
      <c r="H16" s="303" t="str">
        <f>IF(SUM('DFP-CASH'!$C28:G28)&gt;SUM('DFP-Com'!$C26:G26),"error","ok")</f>
        <v>ok</v>
      </c>
      <c r="I16" s="303" t="str">
        <f>IF(SUM('DFP-CASH'!$C28:H28)&gt;SUM('DFP-Com'!$C26:H26),"error","ok")</f>
        <v>ok</v>
      </c>
      <c r="J16" s="303" t="str">
        <f>IF(SUM('DFP-CASH'!$C28:I28)&gt;SUM('DFP-Com'!$C26:I26),"error","ok")</f>
        <v>ok</v>
      </c>
      <c r="K16" s="303" t="str">
        <f>IF(SUM('DFP-CASH'!$C28:J28)&gt;SUM('DFP-Com'!$C26:J26),"error","ok")</f>
        <v>ok</v>
      </c>
      <c r="L16" s="303" t="str">
        <f>IF(SUM('DFP-CASH'!$C28:K28)&gt;SUM('DFP-Com'!$C26:K26),"error","ok")</f>
        <v>ok</v>
      </c>
      <c r="M16" s="303" t="str">
        <f>IF(SUM('DFP-CASH'!$C28:L28)&gt;SUM('DFP-Com'!$C26:L26),"error","ok")</f>
        <v>ok</v>
      </c>
      <c r="N16" s="303" t="str">
        <f>IF(SUM('DFP-CASH'!$C28:M28)&gt;SUM('DFP-Com'!$C26:M26),"error","ok")</f>
        <v>ok</v>
      </c>
      <c r="O16" s="303" t="str">
        <f>IF(SUM('DFP-CASH'!$C28:N28)&gt;SUM('DFP-Com'!$C26:N26),"error","ok")</f>
        <v>ok</v>
      </c>
      <c r="P16" s="303" t="str">
        <f>IF(SUM('DFP-CASH'!$C28:O28)&gt;SUM('DFP-Com'!$C26:O26),"error","ok")</f>
        <v>ok</v>
      </c>
      <c r="Q16" s="303" t="str">
        <f>IF(SUM('DFP-CASH'!$C28:P28)&gt;SUM('DFP-Com'!$C26:P26),"error","ok")</f>
        <v>ok</v>
      </c>
      <c r="R16" s="303" t="str">
        <f>IF(SUM('DFP-CASH'!$C28:Q28)&gt;SUM('DFP-Com'!$C26:Q26),"error","ok")</f>
        <v>ok</v>
      </c>
      <c r="S16" s="303" t="str">
        <f>IF(SUM('DFP-CASH'!$C28:R28)&gt;SUM('DFP-Com'!$C26:R26),"error","ok")</f>
        <v>ok</v>
      </c>
    </row>
    <row r="17" spans="1:19" ht="15">
      <c r="A17" s="46" t="s">
        <v>94</v>
      </c>
      <c r="B17" s="258" t="str">
        <f>IF('DFP-Com'!U27-'DFP-CASH'!U29=0,"ok","error")</f>
        <v>ok</v>
      </c>
      <c r="C17" s="303" t="str">
        <f>IF(SUM('DFP-CASH'!$C29:C29)&gt;SUM('DFP-Com'!$C27:D27),"error","ok")</f>
        <v>ok</v>
      </c>
      <c r="D17" s="303" t="str">
        <f>IF(SUM('DFP-CASH'!$C29:E29)&gt;SUM('DFP-Com'!$C27:E27),"error","ok")</f>
        <v>ok</v>
      </c>
      <c r="E17" s="303" t="str">
        <f>IF(SUM('DFP-CASH'!$C29:F29)&gt;SUM('DFP-Com'!$C27:F27),"error","ok")</f>
        <v>ok</v>
      </c>
      <c r="F17" s="303" t="str">
        <f>IF(SUM('DFP-CASH'!$C29:G29)&gt;SUM('DFP-Com'!$C27:G27),"error","ok")</f>
        <v>ok</v>
      </c>
      <c r="G17" s="303" t="str">
        <f>IF(SUM('DFP-CASH'!$C29:G29)&gt;SUM('DFP-Com'!$C27:G27),"error","ok")</f>
        <v>ok</v>
      </c>
      <c r="H17" s="303" t="str">
        <f>IF(SUM('DFP-CASH'!$C29:G29)&gt;SUM('DFP-Com'!$C27:G27),"error","ok")</f>
        <v>ok</v>
      </c>
      <c r="I17" s="303" t="str">
        <f>IF(SUM('DFP-CASH'!$C29:H29)&gt;SUM('DFP-Com'!$C27:H27),"error","ok")</f>
        <v>ok</v>
      </c>
      <c r="J17" s="303" t="str">
        <f>IF(SUM('DFP-CASH'!$C29:I29)&gt;SUM('DFP-Com'!$C27:I27),"error","ok")</f>
        <v>ok</v>
      </c>
      <c r="K17" s="303" t="str">
        <f>IF(SUM('DFP-CASH'!$C29:J29)&gt;SUM('DFP-Com'!$C27:J27),"error","ok")</f>
        <v>ok</v>
      </c>
      <c r="L17" s="303" t="str">
        <f>IF(SUM('DFP-CASH'!$C29:K29)&gt;SUM('DFP-Com'!$C27:K27),"error","ok")</f>
        <v>ok</v>
      </c>
      <c r="M17" s="303" t="str">
        <f>IF(SUM('DFP-CASH'!$C29:L29)&gt;SUM('DFP-Com'!$C27:L27),"error","ok")</f>
        <v>ok</v>
      </c>
      <c r="N17" s="303" t="str">
        <f>IF(SUM('DFP-CASH'!$C29:M29)&gt;SUM('DFP-Com'!$C27:M27),"error","ok")</f>
        <v>ok</v>
      </c>
      <c r="O17" s="303" t="str">
        <f>IF(SUM('DFP-CASH'!$C29:N29)&gt;SUM('DFP-Com'!$C27:N27),"error","ok")</f>
        <v>ok</v>
      </c>
      <c r="P17" s="303" t="str">
        <f>IF(SUM('DFP-CASH'!$C29:O29)&gt;SUM('DFP-Com'!$C27:O27),"error","ok")</f>
        <v>ok</v>
      </c>
      <c r="Q17" s="303" t="str">
        <f>IF(SUM('DFP-CASH'!$C29:P29)&gt;SUM('DFP-Com'!$C27:P27),"error","ok")</f>
        <v>ok</v>
      </c>
      <c r="R17" s="303" t="str">
        <f>IF(SUM('DFP-CASH'!$C29:Q29)&gt;SUM('DFP-Com'!$C27:Q27),"error","ok")</f>
        <v>ok</v>
      </c>
      <c r="S17" s="303" t="str">
        <f>IF(SUM('DFP-CASH'!$C29:R29)&gt;SUM('DFP-Com'!$C27:R27),"error","ok")</f>
        <v>ok</v>
      </c>
    </row>
    <row r="18" spans="1:19" ht="15">
      <c r="A18" s="51" t="s">
        <v>147</v>
      </c>
      <c r="B18" s="258" t="str">
        <f>IF('DFP-Com'!U28-'DFP-CASH'!U30=0,"ok","error")</f>
        <v>error</v>
      </c>
      <c r="C18" s="303" t="str">
        <f>IF(SUM('DFP-CASH'!$C30:C30)&gt;SUM('DFP-Com'!$C28:D28),"error","ok")</f>
        <v>ok</v>
      </c>
      <c r="D18" s="303" t="str">
        <f>IF(SUM('DFP-CASH'!$C30:E30)&gt;SUM('DFP-Com'!$C28:E28),"error","ok")</f>
        <v>ok</v>
      </c>
      <c r="E18" s="303" t="str">
        <f>IF(SUM('DFP-CASH'!$C30:F30)&gt;SUM('DFP-Com'!$C28:F28),"error","ok")</f>
        <v>ok</v>
      </c>
      <c r="F18" s="303" t="str">
        <f>IF(SUM('DFP-CASH'!$C30:G30)&gt;SUM('DFP-Com'!$C28:G28),"error","ok")</f>
        <v>ok</v>
      </c>
      <c r="G18" s="303" t="str">
        <f>IF(SUM('DFP-CASH'!$C30:G30)&gt;SUM('DFP-Com'!$C28:G28),"error","ok")</f>
        <v>ok</v>
      </c>
      <c r="H18" s="303" t="str">
        <f>IF(SUM('DFP-CASH'!$C30:G30)&gt;SUM('DFP-Com'!$C28:G28),"error","ok")</f>
        <v>ok</v>
      </c>
      <c r="I18" s="303" t="str">
        <f>IF(SUM('DFP-CASH'!$C30:H30)&gt;SUM('DFP-Com'!$C28:H28),"error","ok")</f>
        <v>ok</v>
      </c>
      <c r="J18" s="303" t="str">
        <f>IF(SUM('DFP-CASH'!$C30:I30)&gt;SUM('DFP-Com'!$C28:I28),"error","ok")</f>
        <v>ok</v>
      </c>
      <c r="K18" s="303" t="str">
        <f>IF(SUM('DFP-CASH'!$C30:J30)&gt;SUM('DFP-Com'!$C28:J28),"error","ok")</f>
        <v>ok</v>
      </c>
      <c r="L18" s="303" t="str">
        <f>IF(SUM('DFP-CASH'!$C30:K30)&gt;SUM('DFP-Com'!$C28:K28),"error","ok")</f>
        <v>ok</v>
      </c>
      <c r="M18" s="303" t="str">
        <f>IF(SUM('DFP-CASH'!$C30:L30)&gt;SUM('DFP-Com'!$C28:L28),"error","ok")</f>
        <v>ok</v>
      </c>
      <c r="N18" s="303" t="str">
        <f>IF(SUM('DFP-CASH'!$C30:M30)&gt;SUM('DFP-Com'!$C28:M28),"error","ok")</f>
        <v>ok</v>
      </c>
      <c r="O18" s="303" t="str">
        <f>IF(SUM('DFP-CASH'!$C30:N30)&gt;SUM('DFP-Com'!$C28:N28),"error","ok")</f>
        <v>ok</v>
      </c>
      <c r="P18" s="303" t="str">
        <f>IF(SUM('DFP-CASH'!$C30:O30)&gt;SUM('DFP-Com'!$C28:O28),"error","ok")</f>
        <v>ok</v>
      </c>
      <c r="Q18" s="303" t="str">
        <f>IF(SUM('DFP-CASH'!$C30:P30)&gt;SUM('DFP-Com'!$C28:P28),"error","ok")</f>
        <v>ok</v>
      </c>
      <c r="R18" s="303" t="str">
        <f>IF(SUM('DFP-CASH'!$C30:Q30)&gt;SUM('DFP-Com'!$C28:Q28),"error","ok")</f>
        <v>ok</v>
      </c>
      <c r="S18" s="303" t="str">
        <f>IF(SUM('DFP-CASH'!$C30:R30)&gt;SUM('DFP-Com'!$C28:R28),"error","ok")</f>
        <v>ok</v>
      </c>
    </row>
    <row r="19" spans="1:19" ht="15">
      <c r="A19" s="203" t="s">
        <v>140</v>
      </c>
      <c r="B19" s="258" t="str">
        <f>IF('DFP-Com'!U29-'DFP-CASH'!U31=0,"ok","error")</f>
        <v>error</v>
      </c>
      <c r="C19" s="303" t="str">
        <f>IF(SUM('DFP-CASH'!$C31:C31)&gt;SUM('DFP-Com'!$C29:D29),"error","ok")</f>
        <v>ok</v>
      </c>
      <c r="D19" s="303" t="str">
        <f>IF(SUM('DFP-CASH'!$C31:E31)&gt;SUM('DFP-Com'!$C29:E29),"error","ok")</f>
        <v>ok</v>
      </c>
      <c r="E19" s="303" t="str">
        <f>IF(SUM('DFP-CASH'!$C31:F31)&gt;SUM('DFP-Com'!$C29:F29),"error","ok")</f>
        <v>ok</v>
      </c>
      <c r="F19" s="303" t="str">
        <f>IF(SUM('DFP-CASH'!$C31:G31)&gt;SUM('DFP-Com'!$C29:G29),"error","ok")</f>
        <v>ok</v>
      </c>
      <c r="G19" s="303" t="str">
        <f>IF(SUM('DFP-CASH'!$C31:G31)&gt;SUM('DFP-Com'!$C29:G29),"error","ok")</f>
        <v>ok</v>
      </c>
      <c r="H19" s="303" t="str">
        <f>IF(SUM('DFP-CASH'!$C31:G31)&gt;SUM('DFP-Com'!$C29:G29),"error","ok")</f>
        <v>ok</v>
      </c>
      <c r="I19" s="303" t="str">
        <f>IF(SUM('DFP-CASH'!$C31:H31)&gt;SUM('DFP-Com'!$C29:H29),"error","ok")</f>
        <v>ok</v>
      </c>
      <c r="J19" s="303" t="str">
        <f>IF(SUM('DFP-CASH'!$C31:I31)&gt;SUM('DFP-Com'!$C29:I29),"error","ok")</f>
        <v>ok</v>
      </c>
      <c r="K19" s="303" t="str">
        <f>IF(SUM('DFP-CASH'!$C31:J31)&gt;SUM('DFP-Com'!$C29:J29),"error","ok")</f>
        <v>ok</v>
      </c>
      <c r="L19" s="303" t="str">
        <f>IF(SUM('DFP-CASH'!$C31:K31)&gt;SUM('DFP-Com'!$C29:K29),"error","ok")</f>
        <v>ok</v>
      </c>
      <c r="M19" s="303" t="str">
        <f>IF(SUM('DFP-CASH'!$C31:L31)&gt;SUM('DFP-Com'!$C29:L29),"error","ok")</f>
        <v>ok</v>
      </c>
      <c r="N19" s="303" t="str">
        <f>IF(SUM('DFP-CASH'!$C31:M31)&gt;SUM('DFP-Com'!$C29:M29),"error","ok")</f>
        <v>ok</v>
      </c>
      <c r="O19" s="303" t="str">
        <f>IF(SUM('DFP-CASH'!$C31:N31)&gt;SUM('DFP-Com'!$C29:N29),"error","ok")</f>
        <v>ok</v>
      </c>
      <c r="P19" s="303" t="str">
        <f>IF(SUM('DFP-CASH'!$C31:O31)&gt;SUM('DFP-Com'!$C29:O29),"error","ok")</f>
        <v>ok</v>
      </c>
      <c r="Q19" s="303" t="str">
        <f>IF(SUM('DFP-CASH'!$C31:P31)&gt;SUM('DFP-Com'!$C29:P29),"error","ok")</f>
        <v>ok</v>
      </c>
      <c r="R19" s="303" t="str">
        <f>IF(SUM('DFP-CASH'!$C31:Q31)&gt;SUM('DFP-Com'!$C29:Q29),"error","ok")</f>
        <v>ok</v>
      </c>
      <c r="S19" s="303" t="str">
        <f>IF(SUM('DFP-CASH'!$C31:R31)&gt;SUM('DFP-Com'!$C29:R29),"error","ok")</f>
        <v>ok</v>
      </c>
    </row>
    <row r="20" spans="1:19" ht="25.5">
      <c r="A20" s="51" t="s">
        <v>98</v>
      </c>
      <c r="B20" s="258" t="str">
        <f>IF('DFP-Com'!U30-'DFP-CASH'!U32=0,"ok","error")</f>
        <v>error</v>
      </c>
      <c r="C20" s="303" t="str">
        <f>IF(SUM('DFP-CASH'!$C32:C32)&gt;SUM('DFP-Com'!$C30:D30),"error","ok")</f>
        <v>ok</v>
      </c>
      <c r="D20" s="303" t="str">
        <f>IF(SUM('DFP-CASH'!$C32:E32)&gt;SUM('DFP-Com'!$C30:E30),"error","ok")</f>
        <v>ok</v>
      </c>
      <c r="E20" s="303" t="str">
        <f>IF(SUM('DFP-CASH'!$C32:F32)&gt;SUM('DFP-Com'!$C30:F30),"error","ok")</f>
        <v>ok</v>
      </c>
      <c r="F20" s="303" t="str">
        <f>IF(SUM('DFP-CASH'!$C32:G32)&gt;SUM('DFP-Com'!$C30:G30),"error","ok")</f>
        <v>ok</v>
      </c>
      <c r="G20" s="303" t="str">
        <f>IF(SUM('DFP-CASH'!$C32:G32)&gt;SUM('DFP-Com'!$C30:G30),"error","ok")</f>
        <v>ok</v>
      </c>
      <c r="H20" s="303" t="str">
        <f>IF(SUM('DFP-CASH'!$C32:G32)&gt;SUM('DFP-Com'!$C30:G30),"error","ok")</f>
        <v>ok</v>
      </c>
      <c r="I20" s="303" t="str">
        <f>IF(SUM('DFP-CASH'!$C32:H32)&gt;SUM('DFP-Com'!$C30:H30),"error","ok")</f>
        <v>ok</v>
      </c>
      <c r="J20" s="303" t="str">
        <f>IF(SUM('DFP-CASH'!$C32:I32)&gt;SUM('DFP-Com'!$C30:I30),"error","ok")</f>
        <v>ok</v>
      </c>
      <c r="K20" s="303" t="str">
        <f>IF(SUM('DFP-CASH'!$C32:J32)&gt;SUM('DFP-Com'!$C30:J30),"error","ok")</f>
        <v>ok</v>
      </c>
      <c r="L20" s="303" t="str">
        <f>IF(SUM('DFP-CASH'!$C32:K32)&gt;SUM('DFP-Com'!$C30:K30),"error","ok")</f>
        <v>ok</v>
      </c>
      <c r="M20" s="303" t="str">
        <f>IF(SUM('DFP-CASH'!$C32:L32)&gt;SUM('DFP-Com'!$C30:L30),"error","ok")</f>
        <v>ok</v>
      </c>
      <c r="N20" s="303" t="str">
        <f>IF(SUM('DFP-CASH'!$C32:M32)&gt;SUM('DFP-Com'!$C30:M30),"error","ok")</f>
        <v>error</v>
      </c>
      <c r="O20" s="303" t="str">
        <f>IF(SUM('DFP-CASH'!$C32:N32)&gt;SUM('DFP-Com'!$C30:N30),"error","ok")</f>
        <v>error</v>
      </c>
      <c r="P20" s="303" t="str">
        <f>IF(SUM('DFP-CASH'!$C32:O32)&gt;SUM('DFP-Com'!$C30:O30),"error","ok")</f>
        <v>error</v>
      </c>
      <c r="Q20" s="303" t="str">
        <f>IF(SUM('DFP-CASH'!$C32:P32)&gt;SUM('DFP-Com'!$C30:P30),"error","ok")</f>
        <v>error</v>
      </c>
      <c r="R20" s="303" t="str">
        <f>IF(SUM('DFP-CASH'!$C32:Q32)&gt;SUM('DFP-Com'!$C30:Q30),"error","ok")</f>
        <v>error</v>
      </c>
      <c r="S20" s="303" t="str">
        <f>IF(SUM('DFP-CASH'!$C32:R32)&gt;SUM('DFP-Com'!$C30:R30),"error","ok")</f>
        <v>error</v>
      </c>
    </row>
    <row r="21" spans="1:19" ht="15">
      <c r="A21" s="203" t="s">
        <v>141</v>
      </c>
      <c r="B21" s="258" t="str">
        <f>IF('DFP-Com'!U31-'DFP-CASH'!U33=0,"ok","error")</f>
        <v>error</v>
      </c>
      <c r="C21" s="303" t="str">
        <f>IF(SUM('DFP-CASH'!$C33:C33)&gt;SUM('DFP-Com'!$C31:D31),"error","ok")</f>
        <v>ok</v>
      </c>
      <c r="D21" s="303" t="str">
        <f>IF(SUM('DFP-CASH'!$C33:E33)&gt;SUM('DFP-Com'!$C31:E31),"error","ok")</f>
        <v>ok</v>
      </c>
      <c r="E21" s="303" t="str">
        <f>IF(SUM('DFP-CASH'!$C33:F33)&gt;SUM('DFP-Com'!$C31:F31),"error","ok")</f>
        <v>ok</v>
      </c>
      <c r="F21" s="303" t="str">
        <f>IF(SUM('DFP-CASH'!$C33:G33)&gt;SUM('DFP-Com'!$C31:G31),"error","ok")</f>
        <v>ok</v>
      </c>
      <c r="G21" s="303" t="str">
        <f>IF(SUM('DFP-CASH'!$C33:G33)&gt;SUM('DFP-Com'!$C31:G31),"error","ok")</f>
        <v>ok</v>
      </c>
      <c r="H21" s="303" t="str">
        <f>IF(SUM('DFP-CASH'!$C33:G33)&gt;SUM('DFP-Com'!$C31:G31),"error","ok")</f>
        <v>ok</v>
      </c>
      <c r="I21" s="303" t="str">
        <f>IF(SUM('DFP-CASH'!$C33:H33)&gt;SUM('DFP-Com'!$C31:H31),"error","ok")</f>
        <v>ok</v>
      </c>
      <c r="J21" s="303" t="str">
        <f>IF(SUM('DFP-CASH'!$C33:I33)&gt;SUM('DFP-Com'!$C31:I31),"error","ok")</f>
        <v>ok</v>
      </c>
      <c r="K21" s="303" t="str">
        <f>IF(SUM('DFP-CASH'!$C33:J33)&gt;SUM('DFP-Com'!$C31:J31),"error","ok")</f>
        <v>ok</v>
      </c>
      <c r="L21" s="303" t="str">
        <f>IF(SUM('DFP-CASH'!$C33:K33)&gt;SUM('DFP-Com'!$C31:K31),"error","ok")</f>
        <v>ok</v>
      </c>
      <c r="M21" s="303" t="str">
        <f>IF(SUM('DFP-CASH'!$C33:L33)&gt;SUM('DFP-Com'!$C31:L31),"error","ok")</f>
        <v>ok</v>
      </c>
      <c r="N21" s="303" t="str">
        <f>IF(SUM('DFP-CASH'!$C33:M33)&gt;SUM('DFP-Com'!$C31:M31),"error","ok")</f>
        <v>ok</v>
      </c>
      <c r="O21" s="303" t="str">
        <f>IF(SUM('DFP-CASH'!$C33:N33)&gt;SUM('DFP-Com'!$C31:N31),"error","ok")</f>
        <v>ok</v>
      </c>
      <c r="P21" s="303" t="str">
        <f>IF(SUM('DFP-CASH'!$C33:O33)&gt;SUM('DFP-Com'!$C31:O31),"error","ok")</f>
        <v>ok</v>
      </c>
      <c r="Q21" s="303" t="str">
        <f>IF(SUM('DFP-CASH'!$C33:P33)&gt;SUM('DFP-Com'!$C31:P31),"error","ok")</f>
        <v>ok</v>
      </c>
      <c r="R21" s="303" t="str">
        <f>IF(SUM('DFP-CASH'!$C33:Q33)&gt;SUM('DFP-Com'!$C31:Q31),"error","ok")</f>
        <v>ok</v>
      </c>
      <c r="S21" s="303" t="str">
        <f>IF(SUM('DFP-CASH'!$C33:R33)&gt;SUM('DFP-Com'!$C31:R31),"error","ok")</f>
        <v>ok</v>
      </c>
    </row>
    <row r="22" spans="1:19" ht="15">
      <c r="A22" s="203" t="s">
        <v>142</v>
      </c>
      <c r="B22" s="258" t="str">
        <f>IF('DFP-Com'!U32-'DFP-CASH'!U34=0,"ok","error")</f>
        <v>error</v>
      </c>
      <c r="C22" s="303" t="str">
        <f>IF(SUM('DFP-CASH'!$C34:C34)&gt;SUM('DFP-Com'!$C32:D32),"error","ok")</f>
        <v>ok</v>
      </c>
      <c r="D22" s="303" t="str">
        <f>IF(SUM('DFP-CASH'!$C34:E34)&gt;SUM('DFP-Com'!$C32:E32),"error","ok")</f>
        <v>ok</v>
      </c>
      <c r="E22" s="303" t="str">
        <f>IF(SUM('DFP-CASH'!$C34:F34)&gt;SUM('DFP-Com'!$C32:F32),"error","ok")</f>
        <v>ok</v>
      </c>
      <c r="F22" s="303" t="str">
        <f>IF(SUM('DFP-CASH'!$C34:G34)&gt;SUM('DFP-Com'!$C32:G32),"error","ok")</f>
        <v>ok</v>
      </c>
      <c r="G22" s="303" t="str">
        <f>IF(SUM('DFP-CASH'!$C34:G34)&gt;SUM('DFP-Com'!$C32:G32),"error","ok")</f>
        <v>ok</v>
      </c>
      <c r="H22" s="303" t="str">
        <f>IF(SUM('DFP-CASH'!$C34:G34)&gt;SUM('DFP-Com'!$C32:G32),"error","ok")</f>
        <v>ok</v>
      </c>
      <c r="I22" s="303" t="str">
        <f>IF(SUM('DFP-CASH'!$C34:H34)&gt;SUM('DFP-Com'!$C32:H32),"error","ok")</f>
        <v>ok</v>
      </c>
      <c r="J22" s="303" t="str">
        <f>IF(SUM('DFP-CASH'!$C34:I34)&gt;SUM('DFP-Com'!$C32:I32),"error","ok")</f>
        <v>error</v>
      </c>
      <c r="K22" s="303" t="str">
        <f>IF(SUM('DFP-CASH'!$C34:J34)&gt;SUM('DFP-Com'!$C32:J32),"error","ok")</f>
        <v>ok</v>
      </c>
      <c r="L22" s="303" t="str">
        <f>IF(SUM('DFP-CASH'!$C34:K34)&gt;SUM('DFP-Com'!$C32:K32),"error","ok")</f>
        <v>ok</v>
      </c>
      <c r="M22" s="303" t="str">
        <f>IF(SUM('DFP-CASH'!$C34:L34)&gt;SUM('DFP-Com'!$C32:L32),"error","ok")</f>
        <v>error</v>
      </c>
      <c r="N22" s="303" t="str">
        <f>IF(SUM('DFP-CASH'!$C34:M34)&gt;SUM('DFP-Com'!$C32:M32),"error","ok")</f>
        <v>error</v>
      </c>
      <c r="O22" s="303" t="str">
        <f>IF(SUM('DFP-CASH'!$C34:N34)&gt;SUM('DFP-Com'!$C32:N32),"error","ok")</f>
        <v>error</v>
      </c>
      <c r="P22" s="303" t="str">
        <f>IF(SUM('DFP-CASH'!$C34:O34)&gt;SUM('DFP-Com'!$C32:O32),"error","ok")</f>
        <v>error</v>
      </c>
      <c r="Q22" s="303" t="str">
        <f>IF(SUM('DFP-CASH'!$C34:P34)&gt;SUM('DFP-Com'!$C32:P32),"error","ok")</f>
        <v>error</v>
      </c>
      <c r="R22" s="303" t="str">
        <f>IF(SUM('DFP-CASH'!$C34:Q34)&gt;SUM('DFP-Com'!$C32:Q32),"error","ok")</f>
        <v>error</v>
      </c>
      <c r="S22" s="303" t="str">
        <f>IF(SUM('DFP-CASH'!$C34:R34)&gt;SUM('DFP-Com'!$C32:R32),"error","ok")</f>
        <v>error</v>
      </c>
    </row>
    <row r="23" spans="1:19" ht="15">
      <c r="A23" s="203" t="s">
        <v>144</v>
      </c>
      <c r="B23" s="258" t="str">
        <f>IF('DFP-Com'!U33-'DFP-CASH'!U35=0,"ok","error")</f>
        <v>ok</v>
      </c>
      <c r="C23" s="303" t="str">
        <f>IF(SUM('DFP-CASH'!$C35:C35)&gt;SUM('DFP-Com'!$C33:D33),"error","ok")</f>
        <v>ok</v>
      </c>
      <c r="D23" s="303" t="str">
        <f>IF(SUM('DFP-CASH'!$C35:E35)&gt;SUM('DFP-Com'!$C33:E33),"error","ok")</f>
        <v>ok</v>
      </c>
      <c r="E23" s="303" t="str">
        <f>IF(SUM('DFP-CASH'!$C35:F35)&gt;SUM('DFP-Com'!$C33:F33),"error","ok")</f>
        <v>ok</v>
      </c>
      <c r="F23" s="303" t="str">
        <f>IF(SUM('DFP-CASH'!$C35:G35)&gt;SUM('DFP-Com'!$C33:G33),"error","ok")</f>
        <v>ok</v>
      </c>
      <c r="G23" s="303" t="str">
        <f>IF(SUM('DFP-CASH'!$C35:G35)&gt;SUM('DFP-Com'!$C33:G33),"error","ok")</f>
        <v>ok</v>
      </c>
      <c r="H23" s="303" t="str">
        <f>IF(SUM('DFP-CASH'!$C35:G35)&gt;SUM('DFP-Com'!$C33:G33),"error","ok")</f>
        <v>ok</v>
      </c>
      <c r="I23" s="303" t="str">
        <f>IF(SUM('DFP-CASH'!$C35:H35)&gt;SUM('DFP-Com'!$C33:H33),"error","ok")</f>
        <v>ok</v>
      </c>
      <c r="J23" s="303" t="str">
        <f>IF(SUM('DFP-CASH'!$C35:I35)&gt;SUM('DFP-Com'!$C33:I33),"error","ok")</f>
        <v>ok</v>
      </c>
      <c r="K23" s="303" t="str">
        <f>IF(SUM('DFP-CASH'!$C35:J35)&gt;SUM('DFP-Com'!$C33:J33),"error","ok")</f>
        <v>ok</v>
      </c>
      <c r="L23" s="303" t="str">
        <f>IF(SUM('DFP-CASH'!$C35:K35)&gt;SUM('DFP-Com'!$C33:K33),"error","ok")</f>
        <v>ok</v>
      </c>
      <c r="M23" s="303" t="str">
        <f>IF(SUM('DFP-CASH'!$C35:L35)&gt;SUM('DFP-Com'!$C33:L33),"error","ok")</f>
        <v>ok</v>
      </c>
      <c r="N23" s="303" t="str">
        <f>IF(SUM('DFP-CASH'!$C35:M35)&gt;SUM('DFP-Com'!$C33:M33),"error","ok")</f>
        <v>ok</v>
      </c>
      <c r="O23" s="303" t="str">
        <f>IF(SUM('DFP-CASH'!$C35:N35)&gt;SUM('DFP-Com'!$C33:N33),"error","ok")</f>
        <v>ok</v>
      </c>
      <c r="P23" s="303" t="str">
        <f>IF(SUM('DFP-CASH'!$C35:O35)&gt;SUM('DFP-Com'!$C33:O33),"error","ok")</f>
        <v>ok</v>
      </c>
      <c r="Q23" s="303" t="str">
        <f>IF(SUM('DFP-CASH'!$C35:P35)&gt;SUM('DFP-Com'!$C33:P33),"error","ok")</f>
        <v>ok</v>
      </c>
      <c r="R23" s="303" t="str">
        <f>IF(SUM('DFP-CASH'!$C35:Q35)&gt;SUM('DFP-Com'!$C33:Q33),"error","ok")</f>
        <v>ok</v>
      </c>
      <c r="S23" s="303" t="str">
        <f>IF(SUM('DFP-CASH'!$C35:R35)&gt;SUM('DFP-Com'!$C33:R33),"error","ok")</f>
        <v>ok</v>
      </c>
    </row>
    <row r="24" spans="1:19" ht="15">
      <c r="A24" s="60" t="s">
        <v>66</v>
      </c>
      <c r="B24" s="258" t="str">
        <f>IF('DFP-Com'!U34-'DFP-CASH'!U36=0,"ok","error")</f>
        <v>error</v>
      </c>
      <c r="C24" s="303" t="str">
        <f>IF(SUM('DFP-CASH'!$C36:C36)&gt;SUM('DFP-Com'!$C34:D34),"error","ok")</f>
        <v>ok</v>
      </c>
      <c r="D24" s="303" t="str">
        <f>IF(SUM('DFP-CASH'!$C36:E36)&gt;SUM('DFP-Com'!$C34:E34),"error","ok")</f>
        <v>ok</v>
      </c>
      <c r="E24" s="303" t="str">
        <f>IF(SUM('DFP-CASH'!$C36:F36)&gt;SUM('DFP-Com'!$C34:F34),"error","ok")</f>
        <v>ok</v>
      </c>
      <c r="F24" s="303" t="str">
        <f>IF(SUM('DFP-CASH'!$C36:G36)&gt;SUM('DFP-Com'!$C34:G34),"error","ok")</f>
        <v>ok</v>
      </c>
      <c r="G24" s="303" t="str">
        <f>IF(SUM('DFP-CASH'!$C36:G36)&gt;SUM('DFP-Com'!$C34:G34),"error","ok")</f>
        <v>ok</v>
      </c>
      <c r="H24" s="303" t="str">
        <f>IF(SUM('DFP-CASH'!$C36:G36)&gt;SUM('DFP-Com'!$C34:G34),"error","ok")</f>
        <v>ok</v>
      </c>
      <c r="I24" s="303" t="str">
        <f>IF(SUM('DFP-CASH'!$C36:H36)&gt;SUM('DFP-Com'!$C34:H34),"error","ok")</f>
        <v>ok</v>
      </c>
      <c r="J24" s="303" t="str">
        <f>IF(SUM('DFP-CASH'!$C36:I36)&gt;SUM('DFP-Com'!$C34:I34),"error","ok")</f>
        <v>ok</v>
      </c>
      <c r="K24" s="303" t="str">
        <f>IF(SUM('DFP-CASH'!$C36:J36)&gt;SUM('DFP-Com'!$C34:J34),"error","ok")</f>
        <v>ok</v>
      </c>
      <c r="L24" s="303" t="str">
        <f>IF(SUM('DFP-CASH'!$C36:K36)&gt;SUM('DFP-Com'!$C34:K34),"error","ok")</f>
        <v>ok</v>
      </c>
      <c r="M24" s="303" t="str">
        <f>IF(SUM('DFP-CASH'!$C36:L36)&gt;SUM('DFP-Com'!$C34:L34),"error","ok")</f>
        <v>ok</v>
      </c>
      <c r="N24" s="303" t="str">
        <f>IF(SUM('DFP-CASH'!$C36:M36)&gt;SUM('DFP-Com'!$C34:M34),"error","ok")</f>
        <v>ok</v>
      </c>
      <c r="O24" s="303" t="str">
        <f>IF(SUM('DFP-CASH'!$C36:N36)&gt;SUM('DFP-Com'!$C34:N34),"error","ok")</f>
        <v>ok</v>
      </c>
      <c r="P24" s="303" t="str">
        <f>IF(SUM('DFP-CASH'!$C36:O36)&gt;SUM('DFP-Com'!$C34:O34),"error","ok")</f>
        <v>ok</v>
      </c>
      <c r="Q24" s="303" t="str">
        <f>IF(SUM('DFP-CASH'!$C36:P36)&gt;SUM('DFP-Com'!$C34:P34),"error","ok")</f>
        <v>ok</v>
      </c>
      <c r="R24" s="303" t="str">
        <f>IF(SUM('DFP-CASH'!$C36:Q36)&gt;SUM('DFP-Com'!$C34:Q34),"error","ok")</f>
        <v>ok</v>
      </c>
      <c r="S24" s="303" t="str">
        <f>IF(SUM('DFP-CASH'!$C36:R36)&gt;SUM('DFP-Com'!$C34:R34),"error","ok")</f>
        <v>ok</v>
      </c>
    </row>
    <row r="25" spans="1:19" ht="15">
      <c r="A25" s="55"/>
      <c r="B25" s="258" t="str">
        <f>IF('DFP-Com'!U35-'DFP-CASH'!U37=0,"ok","error")</f>
        <v>ok</v>
      </c>
      <c r="C25" s="303" t="str">
        <f>IF(SUM('DFP-CASH'!$C37:C37)&gt;SUM('DFP-Com'!$C35:D35),"error","ok")</f>
        <v>ok</v>
      </c>
      <c r="D25" s="303" t="str">
        <f>IF(SUM('DFP-CASH'!$C37:E37)&gt;SUM('DFP-Com'!$C35:E35),"error","ok")</f>
        <v>ok</v>
      </c>
      <c r="E25" s="303" t="str">
        <f>IF(SUM('DFP-CASH'!$C37:F37)&gt;SUM('DFP-Com'!$C35:F35),"error","ok")</f>
        <v>ok</v>
      </c>
      <c r="F25" s="303" t="str">
        <f>IF(SUM('DFP-CASH'!$C37:G37)&gt;SUM('DFP-Com'!$C35:G35),"error","ok")</f>
        <v>ok</v>
      </c>
      <c r="G25" s="303" t="str">
        <f>IF(SUM('DFP-CASH'!$C37:G37)&gt;SUM('DFP-Com'!$C35:G35),"error","ok")</f>
        <v>ok</v>
      </c>
      <c r="H25" s="303" t="str">
        <f>IF(SUM('DFP-CASH'!$C37:G37)&gt;SUM('DFP-Com'!$C35:G35),"error","ok")</f>
        <v>ok</v>
      </c>
      <c r="I25" s="303" t="str">
        <f>IF(SUM('DFP-CASH'!$C37:H37)&gt;SUM('DFP-Com'!$C35:H35),"error","ok")</f>
        <v>ok</v>
      </c>
      <c r="J25" s="303" t="str">
        <f>IF(SUM('DFP-CASH'!$C37:I37)&gt;SUM('DFP-Com'!$C35:I35),"error","ok")</f>
        <v>ok</v>
      </c>
      <c r="K25" s="303" t="str">
        <f>IF(SUM('DFP-CASH'!$C37:J37)&gt;SUM('DFP-Com'!$C35:J35),"error","ok")</f>
        <v>ok</v>
      </c>
      <c r="L25" s="303" t="str">
        <f>IF(SUM('DFP-CASH'!$C37:K37)&gt;SUM('DFP-Com'!$C35:K35),"error","ok")</f>
        <v>ok</v>
      </c>
      <c r="M25" s="303" t="str">
        <f>IF(SUM('DFP-CASH'!$C37:L37)&gt;SUM('DFP-Com'!$C35:L35),"error","ok")</f>
        <v>ok</v>
      </c>
      <c r="N25" s="303" t="str">
        <f>IF(SUM('DFP-CASH'!$C37:M37)&gt;SUM('DFP-Com'!$C35:M35),"error","ok")</f>
        <v>ok</v>
      </c>
      <c r="O25" s="303" t="str">
        <f>IF(SUM('DFP-CASH'!$C37:N37)&gt;SUM('DFP-Com'!$C35:N35),"error","ok")</f>
        <v>ok</v>
      </c>
      <c r="P25" s="303" t="str">
        <f>IF(SUM('DFP-CASH'!$C37:O37)&gt;SUM('DFP-Com'!$C35:O35),"error","ok")</f>
        <v>ok</v>
      </c>
      <c r="Q25" s="303" t="str">
        <f>IF(SUM('DFP-CASH'!$C37:P37)&gt;SUM('DFP-Com'!$C35:P35),"error","ok")</f>
        <v>ok</v>
      </c>
      <c r="R25" s="303" t="str">
        <f>IF(SUM('DFP-CASH'!$C37:Q37)&gt;SUM('DFP-Com'!$C35:Q35),"error","ok")</f>
        <v>ok</v>
      </c>
      <c r="S25" s="303" t="str">
        <f>IF(SUM('DFP-CASH'!$C37:R37)&gt;SUM('DFP-Com'!$C35:R35),"error","ok")</f>
        <v>ok</v>
      </c>
    </row>
    <row r="26" spans="1:19" ht="15">
      <c r="A26" s="46" t="s">
        <v>103</v>
      </c>
      <c r="B26" s="258" t="str">
        <f>IF('DFP-Com'!U36-'DFP-CASH'!U38=0,"ok","error")</f>
        <v>ok</v>
      </c>
      <c r="C26" s="303" t="str">
        <f>IF(SUM('DFP-CASH'!$C38:C38)&gt;SUM('DFP-Com'!$C36:D36),"error","ok")</f>
        <v>ok</v>
      </c>
      <c r="D26" s="303" t="str">
        <f>IF(SUM('DFP-CASH'!$C38:E38)&gt;SUM('DFP-Com'!$C36:E36),"error","ok")</f>
        <v>ok</v>
      </c>
      <c r="E26" s="303" t="str">
        <f>IF(SUM('DFP-CASH'!$C38:F38)&gt;SUM('DFP-Com'!$C36:F36),"error","ok")</f>
        <v>ok</v>
      </c>
      <c r="F26" s="303" t="str">
        <f>IF(SUM('DFP-CASH'!$C38:G38)&gt;SUM('DFP-Com'!$C36:G36),"error","ok")</f>
        <v>ok</v>
      </c>
      <c r="G26" s="303" t="str">
        <f>IF(SUM('DFP-CASH'!$C38:G38)&gt;SUM('DFP-Com'!$C36:G36),"error","ok")</f>
        <v>ok</v>
      </c>
      <c r="H26" s="303" t="str">
        <f>IF(SUM('DFP-CASH'!$C38:G38)&gt;SUM('DFP-Com'!$C36:G36),"error","ok")</f>
        <v>ok</v>
      </c>
      <c r="I26" s="303" t="str">
        <f>IF(SUM('DFP-CASH'!$C38:H38)&gt;SUM('DFP-Com'!$C36:H36),"error","ok")</f>
        <v>ok</v>
      </c>
      <c r="J26" s="303" t="str">
        <f>IF(SUM('DFP-CASH'!$C38:I38)&gt;SUM('DFP-Com'!$C36:I36),"error","ok")</f>
        <v>ok</v>
      </c>
      <c r="K26" s="303" t="str">
        <f>IF(SUM('DFP-CASH'!$C38:J38)&gt;SUM('DFP-Com'!$C36:J36),"error","ok")</f>
        <v>ok</v>
      </c>
      <c r="L26" s="303" t="str">
        <f>IF(SUM('DFP-CASH'!$C38:K38)&gt;SUM('DFP-Com'!$C36:K36),"error","ok")</f>
        <v>ok</v>
      </c>
      <c r="M26" s="303" t="str">
        <f>IF(SUM('DFP-CASH'!$C38:L38)&gt;SUM('DFP-Com'!$C36:L36),"error","ok")</f>
        <v>ok</v>
      </c>
      <c r="N26" s="303" t="str">
        <f>IF(SUM('DFP-CASH'!$C38:M38)&gt;SUM('DFP-Com'!$C36:M36),"error","ok")</f>
        <v>ok</v>
      </c>
      <c r="O26" s="303" t="str">
        <f>IF(SUM('DFP-CASH'!$C38:N38)&gt;SUM('DFP-Com'!$C36:N36),"error","ok")</f>
        <v>ok</v>
      </c>
      <c r="P26" s="303" t="str">
        <f>IF(SUM('DFP-CASH'!$C38:O38)&gt;SUM('DFP-Com'!$C36:O36),"error","ok")</f>
        <v>ok</v>
      </c>
      <c r="Q26" s="303" t="str">
        <f>IF(SUM('DFP-CASH'!$C38:P38)&gt;SUM('DFP-Com'!$C36:P36),"error","ok")</f>
        <v>ok</v>
      </c>
      <c r="R26" s="303" t="str">
        <f>IF(SUM('DFP-CASH'!$C38:Q38)&gt;SUM('DFP-Com'!$C36:Q36),"error","ok")</f>
        <v>ok</v>
      </c>
      <c r="S26" s="303" t="str">
        <f>IF(SUM('DFP-CASH'!$C38:R38)&gt;SUM('DFP-Com'!$C36:R36),"error","ok")</f>
        <v>ok</v>
      </c>
    </row>
    <row r="27" spans="1:19" ht="15">
      <c r="A27" s="66" t="s">
        <v>104</v>
      </c>
      <c r="B27" s="258" t="str">
        <f>IF('DFP-Com'!U37-'DFP-CASH'!U39=0,"ok","error")</f>
        <v>error</v>
      </c>
      <c r="C27" s="303" t="str">
        <f>IF(SUM('DFP-CASH'!$C39:C39)&gt;SUM('DFP-Com'!$C37:D37),"error","ok")</f>
        <v>ok</v>
      </c>
      <c r="D27" s="303" t="str">
        <f>IF(SUM('DFP-CASH'!$C39:E39)&gt;SUM('DFP-Com'!$C37:E37),"error","ok")</f>
        <v>ok</v>
      </c>
      <c r="E27" s="303" t="str">
        <f>IF(SUM('DFP-CASH'!$C39:F39)&gt;SUM('DFP-Com'!$C37:F37),"error","ok")</f>
        <v>ok</v>
      </c>
      <c r="F27" s="303" t="str">
        <f>IF(SUM('DFP-CASH'!$C39:G39)&gt;SUM('DFP-Com'!$C37:G37),"error","ok")</f>
        <v>ok</v>
      </c>
      <c r="G27" s="303" t="str">
        <f>IF(SUM('DFP-CASH'!$C39:G39)&gt;SUM('DFP-Com'!$C37:G37),"error","ok")</f>
        <v>ok</v>
      </c>
      <c r="H27" s="303" t="str">
        <f>IF(SUM('DFP-CASH'!$C39:G39)&gt;SUM('DFP-Com'!$C37:G37),"error","ok")</f>
        <v>ok</v>
      </c>
      <c r="I27" s="303" t="str">
        <f>IF(SUM('DFP-CASH'!$C39:H39)&gt;SUM('DFP-Com'!$C37:H37),"error","ok")</f>
        <v>ok</v>
      </c>
      <c r="J27" s="303" t="str">
        <f>IF(SUM('DFP-CASH'!$C39:I39)&gt;SUM('DFP-Com'!$C37:I37),"error","ok")</f>
        <v>ok</v>
      </c>
      <c r="K27" s="303" t="str">
        <f>IF(SUM('DFP-CASH'!$C39:J39)&gt;SUM('DFP-Com'!$C37:J37),"error","ok")</f>
        <v>ok</v>
      </c>
      <c r="L27" s="303" t="str">
        <f>IF(SUM('DFP-CASH'!$C39:K39)&gt;SUM('DFP-Com'!$C37:K37),"error","ok")</f>
        <v>ok</v>
      </c>
      <c r="M27" s="303" t="str">
        <f>IF(SUM('DFP-CASH'!$C39:L39)&gt;SUM('DFP-Com'!$C37:L37),"error","ok")</f>
        <v>ok</v>
      </c>
      <c r="N27" s="303" t="str">
        <f>IF(SUM('DFP-CASH'!$C39:M39)&gt;SUM('DFP-Com'!$C37:M37),"error","ok")</f>
        <v>ok</v>
      </c>
      <c r="O27" s="303" t="str">
        <f>IF(SUM('DFP-CASH'!$C39:N39)&gt;SUM('DFP-Com'!$C37:N37),"error","ok")</f>
        <v>ok</v>
      </c>
      <c r="P27" s="303" t="str">
        <f>IF(SUM('DFP-CASH'!$C39:O39)&gt;SUM('DFP-Com'!$C37:O37),"error","ok")</f>
        <v>ok</v>
      </c>
      <c r="Q27" s="303" t="str">
        <f>IF(SUM('DFP-CASH'!$C39:P39)&gt;SUM('DFP-Com'!$C37:P37),"error","ok")</f>
        <v>ok</v>
      </c>
      <c r="R27" s="303" t="str">
        <f>IF(SUM('DFP-CASH'!$C39:Q39)&gt;SUM('DFP-Com'!$C37:Q37),"error","ok")</f>
        <v>ok</v>
      </c>
      <c r="S27" s="303" t="str">
        <f>IF(SUM('DFP-CASH'!$C39:R39)&gt;SUM('DFP-Com'!$C37:R37),"error","ok")</f>
        <v>error</v>
      </c>
    </row>
    <row r="28" spans="1:19" ht="15">
      <c r="A28" s="214" t="s">
        <v>131</v>
      </c>
      <c r="B28" s="258" t="str">
        <f>IF('DFP-Com'!U38-'DFP-CASH'!U40=0,"ok","error")</f>
        <v>error</v>
      </c>
      <c r="C28" s="303" t="str">
        <f>IF(SUM('DFP-CASH'!$C40:C40)&gt;SUM('DFP-Com'!$C38:D38),"error","ok")</f>
        <v>ok</v>
      </c>
      <c r="D28" s="303" t="str">
        <f>IF(SUM('DFP-CASH'!$C40:E40)&gt;SUM('DFP-Com'!$C38:E38),"error","ok")</f>
        <v>ok</v>
      </c>
      <c r="E28" s="303" t="str">
        <f>IF(SUM('DFP-CASH'!$C40:F40)&gt;SUM('DFP-Com'!$C38:F38),"error","ok")</f>
        <v>ok</v>
      </c>
      <c r="F28" s="303" t="str">
        <f>IF(SUM('DFP-CASH'!$C40:G40)&gt;SUM('DFP-Com'!$C38:G38),"error","ok")</f>
        <v>ok</v>
      </c>
      <c r="G28" s="303" t="str">
        <f>IF(SUM('DFP-CASH'!$C40:G40)&gt;SUM('DFP-Com'!$C38:G38),"error","ok")</f>
        <v>ok</v>
      </c>
      <c r="H28" s="303" t="str">
        <f>IF(SUM('DFP-CASH'!$C40:G40)&gt;SUM('DFP-Com'!$C38:G38),"error","ok")</f>
        <v>ok</v>
      </c>
      <c r="I28" s="303" t="str">
        <f>IF(SUM('DFP-CASH'!$C40:H40)&gt;SUM('DFP-Com'!$C38:H38),"error","ok")</f>
        <v>ok</v>
      </c>
      <c r="J28" s="303" t="str">
        <f>IF(SUM('DFP-CASH'!$C40:I40)&gt;SUM('DFP-Com'!$C38:I38),"error","ok")</f>
        <v>ok</v>
      </c>
      <c r="K28" s="303" t="str">
        <f>IF(SUM('DFP-CASH'!$C40:J40)&gt;SUM('DFP-Com'!$C38:J38),"error","ok")</f>
        <v>ok</v>
      </c>
      <c r="L28" s="303" t="str">
        <f>IF(SUM('DFP-CASH'!$C40:K40)&gt;SUM('DFP-Com'!$C38:K38),"error","ok")</f>
        <v>ok</v>
      </c>
      <c r="M28" s="303" t="str">
        <f>IF(SUM('DFP-CASH'!$C40:L40)&gt;SUM('DFP-Com'!$C38:L38),"error","ok")</f>
        <v>ok</v>
      </c>
      <c r="N28" s="303" t="str">
        <f>IF(SUM('DFP-CASH'!$C40:M40)&gt;SUM('DFP-Com'!$C38:M38),"error","ok")</f>
        <v>error</v>
      </c>
      <c r="O28" s="303" t="str">
        <f>IF(SUM('DFP-CASH'!$C40:N40)&gt;SUM('DFP-Com'!$C38:N38),"error","ok")</f>
        <v>error</v>
      </c>
      <c r="P28" s="303" t="str">
        <f>IF(SUM('DFP-CASH'!$C40:O40)&gt;SUM('DFP-Com'!$C38:O38),"error","ok")</f>
        <v>error</v>
      </c>
      <c r="Q28" s="303" t="str">
        <f>IF(SUM('DFP-CASH'!$C40:P40)&gt;SUM('DFP-Com'!$C38:P38),"error","ok")</f>
        <v>ok</v>
      </c>
      <c r="R28" s="303" t="str">
        <f>IF(SUM('DFP-CASH'!$C40:Q40)&gt;SUM('DFP-Com'!$C38:Q38),"error","ok")</f>
        <v>ok</v>
      </c>
      <c r="S28" s="303" t="str">
        <f>IF(SUM('DFP-CASH'!$C40:R40)&gt;SUM('DFP-Com'!$C38:R38),"error","ok")</f>
        <v>ok</v>
      </c>
    </row>
    <row r="29" spans="1:19" ht="15">
      <c r="A29" s="214" t="s">
        <v>132</v>
      </c>
      <c r="B29" s="258" t="str">
        <f>IF('DFP-Com'!U39-'DFP-CASH'!U41=0,"ok","error")</f>
        <v>error</v>
      </c>
      <c r="C29" s="303" t="str">
        <f>IF(SUM('DFP-CASH'!$C41:C41)&gt;SUM('DFP-Com'!$C39:D39),"error","ok")</f>
        <v>ok</v>
      </c>
      <c r="D29" s="303" t="str">
        <f>IF(SUM('DFP-CASH'!$C41:E41)&gt;SUM('DFP-Com'!$C39:E39),"error","ok")</f>
        <v>ok</v>
      </c>
      <c r="E29" s="303" t="str">
        <f>IF(SUM('DFP-CASH'!$C41:F41)&gt;SUM('DFP-Com'!$C39:F39),"error","ok")</f>
        <v>ok</v>
      </c>
      <c r="F29" s="303" t="str">
        <f>IF(SUM('DFP-CASH'!$C41:G41)&gt;SUM('DFP-Com'!$C39:G39),"error","ok")</f>
        <v>ok</v>
      </c>
      <c r="G29" s="303" t="str">
        <f>IF(SUM('DFP-CASH'!$C41:G41)&gt;SUM('DFP-Com'!$C39:G39),"error","ok")</f>
        <v>ok</v>
      </c>
      <c r="H29" s="303" t="str">
        <f>IF(SUM('DFP-CASH'!$C41:G41)&gt;SUM('DFP-Com'!$C39:G39),"error","ok")</f>
        <v>ok</v>
      </c>
      <c r="I29" s="303" t="str">
        <f>IF(SUM('DFP-CASH'!$C41:H41)&gt;SUM('DFP-Com'!$C39:H39),"error","ok")</f>
        <v>ok</v>
      </c>
      <c r="J29" s="303" t="str">
        <f>IF(SUM('DFP-CASH'!$C41:I41)&gt;SUM('DFP-Com'!$C39:I39),"error","ok")</f>
        <v>ok</v>
      </c>
      <c r="K29" s="303" t="str">
        <f>IF(SUM('DFP-CASH'!$C41:J41)&gt;SUM('DFP-Com'!$C39:J39),"error","ok")</f>
        <v>ok</v>
      </c>
      <c r="L29" s="303" t="str">
        <f>IF(SUM('DFP-CASH'!$C41:K41)&gt;SUM('DFP-Com'!$C39:K39),"error","ok")</f>
        <v>ok</v>
      </c>
      <c r="M29" s="303" t="str">
        <f>IF(SUM('DFP-CASH'!$C41:L41)&gt;SUM('DFP-Com'!$C39:L39),"error","ok")</f>
        <v>ok</v>
      </c>
      <c r="N29" s="303" t="str">
        <f>IF(SUM('DFP-CASH'!$C41:M41)&gt;SUM('DFP-Com'!$C39:M39),"error","ok")</f>
        <v>ok</v>
      </c>
      <c r="O29" s="303" t="str">
        <f>IF(SUM('DFP-CASH'!$C41:N41)&gt;SUM('DFP-Com'!$C39:N39),"error","ok")</f>
        <v>ok</v>
      </c>
      <c r="P29" s="303" t="str">
        <f>IF(SUM('DFP-CASH'!$C41:O41)&gt;SUM('DFP-Com'!$C39:O39),"error","ok")</f>
        <v>ok</v>
      </c>
      <c r="Q29" s="303" t="str">
        <f>IF(SUM('DFP-CASH'!$C41:P41)&gt;SUM('DFP-Com'!$C39:P39),"error","ok")</f>
        <v>error</v>
      </c>
      <c r="R29" s="303" t="str">
        <f>IF(SUM('DFP-CASH'!$C41:Q41)&gt;SUM('DFP-Com'!$C39:Q39),"error","ok")</f>
        <v>error</v>
      </c>
      <c r="S29" s="303" t="str">
        <f>IF(SUM('DFP-CASH'!$C41:R41)&gt;SUM('DFP-Com'!$C39:R39),"error","ok")</f>
        <v>error</v>
      </c>
    </row>
    <row r="30" spans="1:19" ht="15">
      <c r="A30" s="214" t="s">
        <v>133</v>
      </c>
      <c r="B30" s="258" t="str">
        <f>IF('DFP-Com'!U40-'DFP-CASH'!U42=0,"ok","error")</f>
        <v>ok</v>
      </c>
      <c r="C30" s="303" t="str">
        <f>IF(SUM('DFP-CASH'!$C42:C42)&gt;SUM('DFP-Com'!$C40:D40),"error","ok")</f>
        <v>ok</v>
      </c>
      <c r="D30" s="303" t="str">
        <f>IF(SUM('DFP-CASH'!$C42:E42)&gt;SUM('DFP-Com'!$C40:E40),"error","ok")</f>
        <v>ok</v>
      </c>
      <c r="E30" s="303" t="str">
        <f>IF(SUM('DFP-CASH'!$C42:F42)&gt;SUM('DFP-Com'!$C40:F40),"error","ok")</f>
        <v>ok</v>
      </c>
      <c r="F30" s="303" t="str">
        <f>IF(SUM('DFP-CASH'!$C42:G42)&gt;SUM('DFP-Com'!$C40:G40),"error","ok")</f>
        <v>ok</v>
      </c>
      <c r="G30" s="303" t="str">
        <f>IF(SUM('DFP-CASH'!$C42:G42)&gt;SUM('DFP-Com'!$C40:G40),"error","ok")</f>
        <v>ok</v>
      </c>
      <c r="H30" s="303" t="str">
        <f>IF(SUM('DFP-CASH'!$C42:G42)&gt;SUM('DFP-Com'!$C40:G40),"error","ok")</f>
        <v>ok</v>
      </c>
      <c r="I30" s="303" t="str">
        <f>IF(SUM('DFP-CASH'!$C42:H42)&gt;SUM('DFP-Com'!$C40:H40),"error","ok")</f>
        <v>ok</v>
      </c>
      <c r="J30" s="303" t="str">
        <f>IF(SUM('DFP-CASH'!$C42:I42)&gt;SUM('DFP-Com'!$C40:I40),"error","ok")</f>
        <v>ok</v>
      </c>
      <c r="K30" s="303" t="str">
        <f>IF(SUM('DFP-CASH'!$C42:J42)&gt;SUM('DFP-Com'!$C40:J40),"error","ok")</f>
        <v>ok</v>
      </c>
      <c r="L30" s="303" t="str">
        <f>IF(SUM('DFP-CASH'!$C42:K42)&gt;SUM('DFP-Com'!$C40:K40),"error","ok")</f>
        <v>ok</v>
      </c>
      <c r="M30" s="303" t="str">
        <f>IF(SUM('DFP-CASH'!$C42:L42)&gt;SUM('DFP-Com'!$C40:L40),"error","ok")</f>
        <v>ok</v>
      </c>
      <c r="N30" s="303" t="str">
        <f>IF(SUM('DFP-CASH'!$C42:M42)&gt;SUM('DFP-Com'!$C40:M40),"error","ok")</f>
        <v>ok</v>
      </c>
      <c r="O30" s="303" t="str">
        <f>IF(SUM('DFP-CASH'!$C42:N42)&gt;SUM('DFP-Com'!$C40:N40),"error","ok")</f>
        <v>ok</v>
      </c>
      <c r="P30" s="303" t="str">
        <f>IF(SUM('DFP-CASH'!$C42:O42)&gt;SUM('DFP-Com'!$C40:O40),"error","ok")</f>
        <v>ok</v>
      </c>
      <c r="Q30" s="303" t="str">
        <f>IF(SUM('DFP-CASH'!$C42:P42)&gt;SUM('DFP-Com'!$C40:P40),"error","ok")</f>
        <v>error</v>
      </c>
      <c r="R30" s="303" t="str">
        <f>IF(SUM('DFP-CASH'!$C42:Q42)&gt;SUM('DFP-Com'!$C40:Q40),"error","ok")</f>
        <v>error</v>
      </c>
      <c r="S30" s="303" t="str">
        <f>IF(SUM('DFP-CASH'!$C42:R42)&gt;SUM('DFP-Com'!$C40:R40),"error","ok")</f>
        <v>error</v>
      </c>
    </row>
    <row r="31" spans="1:19" ht="15">
      <c r="A31" s="214" t="s">
        <v>143</v>
      </c>
      <c r="B31" s="258" t="str">
        <f>IF('DFP-Com'!U41-'DFP-CASH'!U43=0,"ok","error")</f>
        <v>ok</v>
      </c>
      <c r="C31" s="303" t="str">
        <f>IF(SUM('DFP-CASH'!$C43:C43)&gt;SUM('DFP-Com'!$C41:D41),"error","ok")</f>
        <v>ok</v>
      </c>
      <c r="D31" s="303" t="str">
        <f>IF(SUM('DFP-CASH'!$C43:E43)&gt;SUM('DFP-Com'!$C41:E41),"error","ok")</f>
        <v>ok</v>
      </c>
      <c r="E31" s="303" t="str">
        <f>IF(SUM('DFP-CASH'!$C43:F43)&gt;SUM('DFP-Com'!$C41:F41),"error","ok")</f>
        <v>ok</v>
      </c>
      <c r="F31" s="303" t="str">
        <f>IF(SUM('DFP-CASH'!$C43:G43)&gt;SUM('DFP-Com'!$C41:G41),"error","ok")</f>
        <v>ok</v>
      </c>
      <c r="G31" s="303" t="str">
        <f>IF(SUM('DFP-CASH'!$C43:G43)&gt;SUM('DFP-Com'!$C41:G41),"error","ok")</f>
        <v>ok</v>
      </c>
      <c r="H31" s="303" t="str">
        <f>IF(SUM('DFP-CASH'!$C43:G43)&gt;SUM('DFP-Com'!$C41:G41),"error","ok")</f>
        <v>ok</v>
      </c>
      <c r="I31" s="303" t="str">
        <f>IF(SUM('DFP-CASH'!$C43:H43)&gt;SUM('DFP-Com'!$C41:H41),"error","ok")</f>
        <v>ok</v>
      </c>
      <c r="J31" s="303" t="str">
        <f>IF(SUM('DFP-CASH'!$C43:I43)&gt;SUM('DFP-Com'!$C41:I41),"error","ok")</f>
        <v>ok</v>
      </c>
      <c r="K31" s="303" t="str">
        <f>IF(SUM('DFP-CASH'!$C43:J43)&gt;SUM('DFP-Com'!$C41:J41),"error","ok")</f>
        <v>ok</v>
      </c>
      <c r="L31" s="303" t="str">
        <f>IF(SUM('DFP-CASH'!$C43:K43)&gt;SUM('DFP-Com'!$C41:K41),"error","ok")</f>
        <v>ok</v>
      </c>
      <c r="M31" s="303" t="str">
        <f>IF(SUM('DFP-CASH'!$C43:L43)&gt;SUM('DFP-Com'!$C41:L41),"error","ok")</f>
        <v>ok</v>
      </c>
      <c r="N31" s="303" t="str">
        <f>IF(SUM('DFP-CASH'!$C43:M43)&gt;SUM('DFP-Com'!$C41:M41),"error","ok")</f>
        <v>ok</v>
      </c>
      <c r="O31" s="303" t="str">
        <f>IF(SUM('DFP-CASH'!$C43:N43)&gt;SUM('DFP-Com'!$C41:N41),"error","ok")</f>
        <v>ok</v>
      </c>
      <c r="P31" s="303" t="str">
        <f>IF(SUM('DFP-CASH'!$C43:O43)&gt;SUM('DFP-Com'!$C41:O41),"error","ok")</f>
        <v>ok</v>
      </c>
      <c r="Q31" s="303" t="str">
        <f>IF(SUM('DFP-CASH'!$C43:P43)&gt;SUM('DFP-Com'!$C41:P41),"error","ok")</f>
        <v>error</v>
      </c>
      <c r="R31" s="303" t="str">
        <f>IF(SUM('DFP-CASH'!$C43:Q43)&gt;SUM('DFP-Com'!$C41:Q41),"error","ok")</f>
        <v>error</v>
      </c>
      <c r="S31" s="303" t="str">
        <f>IF(SUM('DFP-CASH'!$C43:R43)&gt;SUM('DFP-Com'!$C41:R41),"error","ok")</f>
        <v>error</v>
      </c>
    </row>
    <row r="32" spans="1:19" ht="15">
      <c r="A32" s="60" t="s">
        <v>19</v>
      </c>
      <c r="B32" s="258" t="str">
        <f>IF('DFP-Com'!U42-'DFP-CASH'!U44=0,"ok","error")</f>
        <v>error</v>
      </c>
      <c r="C32" s="303" t="str">
        <f>IF(SUM('DFP-CASH'!$C44:C44)&gt;SUM('DFP-Com'!$C42:D42),"error","ok")</f>
        <v>ok</v>
      </c>
      <c r="D32" s="303" t="str">
        <f>IF(SUM('DFP-CASH'!$C44:E44)&gt;SUM('DFP-Com'!$C42:E42),"error","ok")</f>
        <v>ok</v>
      </c>
      <c r="E32" s="303" t="str">
        <f>IF(SUM('DFP-CASH'!$C44:F44)&gt;SUM('DFP-Com'!$C42:F42),"error","ok")</f>
        <v>ok</v>
      </c>
      <c r="F32" s="303" t="str">
        <f>IF(SUM('DFP-CASH'!$C44:G44)&gt;SUM('DFP-Com'!$C42:G42),"error","ok")</f>
        <v>ok</v>
      </c>
      <c r="G32" s="303" t="str">
        <f>IF(SUM('DFP-CASH'!$C44:G44)&gt;SUM('DFP-Com'!$C42:G42),"error","ok")</f>
        <v>ok</v>
      </c>
      <c r="H32" s="303" t="str">
        <f>IF(SUM('DFP-CASH'!$C44:G44)&gt;SUM('DFP-Com'!$C42:G42),"error","ok")</f>
        <v>ok</v>
      </c>
      <c r="I32" s="303" t="str">
        <f>IF(SUM('DFP-CASH'!$C44:H44)&gt;SUM('DFP-Com'!$C42:H42),"error","ok")</f>
        <v>ok</v>
      </c>
      <c r="J32" s="303" t="str">
        <f>IF(SUM('DFP-CASH'!$C44:I44)&gt;SUM('DFP-Com'!$C42:I42),"error","ok")</f>
        <v>ok</v>
      </c>
      <c r="K32" s="303" t="str">
        <f>IF(SUM('DFP-CASH'!$C44:J44)&gt;SUM('DFP-Com'!$C42:J42),"error","ok")</f>
        <v>ok</v>
      </c>
      <c r="L32" s="303" t="str">
        <f>IF(SUM('DFP-CASH'!$C44:K44)&gt;SUM('DFP-Com'!$C42:K42),"error","ok")</f>
        <v>ok</v>
      </c>
      <c r="M32" s="303" t="str">
        <f>IF(SUM('DFP-CASH'!$C44:L44)&gt;SUM('DFP-Com'!$C42:L42),"error","ok")</f>
        <v>ok</v>
      </c>
      <c r="N32" s="303" t="str">
        <f>IF(SUM('DFP-CASH'!$C44:M44)&gt;SUM('DFP-Com'!$C42:M42),"error","ok")</f>
        <v>ok</v>
      </c>
      <c r="O32" s="303" t="str">
        <f>IF(SUM('DFP-CASH'!$C44:N44)&gt;SUM('DFP-Com'!$C42:N42),"error","ok")</f>
        <v>ok</v>
      </c>
      <c r="P32" s="303" t="str">
        <f>IF(SUM('DFP-CASH'!$C44:O44)&gt;SUM('DFP-Com'!$C42:O42),"error","ok")</f>
        <v>ok</v>
      </c>
      <c r="Q32" s="303" t="str">
        <f>IF(SUM('DFP-CASH'!$C44:P44)&gt;SUM('DFP-Com'!$C42:P42),"error","ok")</f>
        <v>ok</v>
      </c>
      <c r="R32" s="303" t="str">
        <f>IF(SUM('DFP-CASH'!$C44:Q44)&gt;SUM('DFP-Com'!$C42:Q42),"error","ok")</f>
        <v>ok</v>
      </c>
      <c r="S32" s="303" t="str">
        <f>IF(SUM('DFP-CASH'!$C44:R44)&gt;SUM('DFP-Com'!$C42:R42),"error","ok")</f>
        <v>error</v>
      </c>
    </row>
    <row r="33" spans="1:19" ht="15">
      <c r="A33" s="55"/>
      <c r="B33" s="258" t="str">
        <f>IF('DFP-Com'!U43-'DFP-CASH'!U45=0,"ok","error")</f>
        <v>ok</v>
      </c>
      <c r="C33" s="303" t="str">
        <f>IF(SUM('DFP-CASH'!$C45:C45)&gt;SUM('DFP-Com'!$C43:D43),"error","ok")</f>
        <v>ok</v>
      </c>
      <c r="D33" s="303" t="str">
        <f>IF(SUM('DFP-CASH'!$C45:E45)&gt;SUM('DFP-Com'!$C43:E43),"error","ok")</f>
        <v>ok</v>
      </c>
      <c r="E33" s="303" t="str">
        <f>IF(SUM('DFP-CASH'!$C45:F45)&gt;SUM('DFP-Com'!$C43:F43),"error","ok")</f>
        <v>ok</v>
      </c>
      <c r="F33" s="303" t="str">
        <f>IF(SUM('DFP-CASH'!$C45:G45)&gt;SUM('DFP-Com'!$C43:G43),"error","ok")</f>
        <v>ok</v>
      </c>
      <c r="G33" s="303" t="str">
        <f>IF(SUM('DFP-CASH'!$C45:G45)&gt;SUM('DFP-Com'!$C43:G43),"error","ok")</f>
        <v>ok</v>
      </c>
      <c r="H33" s="303" t="str">
        <f>IF(SUM('DFP-CASH'!$C45:G45)&gt;SUM('DFP-Com'!$C43:G43),"error","ok")</f>
        <v>ok</v>
      </c>
      <c r="I33" s="303" t="str">
        <f>IF(SUM('DFP-CASH'!$C45:H45)&gt;SUM('DFP-Com'!$C43:H43),"error","ok")</f>
        <v>ok</v>
      </c>
      <c r="J33" s="303" t="str">
        <f>IF(SUM('DFP-CASH'!$C45:I45)&gt;SUM('DFP-Com'!$C43:I43),"error","ok")</f>
        <v>ok</v>
      </c>
      <c r="K33" s="303" t="str">
        <f>IF(SUM('DFP-CASH'!$C45:J45)&gt;SUM('DFP-Com'!$C43:J43),"error","ok")</f>
        <v>ok</v>
      </c>
      <c r="L33" s="303" t="str">
        <f>IF(SUM('DFP-CASH'!$C45:K45)&gt;SUM('DFP-Com'!$C43:K43),"error","ok")</f>
        <v>ok</v>
      </c>
      <c r="M33" s="303" t="str">
        <f>IF(SUM('DFP-CASH'!$C45:L45)&gt;SUM('DFP-Com'!$C43:L43),"error","ok")</f>
        <v>ok</v>
      </c>
      <c r="N33" s="303" t="str">
        <f>IF(SUM('DFP-CASH'!$C45:M45)&gt;SUM('DFP-Com'!$C43:M43),"error","ok")</f>
        <v>ok</v>
      </c>
      <c r="O33" s="303" t="str">
        <f>IF(SUM('DFP-CASH'!$C45:N45)&gt;SUM('DFP-Com'!$C43:N43),"error","ok")</f>
        <v>ok</v>
      </c>
      <c r="P33" s="303" t="str">
        <f>IF(SUM('DFP-CASH'!$C45:O45)&gt;SUM('DFP-Com'!$C43:O43),"error","ok")</f>
        <v>ok</v>
      </c>
      <c r="Q33" s="303" t="str">
        <f>IF(SUM('DFP-CASH'!$C45:P45)&gt;SUM('DFP-Com'!$C43:P43),"error","ok")</f>
        <v>ok</v>
      </c>
      <c r="R33" s="303" t="str">
        <f>IF(SUM('DFP-CASH'!$C45:Q45)&gt;SUM('DFP-Com'!$C43:Q43),"error","ok")</f>
        <v>ok</v>
      </c>
      <c r="S33" s="303" t="str">
        <f>IF(SUM('DFP-CASH'!$C45:R45)&gt;SUM('DFP-Com'!$C43:R43),"error","ok")</f>
        <v>ok</v>
      </c>
    </row>
    <row r="34" spans="1:19" ht="15">
      <c r="A34" s="46" t="s">
        <v>96</v>
      </c>
      <c r="B34" s="258" t="str">
        <f>IF('DFP-Com'!U44-'DFP-CASH'!U46=0,"ok","error")</f>
        <v>ok</v>
      </c>
      <c r="C34" s="303" t="str">
        <f>IF(SUM('DFP-CASH'!$C46:C46)&gt;SUM('DFP-Com'!$C44:D44),"error","ok")</f>
        <v>ok</v>
      </c>
      <c r="D34" s="303" t="str">
        <f>IF(SUM('DFP-CASH'!$C46:E46)&gt;SUM('DFP-Com'!$C44:E44),"error","ok")</f>
        <v>ok</v>
      </c>
      <c r="E34" s="303" t="str">
        <f>IF(SUM('DFP-CASH'!$C46:F46)&gt;SUM('DFP-Com'!$C44:F44),"error","ok")</f>
        <v>ok</v>
      </c>
      <c r="F34" s="303" t="str">
        <f>IF(SUM('DFP-CASH'!$C46:G46)&gt;SUM('DFP-Com'!$C44:G44),"error","ok")</f>
        <v>ok</v>
      </c>
      <c r="G34" s="303" t="str">
        <f>IF(SUM('DFP-CASH'!$C46:G46)&gt;SUM('DFP-Com'!$C44:G44),"error","ok")</f>
        <v>ok</v>
      </c>
      <c r="H34" s="303" t="str">
        <f>IF(SUM('DFP-CASH'!$C46:G46)&gt;SUM('DFP-Com'!$C44:G44),"error","ok")</f>
        <v>ok</v>
      </c>
      <c r="I34" s="303" t="str">
        <f>IF(SUM('DFP-CASH'!$C46:H46)&gt;SUM('DFP-Com'!$C44:H44),"error","ok")</f>
        <v>ok</v>
      </c>
      <c r="J34" s="303" t="str">
        <f>IF(SUM('DFP-CASH'!$C46:I46)&gt;SUM('DFP-Com'!$C44:I44),"error","ok")</f>
        <v>ok</v>
      </c>
      <c r="K34" s="303" t="str">
        <f>IF(SUM('DFP-CASH'!$C46:J46)&gt;SUM('DFP-Com'!$C44:J44),"error","ok")</f>
        <v>ok</v>
      </c>
      <c r="L34" s="303" t="str">
        <f>IF(SUM('DFP-CASH'!$C46:K46)&gt;SUM('DFP-Com'!$C44:K44),"error","ok")</f>
        <v>ok</v>
      </c>
      <c r="M34" s="303" t="str">
        <f>IF(SUM('DFP-CASH'!$C46:L46)&gt;SUM('DFP-Com'!$C44:L44),"error","ok")</f>
        <v>ok</v>
      </c>
      <c r="N34" s="303" t="str">
        <f>IF(SUM('DFP-CASH'!$C46:M46)&gt;SUM('DFP-Com'!$C44:M44),"error","ok")</f>
        <v>ok</v>
      </c>
      <c r="O34" s="303" t="str">
        <f>IF(SUM('DFP-CASH'!$C46:N46)&gt;SUM('DFP-Com'!$C44:N44),"error","ok")</f>
        <v>ok</v>
      </c>
      <c r="P34" s="303" t="str">
        <f>IF(SUM('DFP-CASH'!$C46:O46)&gt;SUM('DFP-Com'!$C44:O44),"error","ok")</f>
        <v>ok</v>
      </c>
      <c r="Q34" s="303" t="str">
        <f>IF(SUM('DFP-CASH'!$C46:P46)&gt;SUM('DFP-Com'!$C44:P44),"error","ok")</f>
        <v>ok</v>
      </c>
      <c r="R34" s="303" t="str">
        <f>IF(SUM('DFP-CASH'!$C46:Q46)&gt;SUM('DFP-Com'!$C44:Q44),"error","ok")</f>
        <v>ok</v>
      </c>
      <c r="S34" s="303" t="str">
        <f>IF(SUM('DFP-CASH'!$C46:R46)&gt;SUM('DFP-Com'!$C44:R44),"error","ok")</f>
        <v>ok</v>
      </c>
    </row>
    <row r="35" spans="1:19" ht="15">
      <c r="A35" s="67" t="s">
        <v>106</v>
      </c>
      <c r="B35" s="258" t="str">
        <f>IF('DFP-Com'!U45-'DFP-CASH'!U47=0,"ok","error")</f>
        <v>error</v>
      </c>
      <c r="C35" s="303" t="str">
        <f>IF(SUM('DFP-CASH'!$C47:C47)&gt;SUM('DFP-Com'!$C45:D45),"error","ok")</f>
        <v>ok</v>
      </c>
      <c r="D35" s="303" t="str">
        <f>IF(SUM('DFP-CASH'!$C47:E47)&gt;SUM('DFP-Com'!$C45:E45),"error","ok")</f>
        <v>ok</v>
      </c>
      <c r="E35" s="303" t="str">
        <f>IF(SUM('DFP-CASH'!$C47:F47)&gt;SUM('DFP-Com'!$C45:F45),"error","ok")</f>
        <v>ok</v>
      </c>
      <c r="F35" s="303" t="str">
        <f>IF(SUM('DFP-CASH'!$C47:G47)&gt;SUM('DFP-Com'!$C45:G45),"error","ok")</f>
        <v>ok</v>
      </c>
      <c r="G35" s="303" t="str">
        <f>IF(SUM('DFP-CASH'!$C47:G47)&gt;SUM('DFP-Com'!$C45:G45),"error","ok")</f>
        <v>ok</v>
      </c>
      <c r="H35" s="303" t="str">
        <f>IF(SUM('DFP-CASH'!$C47:G47)&gt;SUM('DFP-Com'!$C45:G45),"error","ok")</f>
        <v>ok</v>
      </c>
      <c r="I35" s="303" t="str">
        <f>IF(SUM('DFP-CASH'!$C47:H47)&gt;SUM('DFP-Com'!$C45:H45),"error","ok")</f>
        <v>ok</v>
      </c>
      <c r="J35" s="303" t="str">
        <f>IF(SUM('DFP-CASH'!$C47:I47)&gt;SUM('DFP-Com'!$C45:I45),"error","ok")</f>
        <v>ok</v>
      </c>
      <c r="K35" s="303" t="str">
        <f>IF(SUM('DFP-CASH'!$C47:J47)&gt;SUM('DFP-Com'!$C45:J45),"error","ok")</f>
        <v>ok</v>
      </c>
      <c r="L35" s="303" t="str">
        <f>IF(SUM('DFP-CASH'!$C47:K47)&gt;SUM('DFP-Com'!$C45:K45),"error","ok")</f>
        <v>ok</v>
      </c>
      <c r="M35" s="303" t="str">
        <f>IF(SUM('DFP-CASH'!$C47:L47)&gt;SUM('DFP-Com'!$C45:L45),"error","ok")</f>
        <v>ok</v>
      </c>
      <c r="N35" s="303" t="str">
        <f>IF(SUM('DFP-CASH'!$C47:M47)&gt;SUM('DFP-Com'!$C45:M45),"error","ok")</f>
        <v>ok</v>
      </c>
      <c r="O35" s="303" t="str">
        <f>IF(SUM('DFP-CASH'!$C47:N47)&gt;SUM('DFP-Com'!$C45:N45),"error","ok")</f>
        <v>ok</v>
      </c>
      <c r="P35" s="303" t="str">
        <f>IF(SUM('DFP-CASH'!$C47:O47)&gt;SUM('DFP-Com'!$C45:O45),"error","ok")</f>
        <v>ok</v>
      </c>
      <c r="Q35" s="303" t="str">
        <f>IF(SUM('DFP-CASH'!$C47:P47)&gt;SUM('DFP-Com'!$C45:P45),"error","ok")</f>
        <v>ok</v>
      </c>
      <c r="R35" s="303" t="str">
        <f>IF(SUM('DFP-CASH'!$C47:Q47)&gt;SUM('DFP-Com'!$C45:Q45),"error","ok")</f>
        <v>ok</v>
      </c>
      <c r="S35" s="303" t="str">
        <f>IF(SUM('DFP-CASH'!$C47:R47)&gt;SUM('DFP-Com'!$C45:R45),"error","ok")</f>
        <v>ok</v>
      </c>
    </row>
    <row r="36" spans="1:19" ht="15">
      <c r="A36" s="218" t="s">
        <v>153</v>
      </c>
      <c r="B36" s="258" t="str">
        <f>IF('DFP-Com'!U46-'DFP-CASH'!U48=0,"ok","error")</f>
        <v>error</v>
      </c>
      <c r="C36" s="303" t="str">
        <f>IF(SUM('DFP-CASH'!$C48:C48)&gt;SUM('DFP-Com'!$C46:D46),"error","ok")</f>
        <v>ok</v>
      </c>
      <c r="D36" s="303" t="str">
        <f>IF(SUM('DFP-CASH'!$C48:E48)&gt;SUM('DFP-Com'!$C46:E46),"error","ok")</f>
        <v>ok</v>
      </c>
      <c r="E36" s="303" t="str">
        <f>IF(SUM('DFP-CASH'!$C48:F48)&gt;SUM('DFP-Com'!$C46:F46),"error","ok")</f>
        <v>ok</v>
      </c>
      <c r="F36" s="303" t="str">
        <f>IF(SUM('DFP-CASH'!$C48:G48)&gt;SUM('DFP-Com'!$C46:G46),"error","ok")</f>
        <v>ok</v>
      </c>
      <c r="G36" s="303" t="str">
        <f>IF(SUM('DFP-CASH'!$C48:G48)&gt;SUM('DFP-Com'!$C46:G46),"error","ok")</f>
        <v>ok</v>
      </c>
      <c r="H36" s="303" t="str">
        <f>IF(SUM('DFP-CASH'!$C48:G48)&gt;SUM('DFP-Com'!$C46:G46),"error","ok")</f>
        <v>ok</v>
      </c>
      <c r="I36" s="303" t="str">
        <f>IF(SUM('DFP-CASH'!$C48:H48)&gt;SUM('DFP-Com'!$C46:H46),"error","ok")</f>
        <v>ok</v>
      </c>
      <c r="J36" s="303" t="str">
        <f>IF(SUM('DFP-CASH'!$C48:I48)&gt;SUM('DFP-Com'!$C46:I46),"error","ok")</f>
        <v>ok</v>
      </c>
      <c r="K36" s="303" t="str">
        <f>IF(SUM('DFP-CASH'!$C48:J48)&gt;SUM('DFP-Com'!$C46:J46),"error","ok")</f>
        <v>ok</v>
      </c>
      <c r="L36" s="303" t="str">
        <f>IF(SUM('DFP-CASH'!$C48:K48)&gt;SUM('DFP-Com'!$C46:K46),"error","ok")</f>
        <v>ok</v>
      </c>
      <c r="M36" s="303" t="str">
        <f>IF(SUM('DFP-CASH'!$C48:L48)&gt;SUM('DFP-Com'!$C46:L46),"error","ok")</f>
        <v>ok</v>
      </c>
      <c r="N36" s="303" t="str">
        <f>IF(SUM('DFP-CASH'!$C48:M48)&gt;SUM('DFP-Com'!$C46:M46),"error","ok")</f>
        <v>ok</v>
      </c>
      <c r="O36" s="303" t="str">
        <f>IF(SUM('DFP-CASH'!$C48:N48)&gt;SUM('DFP-Com'!$C46:N46),"error","ok")</f>
        <v>ok</v>
      </c>
      <c r="P36" s="303" t="str">
        <f>IF(SUM('DFP-CASH'!$C48:O48)&gt;SUM('DFP-Com'!$C46:O46),"error","ok")</f>
        <v>ok</v>
      </c>
      <c r="Q36" s="303" t="str">
        <f>IF(SUM('DFP-CASH'!$C48:P48)&gt;SUM('DFP-Com'!$C46:P46),"error","ok")</f>
        <v>ok</v>
      </c>
      <c r="R36" s="303" t="str">
        <f>IF(SUM('DFP-CASH'!$C48:Q48)&gt;SUM('DFP-Com'!$C46:Q46),"error","ok")</f>
        <v>ok</v>
      </c>
      <c r="S36" s="303" t="str">
        <f>IF(SUM('DFP-CASH'!$C48:R48)&gt;SUM('DFP-Com'!$C46:R46),"error","ok")</f>
        <v>ok</v>
      </c>
    </row>
    <row r="37" spans="1:19" ht="15">
      <c r="A37" s="218" t="s">
        <v>154</v>
      </c>
      <c r="B37" s="258" t="str">
        <f>IF('DFP-Com'!U47-'DFP-CASH'!U49=0,"ok","error")</f>
        <v>ok</v>
      </c>
      <c r="C37" s="303" t="str">
        <f>IF(SUM('DFP-CASH'!$C49:C49)&gt;SUM('DFP-Com'!$C47:D47),"error","ok")</f>
        <v>ok</v>
      </c>
      <c r="D37" s="303" t="str">
        <f>IF(SUM('DFP-CASH'!$C49:E49)&gt;SUM('DFP-Com'!$C47:E47),"error","ok")</f>
        <v>ok</v>
      </c>
      <c r="E37" s="303" t="str">
        <f>IF(SUM('DFP-CASH'!$C49:F49)&gt;SUM('DFP-Com'!$C47:F47),"error","ok")</f>
        <v>ok</v>
      </c>
      <c r="F37" s="303" t="str">
        <f>IF(SUM('DFP-CASH'!$C49:G49)&gt;SUM('DFP-Com'!$C47:G47),"error","ok")</f>
        <v>ok</v>
      </c>
      <c r="G37" s="303" t="str">
        <f>IF(SUM('DFP-CASH'!$C49:G49)&gt;SUM('DFP-Com'!$C47:G47),"error","ok")</f>
        <v>ok</v>
      </c>
      <c r="H37" s="303" t="str">
        <f>IF(SUM('DFP-CASH'!$C49:G49)&gt;SUM('DFP-Com'!$C47:G47),"error","ok")</f>
        <v>ok</v>
      </c>
      <c r="I37" s="303" t="str">
        <f>IF(SUM('DFP-CASH'!$C49:H49)&gt;SUM('DFP-Com'!$C47:H47),"error","ok")</f>
        <v>ok</v>
      </c>
      <c r="J37" s="303" t="str">
        <f>IF(SUM('DFP-CASH'!$C49:I49)&gt;SUM('DFP-Com'!$C47:I47),"error","ok")</f>
        <v>ok</v>
      </c>
      <c r="K37" s="303" t="str">
        <f>IF(SUM('DFP-CASH'!$C49:J49)&gt;SUM('DFP-Com'!$C47:J47),"error","ok")</f>
        <v>ok</v>
      </c>
      <c r="L37" s="303" t="str">
        <f>IF(SUM('DFP-CASH'!$C49:K49)&gt;SUM('DFP-Com'!$C47:K47),"error","ok")</f>
        <v>ok</v>
      </c>
      <c r="M37" s="303" t="str">
        <f>IF(SUM('DFP-CASH'!$C49:L49)&gt;SUM('DFP-Com'!$C47:L47),"error","ok")</f>
        <v>ok</v>
      </c>
      <c r="N37" s="303" t="str">
        <f>IF(SUM('DFP-CASH'!$C49:M49)&gt;SUM('DFP-Com'!$C47:M47),"error","ok")</f>
        <v>ok</v>
      </c>
      <c r="O37" s="303" t="str">
        <f>IF(SUM('DFP-CASH'!$C49:N49)&gt;SUM('DFP-Com'!$C47:N47),"error","ok")</f>
        <v>ok</v>
      </c>
      <c r="P37" s="303" t="str">
        <f>IF(SUM('DFP-CASH'!$C49:O49)&gt;SUM('DFP-Com'!$C47:O47),"error","ok")</f>
        <v>ok</v>
      </c>
      <c r="Q37" s="303" t="str">
        <f>IF(SUM('DFP-CASH'!$C49:P49)&gt;SUM('DFP-Com'!$C47:P47),"error","ok")</f>
        <v>ok</v>
      </c>
      <c r="R37" s="303" t="str">
        <f>IF(SUM('DFP-CASH'!$C49:Q49)&gt;SUM('DFP-Com'!$C47:Q47),"error","ok")</f>
        <v>ok</v>
      </c>
      <c r="S37" s="303" t="str">
        <f>IF(SUM('DFP-CASH'!$C49:R49)&gt;SUM('DFP-Com'!$C47:R47),"error","ok")</f>
        <v>ok</v>
      </c>
    </row>
    <row r="38" spans="1:19" ht="15">
      <c r="A38" s="218" t="s">
        <v>155</v>
      </c>
      <c r="B38" s="258" t="str">
        <f>IF('DFP-Com'!U48-'DFP-CASH'!U50=0,"ok","error")</f>
        <v>ok</v>
      </c>
      <c r="C38" s="303" t="str">
        <f>IF(SUM('DFP-CASH'!$C50:C50)&gt;SUM('DFP-Com'!$C48:D48),"error","ok")</f>
        <v>ok</v>
      </c>
      <c r="D38" s="303" t="str">
        <f>IF(SUM('DFP-CASH'!$C50:E50)&gt;SUM('DFP-Com'!$C48:E48),"error","ok")</f>
        <v>ok</v>
      </c>
      <c r="E38" s="303" t="str">
        <f>IF(SUM('DFP-CASH'!$C50:F50)&gt;SUM('DFP-Com'!$C48:F48),"error","ok")</f>
        <v>ok</v>
      </c>
      <c r="F38" s="303" t="str">
        <f>IF(SUM('DFP-CASH'!$C50:G50)&gt;SUM('DFP-Com'!$C48:G48),"error","ok")</f>
        <v>ok</v>
      </c>
      <c r="G38" s="303" t="str">
        <f>IF(SUM('DFP-CASH'!$C50:G50)&gt;SUM('DFP-Com'!$C48:G48),"error","ok")</f>
        <v>ok</v>
      </c>
      <c r="H38" s="303" t="str">
        <f>IF(SUM('DFP-CASH'!$C50:G50)&gt;SUM('DFP-Com'!$C48:G48),"error","ok")</f>
        <v>ok</v>
      </c>
      <c r="I38" s="303" t="str">
        <f>IF(SUM('DFP-CASH'!$C50:H50)&gt;SUM('DFP-Com'!$C48:H48),"error","ok")</f>
        <v>ok</v>
      </c>
      <c r="J38" s="303" t="str">
        <f>IF(SUM('DFP-CASH'!$C50:I50)&gt;SUM('DFP-Com'!$C48:I48),"error","ok")</f>
        <v>ok</v>
      </c>
      <c r="K38" s="303" t="str">
        <f>IF(SUM('DFP-CASH'!$C50:J50)&gt;SUM('DFP-Com'!$C48:J48),"error","ok")</f>
        <v>ok</v>
      </c>
      <c r="L38" s="303" t="str">
        <f>IF(SUM('DFP-CASH'!$C50:K50)&gt;SUM('DFP-Com'!$C48:K48),"error","ok")</f>
        <v>ok</v>
      </c>
      <c r="M38" s="303" t="str">
        <f>IF(SUM('DFP-CASH'!$C50:L50)&gt;SUM('DFP-Com'!$C48:L48),"error","ok")</f>
        <v>ok</v>
      </c>
      <c r="N38" s="303" t="str">
        <f>IF(SUM('DFP-CASH'!$C50:M50)&gt;SUM('DFP-Com'!$C48:M48),"error","ok")</f>
        <v>ok</v>
      </c>
      <c r="O38" s="303" t="str">
        <f>IF(SUM('DFP-CASH'!$C50:N50)&gt;SUM('DFP-Com'!$C48:N48),"error","ok")</f>
        <v>ok</v>
      </c>
      <c r="P38" s="303" t="str">
        <f>IF(SUM('DFP-CASH'!$C50:O50)&gt;SUM('DFP-Com'!$C48:O48),"error","ok")</f>
        <v>ok</v>
      </c>
      <c r="Q38" s="303" t="str">
        <f>IF(SUM('DFP-CASH'!$C50:P50)&gt;SUM('DFP-Com'!$C48:P48),"error","ok")</f>
        <v>ok</v>
      </c>
      <c r="R38" s="303" t="str">
        <f>IF(SUM('DFP-CASH'!$C50:Q50)&gt;SUM('DFP-Com'!$C48:Q48),"error","ok")</f>
        <v>ok</v>
      </c>
      <c r="S38" s="303" t="str">
        <f>IF(SUM('DFP-CASH'!$C50:R50)&gt;SUM('DFP-Com'!$C48:R48),"error","ok")</f>
        <v>ok</v>
      </c>
    </row>
    <row r="39" spans="1:19" ht="15">
      <c r="A39" s="218" t="s">
        <v>156</v>
      </c>
      <c r="B39" s="258" t="str">
        <f>IF('DFP-Com'!U49-'DFP-CASH'!U51=0,"ok","error")</f>
        <v>error</v>
      </c>
      <c r="C39" s="303" t="str">
        <f>IF(SUM('DFP-CASH'!$C51:C51)&gt;SUM('DFP-Com'!$C49:D49),"error","ok")</f>
        <v>ok</v>
      </c>
      <c r="D39" s="303" t="str">
        <f>IF(SUM('DFP-CASH'!$C51:E51)&gt;SUM('DFP-Com'!$C49:E49),"error","ok")</f>
        <v>ok</v>
      </c>
      <c r="E39" s="303" t="str">
        <f>IF(SUM('DFP-CASH'!$C51:F51)&gt;SUM('DFP-Com'!$C49:F49),"error","ok")</f>
        <v>ok</v>
      </c>
      <c r="F39" s="303" t="str">
        <f>IF(SUM('DFP-CASH'!$C51:G51)&gt;SUM('DFP-Com'!$C49:G49),"error","ok")</f>
        <v>ok</v>
      </c>
      <c r="G39" s="303" t="str">
        <f>IF(SUM('DFP-CASH'!$C51:G51)&gt;SUM('DFP-Com'!$C49:G49),"error","ok")</f>
        <v>ok</v>
      </c>
      <c r="H39" s="303" t="str">
        <f>IF(SUM('DFP-CASH'!$C51:G51)&gt;SUM('DFP-Com'!$C49:G49),"error","ok")</f>
        <v>ok</v>
      </c>
      <c r="I39" s="303" t="str">
        <f>IF(SUM('DFP-CASH'!$C51:H51)&gt;SUM('DFP-Com'!$C49:H49),"error","ok")</f>
        <v>ok</v>
      </c>
      <c r="J39" s="303" t="str">
        <f>IF(SUM('DFP-CASH'!$C51:I51)&gt;SUM('DFP-Com'!$C49:I49),"error","ok")</f>
        <v>ok</v>
      </c>
      <c r="K39" s="303" t="str">
        <f>IF(SUM('DFP-CASH'!$C51:J51)&gt;SUM('DFP-Com'!$C49:J49),"error","ok")</f>
        <v>ok</v>
      </c>
      <c r="L39" s="303" t="str">
        <f>IF(SUM('DFP-CASH'!$C51:K51)&gt;SUM('DFP-Com'!$C49:K49),"error","ok")</f>
        <v>ok</v>
      </c>
      <c r="M39" s="303" t="str">
        <f>IF(SUM('DFP-CASH'!$C51:L51)&gt;SUM('DFP-Com'!$C49:L49),"error","ok")</f>
        <v>ok</v>
      </c>
      <c r="N39" s="303" t="str">
        <f>IF(SUM('DFP-CASH'!$C51:M51)&gt;SUM('DFP-Com'!$C49:M49),"error","ok")</f>
        <v>ok</v>
      </c>
      <c r="O39" s="303" t="str">
        <f>IF(SUM('DFP-CASH'!$C51:N51)&gt;SUM('DFP-Com'!$C49:N49),"error","ok")</f>
        <v>ok</v>
      </c>
      <c r="P39" s="303" t="str">
        <f>IF(SUM('DFP-CASH'!$C51:O51)&gt;SUM('DFP-Com'!$C49:O49),"error","ok")</f>
        <v>ok</v>
      </c>
      <c r="Q39" s="303" t="str">
        <f>IF(SUM('DFP-CASH'!$C51:P51)&gt;SUM('DFP-Com'!$C49:P49),"error","ok")</f>
        <v>ok</v>
      </c>
      <c r="R39" s="303" t="str">
        <f>IF(SUM('DFP-CASH'!$C51:Q51)&gt;SUM('DFP-Com'!$C49:Q49),"error","ok")</f>
        <v>ok</v>
      </c>
      <c r="S39" s="303" t="str">
        <f>IF(SUM('DFP-CASH'!$C51:R51)&gt;SUM('DFP-Com'!$C49:R49),"error","ok")</f>
        <v>ok</v>
      </c>
    </row>
    <row r="40" spans="1:19" ht="15">
      <c r="A40" s="68" t="s">
        <v>105</v>
      </c>
      <c r="B40" s="258" t="str">
        <f>IF('DFP-Com'!U50-'DFP-CASH'!U52=0,"ok","error")</f>
        <v>error</v>
      </c>
      <c r="C40" s="303" t="str">
        <f>IF(SUM('DFP-CASH'!$C52:C52)&gt;SUM('DFP-Com'!$C50:D50),"error","ok")</f>
        <v>ok</v>
      </c>
      <c r="D40" s="303" t="str">
        <f>IF(SUM('DFP-CASH'!$C52:E52)&gt;SUM('DFP-Com'!$C50:E50),"error","ok")</f>
        <v>ok</v>
      </c>
      <c r="E40" s="303" t="str">
        <f>IF(SUM('DFP-CASH'!$C52:F52)&gt;SUM('DFP-Com'!$C50:F50),"error","ok")</f>
        <v>ok</v>
      </c>
      <c r="F40" s="303" t="str">
        <f>IF(SUM('DFP-CASH'!$C52:G52)&gt;SUM('DFP-Com'!$C50:G50),"error","ok")</f>
        <v>ok</v>
      </c>
      <c r="G40" s="303" t="str">
        <f>IF(SUM('DFP-CASH'!$C52:G52)&gt;SUM('DFP-Com'!$C50:G50),"error","ok")</f>
        <v>ok</v>
      </c>
      <c r="H40" s="303" t="str">
        <f>IF(SUM('DFP-CASH'!$C52:G52)&gt;SUM('DFP-Com'!$C50:G50),"error","ok")</f>
        <v>ok</v>
      </c>
      <c r="I40" s="303" t="str">
        <f>IF(SUM('DFP-CASH'!$C52:H52)&gt;SUM('DFP-Com'!$C50:H50),"error","ok")</f>
        <v>ok</v>
      </c>
      <c r="J40" s="303" t="str">
        <f>IF(SUM('DFP-CASH'!$C52:I52)&gt;SUM('DFP-Com'!$C50:I50),"error","ok")</f>
        <v>ok</v>
      </c>
      <c r="K40" s="303" t="str">
        <f>IF(SUM('DFP-CASH'!$C52:J52)&gt;SUM('DFP-Com'!$C50:J50),"error","ok")</f>
        <v>ok</v>
      </c>
      <c r="L40" s="303" t="str">
        <f>IF(SUM('DFP-CASH'!$C52:K52)&gt;SUM('DFP-Com'!$C50:K50),"error","ok")</f>
        <v>ok</v>
      </c>
      <c r="M40" s="303" t="str">
        <f>IF(SUM('DFP-CASH'!$C52:L52)&gt;SUM('DFP-Com'!$C50:L50),"error","ok")</f>
        <v>ok</v>
      </c>
      <c r="N40" s="303" t="str">
        <f>IF(SUM('DFP-CASH'!$C52:M52)&gt;SUM('DFP-Com'!$C50:M50),"error","ok")</f>
        <v>ok</v>
      </c>
      <c r="O40" s="303" t="str">
        <f>IF(SUM('DFP-CASH'!$C52:N52)&gt;SUM('DFP-Com'!$C50:N50),"error","ok")</f>
        <v>ok</v>
      </c>
      <c r="P40" s="303" t="str">
        <f>IF(SUM('DFP-CASH'!$C52:O52)&gt;SUM('DFP-Com'!$C50:O50),"error","ok")</f>
        <v>ok</v>
      </c>
      <c r="Q40" s="303" t="str">
        <f>IF(SUM('DFP-CASH'!$C52:P52)&gt;SUM('DFP-Com'!$C50:P50),"error","ok")</f>
        <v>ok</v>
      </c>
      <c r="R40" s="303" t="str">
        <f>IF(SUM('DFP-CASH'!$C52:Q52)&gt;SUM('DFP-Com'!$C50:Q50),"error","ok")</f>
        <v>ok</v>
      </c>
      <c r="S40" s="303" t="str">
        <f>IF(SUM('DFP-CASH'!$C52:R52)&gt;SUM('DFP-Com'!$C50:R50),"error","ok")</f>
        <v>ok</v>
      </c>
    </row>
    <row r="41" spans="1:19" ht="15">
      <c r="A41" s="55"/>
      <c r="B41" s="258" t="str">
        <f>IF('DFP-Com'!U51-'DFP-CASH'!U53=0,"ok","error")</f>
        <v>ok</v>
      </c>
      <c r="C41" s="303" t="str">
        <f>IF(SUM('DFP-CASH'!$C53:C53)&gt;SUM('DFP-Com'!$C51:D51),"error","ok")</f>
        <v>ok</v>
      </c>
      <c r="D41" s="303" t="str">
        <f>IF(SUM('DFP-CASH'!$C53:E53)&gt;SUM('DFP-Com'!$C51:E51),"error","ok")</f>
        <v>ok</v>
      </c>
      <c r="E41" s="303" t="str">
        <f>IF(SUM('DFP-CASH'!$C53:F53)&gt;SUM('DFP-Com'!$C51:F51),"error","ok")</f>
        <v>ok</v>
      </c>
      <c r="F41" s="303" t="str">
        <f>IF(SUM('DFP-CASH'!$C53:G53)&gt;SUM('DFP-Com'!$C51:G51),"error","ok")</f>
        <v>ok</v>
      </c>
      <c r="G41" s="303" t="str">
        <f>IF(SUM('DFP-CASH'!$C53:G53)&gt;SUM('DFP-Com'!$C51:G51),"error","ok")</f>
        <v>ok</v>
      </c>
      <c r="H41" s="303" t="str">
        <f>IF(SUM('DFP-CASH'!$C53:G53)&gt;SUM('DFP-Com'!$C51:G51),"error","ok")</f>
        <v>ok</v>
      </c>
      <c r="I41" s="303" t="str">
        <f>IF(SUM('DFP-CASH'!$C53:H53)&gt;SUM('DFP-Com'!$C51:H51),"error","ok")</f>
        <v>ok</v>
      </c>
      <c r="J41" s="303" t="str">
        <f>IF(SUM('DFP-CASH'!$C53:I53)&gt;SUM('DFP-Com'!$C51:I51),"error","ok")</f>
        <v>ok</v>
      </c>
      <c r="K41" s="303" t="str">
        <f>IF(SUM('DFP-CASH'!$C53:J53)&gt;SUM('DFP-Com'!$C51:J51),"error","ok")</f>
        <v>ok</v>
      </c>
      <c r="L41" s="303" t="str">
        <f>IF(SUM('DFP-CASH'!$C53:K53)&gt;SUM('DFP-Com'!$C51:K51),"error","ok")</f>
        <v>ok</v>
      </c>
      <c r="M41" s="303" t="str">
        <f>IF(SUM('DFP-CASH'!$C53:L53)&gt;SUM('DFP-Com'!$C51:L51),"error","ok")</f>
        <v>ok</v>
      </c>
      <c r="N41" s="303" t="str">
        <f>IF(SUM('DFP-CASH'!$C53:M53)&gt;SUM('DFP-Com'!$C51:M51),"error","ok")</f>
        <v>ok</v>
      </c>
      <c r="O41" s="303" t="str">
        <f>IF(SUM('DFP-CASH'!$C53:N53)&gt;SUM('DFP-Com'!$C51:N51),"error","ok")</f>
        <v>ok</v>
      </c>
      <c r="P41" s="303" t="str">
        <f>IF(SUM('DFP-CASH'!$C53:O53)&gt;SUM('DFP-Com'!$C51:O51),"error","ok")</f>
        <v>ok</v>
      </c>
      <c r="Q41" s="303" t="str">
        <f>IF(SUM('DFP-CASH'!$C53:P53)&gt;SUM('DFP-Com'!$C51:P51),"error","ok")</f>
        <v>ok</v>
      </c>
      <c r="R41" s="303" t="str">
        <f>IF(SUM('DFP-CASH'!$C53:Q53)&gt;SUM('DFP-Com'!$C51:Q51),"error","ok")</f>
        <v>ok</v>
      </c>
      <c r="S41" s="303" t="str">
        <f>IF(SUM('DFP-CASH'!$C53:R53)&gt;SUM('DFP-Com'!$C51:R51),"error","ok")</f>
        <v>ok</v>
      </c>
    </row>
    <row r="42" ht="16.5">
      <c r="A42" s="231" t="s">
        <v>149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showGridLines="0" zoomScale="115" zoomScaleNormal="115" workbookViewId="0" topLeftCell="A1">
      <pane ySplit="3" topLeftCell="A4" activePane="bottomLeft" state="frozen"/>
      <selection pane="bottomLeft" activeCell="C31" sqref="C31"/>
    </sheetView>
  </sheetViews>
  <sheetFormatPr defaultColWidth="8.8515625" defaultRowHeight="15"/>
  <cols>
    <col min="1" max="1" width="8.8515625" style="303" customWidth="1"/>
    <col min="2" max="2" width="30.57421875" style="303" customWidth="1"/>
    <col min="3" max="3" width="51.421875" style="303" customWidth="1"/>
    <col min="4" max="4" width="14.00390625" style="303" customWidth="1"/>
    <col min="5" max="5" width="13.140625" style="303" customWidth="1"/>
    <col min="6" max="6" width="12.421875" style="303" customWidth="1"/>
    <col min="7" max="7" width="10.421875" style="303" customWidth="1"/>
    <col min="8" max="8" width="10.421875" style="321" customWidth="1"/>
    <col min="9" max="21" width="10.421875" style="303" customWidth="1"/>
    <col min="22" max="23" width="14.00390625" style="303" customWidth="1"/>
    <col min="24" max="24" width="11.00390625" style="303" customWidth="1"/>
    <col min="25" max="34" width="10.421875" style="303" customWidth="1"/>
    <col min="35" max="35" width="12.421875" style="303" customWidth="1"/>
    <col min="36" max="37" width="10.421875" style="303" customWidth="1"/>
    <col min="38" max="38" width="12.57421875" style="303" customWidth="1"/>
    <col min="39" max="39" width="8.8515625" style="303" customWidth="1"/>
    <col min="40" max="41" width="11.421875" style="303" customWidth="1"/>
    <col min="42" max="42" width="12.140625" style="303" customWidth="1"/>
    <col min="43" max="44" width="11.421875" style="303" customWidth="1"/>
    <col min="45" max="45" width="12.421875" style="303" customWidth="1"/>
    <col min="46" max="54" width="11.421875" style="303" customWidth="1"/>
    <col min="55" max="55" width="8.8515625" style="303" customWidth="1"/>
    <col min="56" max="56" width="11.57421875" style="303" customWidth="1"/>
    <col min="57" max="16384" width="8.8515625" style="303" customWidth="1"/>
  </cols>
  <sheetData>
    <row r="1" spans="4:54" ht="15">
      <c r="D1" s="238">
        <f>SUM(D2:D55)</f>
        <v>23584570</v>
      </c>
      <c r="F1" s="303" t="s">
        <v>181</v>
      </c>
      <c r="U1" s="303" t="s">
        <v>195</v>
      </c>
      <c r="X1" s="243" t="s">
        <v>223</v>
      </c>
      <c r="Y1" s="243"/>
      <c r="Z1" s="243"/>
      <c r="AA1" s="243"/>
      <c r="AB1" s="243"/>
      <c r="AC1" s="243"/>
      <c r="AD1" s="243"/>
      <c r="AE1" s="243"/>
      <c r="AF1" s="243"/>
      <c r="AG1" s="243"/>
      <c r="AH1" s="243"/>
      <c r="AI1" s="243"/>
      <c r="AJ1" s="243"/>
      <c r="AK1" s="243"/>
      <c r="AL1" s="243"/>
      <c r="AM1" s="244"/>
      <c r="AN1" s="243" t="s">
        <v>224</v>
      </c>
      <c r="AO1" s="243"/>
      <c r="AP1" s="243"/>
      <c r="AQ1" s="243"/>
      <c r="AR1" s="243"/>
      <c r="AS1" s="243"/>
      <c r="AT1" s="243"/>
      <c r="AU1" s="243"/>
      <c r="AV1" s="243"/>
      <c r="AW1" s="243"/>
      <c r="AX1" s="243"/>
      <c r="AY1" s="243"/>
      <c r="AZ1" s="243"/>
      <c r="BA1" s="243"/>
      <c r="BB1" s="243"/>
    </row>
    <row r="2" spans="1:56" ht="15">
      <c r="A2" s="303" t="s">
        <v>157</v>
      </c>
      <c r="C2" s="303" t="s">
        <v>177</v>
      </c>
      <c r="D2" s="303" t="s">
        <v>179</v>
      </c>
      <c r="F2" s="235">
        <v>42552</v>
      </c>
      <c r="G2" s="235">
        <v>42644</v>
      </c>
      <c r="H2" s="322">
        <v>42736</v>
      </c>
      <c r="I2" s="235">
        <v>42826</v>
      </c>
      <c r="J2" s="235">
        <v>42917</v>
      </c>
      <c r="K2" s="235">
        <v>43009</v>
      </c>
      <c r="L2" s="235">
        <v>43101</v>
      </c>
      <c r="M2" s="235">
        <v>43191</v>
      </c>
      <c r="N2" s="235">
        <v>43282</v>
      </c>
      <c r="O2" s="235">
        <v>43374</v>
      </c>
      <c r="P2" s="235">
        <v>43466</v>
      </c>
      <c r="Q2" s="235">
        <v>43556</v>
      </c>
      <c r="R2" s="235">
        <v>43647</v>
      </c>
      <c r="S2" s="235">
        <v>43739</v>
      </c>
      <c r="T2" s="235">
        <v>43831</v>
      </c>
      <c r="X2" s="245">
        <v>42552</v>
      </c>
      <c r="Y2" s="245">
        <v>42644</v>
      </c>
      <c r="Z2" s="245">
        <v>42736</v>
      </c>
      <c r="AA2" s="245">
        <v>42826</v>
      </c>
      <c r="AB2" s="245">
        <v>42917</v>
      </c>
      <c r="AC2" s="245">
        <v>43009</v>
      </c>
      <c r="AD2" s="245">
        <v>43101</v>
      </c>
      <c r="AE2" s="245">
        <v>43191</v>
      </c>
      <c r="AF2" s="245">
        <v>43282</v>
      </c>
      <c r="AG2" s="245">
        <v>43374</v>
      </c>
      <c r="AH2" s="245">
        <v>43466</v>
      </c>
      <c r="AI2" s="245">
        <v>43556</v>
      </c>
      <c r="AJ2" s="245">
        <v>43647</v>
      </c>
      <c r="AK2" s="245">
        <v>43739</v>
      </c>
      <c r="AL2" s="245">
        <v>43831</v>
      </c>
      <c r="AM2" s="244"/>
      <c r="AN2" s="245">
        <v>42552</v>
      </c>
      <c r="AO2" s="245">
        <v>42644</v>
      </c>
      <c r="AP2" s="245">
        <v>42736</v>
      </c>
      <c r="AQ2" s="245">
        <v>42826</v>
      </c>
      <c r="AR2" s="245">
        <v>42917</v>
      </c>
      <c r="AS2" s="245">
        <v>43009</v>
      </c>
      <c r="AT2" s="245">
        <v>43101</v>
      </c>
      <c r="AU2" s="245">
        <v>43191</v>
      </c>
      <c r="AV2" s="245">
        <v>43282</v>
      </c>
      <c r="AW2" s="245">
        <v>43374</v>
      </c>
      <c r="AX2" s="245">
        <v>43466</v>
      </c>
      <c r="AY2" s="245">
        <v>43556</v>
      </c>
      <c r="AZ2" s="245">
        <v>43647</v>
      </c>
      <c r="BA2" s="245">
        <v>43739</v>
      </c>
      <c r="BB2" s="245">
        <v>43831</v>
      </c>
      <c r="BD2" s="303" t="s">
        <v>231</v>
      </c>
    </row>
    <row r="3" spans="1:54" ht="15">
      <c r="A3" s="303" t="s">
        <v>157</v>
      </c>
      <c r="C3" s="303" t="s">
        <v>177</v>
      </c>
      <c r="E3" s="303" t="s">
        <v>180</v>
      </c>
      <c r="F3" s="303" t="s">
        <v>178</v>
      </c>
      <c r="G3" s="303" t="s">
        <v>182</v>
      </c>
      <c r="H3" s="321" t="s">
        <v>183</v>
      </c>
      <c r="I3" s="303" t="s">
        <v>184</v>
      </c>
      <c r="J3" s="303" t="s">
        <v>185</v>
      </c>
      <c r="K3" s="303" t="s">
        <v>186</v>
      </c>
      <c r="L3" s="303" t="s">
        <v>187</v>
      </c>
      <c r="M3" s="303" t="s">
        <v>188</v>
      </c>
      <c r="N3" s="303" t="s">
        <v>189</v>
      </c>
      <c r="O3" s="303" t="s">
        <v>190</v>
      </c>
      <c r="P3" s="303" t="s">
        <v>191</v>
      </c>
      <c r="Q3" s="303" t="s">
        <v>192</v>
      </c>
      <c r="R3" s="303" t="s">
        <v>193</v>
      </c>
      <c r="S3" s="303" t="s">
        <v>194</v>
      </c>
      <c r="T3" s="303" t="s">
        <v>196</v>
      </c>
      <c r="X3" s="243" t="s">
        <v>178</v>
      </c>
      <c r="Y3" s="243" t="s">
        <v>182</v>
      </c>
      <c r="Z3" s="243" t="s">
        <v>183</v>
      </c>
      <c r="AA3" s="243" t="s">
        <v>184</v>
      </c>
      <c r="AB3" s="243" t="s">
        <v>185</v>
      </c>
      <c r="AC3" s="243" t="s">
        <v>186</v>
      </c>
      <c r="AD3" s="243" t="s">
        <v>187</v>
      </c>
      <c r="AE3" s="243" t="s">
        <v>188</v>
      </c>
      <c r="AF3" s="243" t="s">
        <v>189</v>
      </c>
      <c r="AG3" s="243" t="s">
        <v>190</v>
      </c>
      <c r="AH3" s="243" t="s">
        <v>191</v>
      </c>
      <c r="AI3" s="243" t="s">
        <v>192</v>
      </c>
      <c r="AJ3" s="243" t="s">
        <v>193</v>
      </c>
      <c r="AK3" s="243" t="s">
        <v>194</v>
      </c>
      <c r="AL3" s="243" t="s">
        <v>196</v>
      </c>
      <c r="AM3" s="244"/>
      <c r="AN3" s="243" t="s">
        <v>178</v>
      </c>
      <c r="AO3" s="243" t="s">
        <v>182</v>
      </c>
      <c r="AP3" s="243" t="s">
        <v>183</v>
      </c>
      <c r="AQ3" s="243" t="s">
        <v>184</v>
      </c>
      <c r="AR3" s="243" t="s">
        <v>185</v>
      </c>
      <c r="AS3" s="243" t="s">
        <v>186</v>
      </c>
      <c r="AT3" s="243" t="s">
        <v>187</v>
      </c>
      <c r="AU3" s="243" t="s">
        <v>188</v>
      </c>
      <c r="AV3" s="243" t="s">
        <v>189</v>
      </c>
      <c r="AW3" s="243" t="s">
        <v>190</v>
      </c>
      <c r="AX3" s="243" t="s">
        <v>191</v>
      </c>
      <c r="AY3" s="243" t="s">
        <v>192</v>
      </c>
      <c r="AZ3" s="243" t="s">
        <v>193</v>
      </c>
      <c r="BA3" s="243" t="s">
        <v>194</v>
      </c>
      <c r="BB3" s="243" t="s">
        <v>196</v>
      </c>
    </row>
    <row r="4" spans="1:56" ht="15">
      <c r="A4" s="303" t="s">
        <v>158</v>
      </c>
      <c r="B4" s="251" t="str">
        <f>VLOOKUP(A4,'DFP-Com'!$A$16:$B$50,2,1)</f>
        <v xml:space="preserve">     1.1.a  Education Project Implementation Contract</v>
      </c>
      <c r="C4" s="303" t="s">
        <v>276</v>
      </c>
      <c r="D4" s="334">
        <v>8500000</v>
      </c>
      <c r="E4" s="303" t="s">
        <v>197</v>
      </c>
      <c r="H4" s="323"/>
      <c r="I4" s="237">
        <v>0.03</v>
      </c>
      <c r="J4" s="237">
        <v>0.05</v>
      </c>
      <c r="K4" s="237">
        <v>0.05</v>
      </c>
      <c r="L4" s="237">
        <v>0.05</v>
      </c>
      <c r="M4" s="237">
        <v>0.1</v>
      </c>
      <c r="N4" s="237">
        <v>0.1</v>
      </c>
      <c r="O4" s="237">
        <v>0.1</v>
      </c>
      <c r="P4" s="237">
        <v>0.1</v>
      </c>
      <c r="Q4" s="237">
        <v>0.1</v>
      </c>
      <c r="R4" s="237">
        <v>0.1</v>
      </c>
      <c r="S4" s="237">
        <v>0.1</v>
      </c>
      <c r="T4" s="237">
        <v>0.12</v>
      </c>
      <c r="U4" s="306">
        <f aca="true" t="shared" si="0" ref="U4:U38">SUM(F4:T4)</f>
        <v>0.9999999999999999</v>
      </c>
      <c r="X4" s="308">
        <f aca="true" t="shared" si="1" ref="X4:AL20">F4*$D4</f>
        <v>0</v>
      </c>
      <c r="Y4" s="308">
        <f t="shared" si="1"/>
        <v>0</v>
      </c>
      <c r="Z4" s="308">
        <f t="shared" si="1"/>
        <v>0</v>
      </c>
      <c r="AA4" s="308">
        <f t="shared" si="1"/>
        <v>255000</v>
      </c>
      <c r="AB4" s="308">
        <f t="shared" si="1"/>
        <v>425000</v>
      </c>
      <c r="AC4" s="308">
        <f t="shared" si="1"/>
        <v>425000</v>
      </c>
      <c r="AD4" s="308">
        <f t="shared" si="1"/>
        <v>425000</v>
      </c>
      <c r="AE4" s="308">
        <f t="shared" si="1"/>
        <v>850000</v>
      </c>
      <c r="AF4" s="308">
        <f t="shared" si="1"/>
        <v>850000</v>
      </c>
      <c r="AG4" s="308">
        <f t="shared" si="1"/>
        <v>850000</v>
      </c>
      <c r="AH4" s="308">
        <f t="shared" si="1"/>
        <v>850000</v>
      </c>
      <c r="AI4" s="308">
        <f t="shared" si="1"/>
        <v>850000</v>
      </c>
      <c r="AJ4" s="308">
        <f t="shared" si="1"/>
        <v>850000</v>
      </c>
      <c r="AK4" s="308">
        <f t="shared" si="1"/>
        <v>850000</v>
      </c>
      <c r="AL4" s="308">
        <f t="shared" si="1"/>
        <v>1020000</v>
      </c>
      <c r="AM4" s="244"/>
      <c r="AN4" s="308">
        <f aca="true" t="shared" si="2" ref="AN4:BB19">IF(AN$3=$E4,$D4,0)</f>
        <v>0</v>
      </c>
      <c r="AO4" s="308">
        <f t="shared" si="2"/>
        <v>0</v>
      </c>
      <c r="AP4" s="308">
        <f t="shared" si="2"/>
        <v>8500000</v>
      </c>
      <c r="AQ4" s="308">
        <f t="shared" si="2"/>
        <v>0</v>
      </c>
      <c r="AR4" s="308">
        <f t="shared" si="2"/>
        <v>0</v>
      </c>
      <c r="AS4" s="308">
        <f t="shared" si="2"/>
        <v>0</v>
      </c>
      <c r="AT4" s="308">
        <f t="shared" si="2"/>
        <v>0</v>
      </c>
      <c r="AU4" s="308">
        <f t="shared" si="2"/>
        <v>0</v>
      </c>
      <c r="AV4" s="308">
        <f t="shared" si="2"/>
        <v>0</v>
      </c>
      <c r="AW4" s="308">
        <f t="shared" si="2"/>
        <v>0</v>
      </c>
      <c r="AX4" s="308">
        <f t="shared" si="2"/>
        <v>0</v>
      </c>
      <c r="AY4" s="308">
        <f t="shared" si="2"/>
        <v>0</v>
      </c>
      <c r="AZ4" s="308">
        <f t="shared" si="2"/>
        <v>0</v>
      </c>
      <c r="BA4" s="308">
        <f t="shared" si="2"/>
        <v>0</v>
      </c>
      <c r="BB4" s="308">
        <f t="shared" si="2"/>
        <v>0</v>
      </c>
      <c r="BD4" s="307">
        <f aca="true" t="shared" si="3" ref="BD4:BD27">SUM(X4:AL4)-SUM(AN4:BB4)</f>
        <v>0</v>
      </c>
    </row>
    <row r="5" spans="1:56" ht="15">
      <c r="A5" s="303" t="s">
        <v>158</v>
      </c>
      <c r="B5" s="251" t="str">
        <f>VLOOKUP(A5,'DFP-Com'!$A$16:$B$50,2,1)</f>
        <v xml:space="preserve">     1.1.a  Education Project Implementation Contract</v>
      </c>
      <c r="C5" s="303" t="s">
        <v>200</v>
      </c>
      <c r="D5" s="333">
        <v>200000</v>
      </c>
      <c r="E5" s="303" t="s">
        <v>211</v>
      </c>
      <c r="L5" s="306">
        <v>0.25</v>
      </c>
      <c r="M5" s="306">
        <v>0.25</v>
      </c>
      <c r="N5" s="306">
        <v>0.25</v>
      </c>
      <c r="O5" s="306">
        <v>0.25</v>
      </c>
      <c r="U5" s="306">
        <f t="shared" si="0"/>
        <v>1</v>
      </c>
      <c r="X5" s="308">
        <f t="shared" si="1"/>
        <v>0</v>
      </c>
      <c r="Y5" s="308">
        <f t="shared" si="1"/>
        <v>0</v>
      </c>
      <c r="Z5" s="308">
        <f t="shared" si="1"/>
        <v>0</v>
      </c>
      <c r="AA5" s="308">
        <f t="shared" si="1"/>
        <v>0</v>
      </c>
      <c r="AB5" s="308">
        <f t="shared" si="1"/>
        <v>0</v>
      </c>
      <c r="AC5" s="308">
        <f t="shared" si="1"/>
        <v>0</v>
      </c>
      <c r="AD5" s="308">
        <f t="shared" si="1"/>
        <v>50000</v>
      </c>
      <c r="AE5" s="308">
        <f t="shared" si="1"/>
        <v>50000</v>
      </c>
      <c r="AF5" s="308">
        <f t="shared" si="1"/>
        <v>50000</v>
      </c>
      <c r="AG5" s="308">
        <f t="shared" si="1"/>
        <v>50000</v>
      </c>
      <c r="AH5" s="308">
        <f t="shared" si="1"/>
        <v>0</v>
      </c>
      <c r="AI5" s="308">
        <f t="shared" si="1"/>
        <v>0</v>
      </c>
      <c r="AJ5" s="308">
        <f t="shared" si="1"/>
        <v>0</v>
      </c>
      <c r="AK5" s="308">
        <f t="shared" si="1"/>
        <v>0</v>
      </c>
      <c r="AL5" s="308">
        <f t="shared" si="1"/>
        <v>0</v>
      </c>
      <c r="AM5" s="244"/>
      <c r="AN5" s="308">
        <f t="shared" si="2"/>
        <v>0</v>
      </c>
      <c r="AO5" s="308">
        <f t="shared" si="2"/>
        <v>0</v>
      </c>
      <c r="AP5" s="308">
        <f t="shared" si="2"/>
        <v>0</v>
      </c>
      <c r="AQ5" s="308">
        <f t="shared" si="2"/>
        <v>0</v>
      </c>
      <c r="AR5" s="308">
        <f t="shared" si="2"/>
        <v>0</v>
      </c>
      <c r="AS5" s="308">
        <f t="shared" si="2"/>
        <v>0</v>
      </c>
      <c r="AT5" s="308">
        <f t="shared" si="2"/>
        <v>200000</v>
      </c>
      <c r="AU5" s="308">
        <f t="shared" si="2"/>
        <v>0</v>
      </c>
      <c r="AV5" s="308">
        <f t="shared" si="2"/>
        <v>0</v>
      </c>
      <c r="AW5" s="308">
        <f t="shared" si="2"/>
        <v>0</v>
      </c>
      <c r="AX5" s="308">
        <f t="shared" si="2"/>
        <v>0</v>
      </c>
      <c r="AY5" s="308">
        <f t="shared" si="2"/>
        <v>0</v>
      </c>
      <c r="AZ5" s="308">
        <f t="shared" si="2"/>
        <v>0</v>
      </c>
      <c r="BA5" s="308">
        <f t="shared" si="2"/>
        <v>0</v>
      </c>
      <c r="BB5" s="308">
        <f t="shared" si="2"/>
        <v>0</v>
      </c>
      <c r="BD5" s="307">
        <f t="shared" si="3"/>
        <v>0</v>
      </c>
    </row>
    <row r="6" spans="1:56" ht="15">
      <c r="A6" s="303" t="s">
        <v>159</v>
      </c>
      <c r="B6" s="251" t="str">
        <f>VLOOKUP(A6,'DFP-Com'!$A$16:$B$50,2,1)</f>
        <v xml:space="preserve">     1.1.b  Grants to Universities for Teacher Training (Diplomados)</v>
      </c>
      <c r="C6" s="303" t="s">
        <v>198</v>
      </c>
      <c r="D6" s="238">
        <v>3000000</v>
      </c>
      <c r="E6" s="303" t="s">
        <v>199</v>
      </c>
      <c r="H6" s="323"/>
      <c r="I6" s="237"/>
      <c r="J6" s="237"/>
      <c r="K6" s="237"/>
      <c r="L6" s="237">
        <v>0.125</v>
      </c>
      <c r="M6" s="237">
        <v>0.125</v>
      </c>
      <c r="N6" s="237">
        <v>0.125</v>
      </c>
      <c r="O6" s="237">
        <v>0.125</v>
      </c>
      <c r="P6" s="237">
        <v>0.125</v>
      </c>
      <c r="Q6" s="237">
        <v>0.125</v>
      </c>
      <c r="R6" s="237">
        <v>0.125</v>
      </c>
      <c r="S6" s="237">
        <v>0.125</v>
      </c>
      <c r="T6" s="306"/>
      <c r="U6" s="306">
        <f t="shared" si="0"/>
        <v>1</v>
      </c>
      <c r="X6" s="308">
        <f t="shared" si="1"/>
        <v>0</v>
      </c>
      <c r="Y6" s="308">
        <f t="shared" si="1"/>
        <v>0</v>
      </c>
      <c r="Z6" s="308">
        <f t="shared" si="1"/>
        <v>0</v>
      </c>
      <c r="AA6" s="308">
        <f t="shared" si="1"/>
        <v>0</v>
      </c>
      <c r="AB6" s="308">
        <f t="shared" si="1"/>
        <v>0</v>
      </c>
      <c r="AC6" s="308">
        <f t="shared" si="1"/>
        <v>0</v>
      </c>
      <c r="AD6" s="308">
        <f t="shared" si="1"/>
        <v>375000</v>
      </c>
      <c r="AE6" s="308">
        <f t="shared" si="1"/>
        <v>375000</v>
      </c>
      <c r="AF6" s="308">
        <f t="shared" si="1"/>
        <v>375000</v>
      </c>
      <c r="AG6" s="308">
        <f t="shared" si="1"/>
        <v>375000</v>
      </c>
      <c r="AH6" s="308">
        <f t="shared" si="1"/>
        <v>375000</v>
      </c>
      <c r="AI6" s="308">
        <f t="shared" si="1"/>
        <v>375000</v>
      </c>
      <c r="AJ6" s="308">
        <f t="shared" si="1"/>
        <v>375000</v>
      </c>
      <c r="AK6" s="308">
        <f t="shared" si="1"/>
        <v>375000</v>
      </c>
      <c r="AL6" s="308">
        <f t="shared" si="1"/>
        <v>0</v>
      </c>
      <c r="AM6" s="244"/>
      <c r="AN6" s="308">
        <f t="shared" si="2"/>
        <v>0</v>
      </c>
      <c r="AO6" s="308">
        <f t="shared" si="2"/>
        <v>0</v>
      </c>
      <c r="AP6" s="308">
        <f t="shared" si="2"/>
        <v>0</v>
      </c>
      <c r="AQ6" s="308">
        <f t="shared" si="2"/>
        <v>0</v>
      </c>
      <c r="AR6" s="308">
        <f t="shared" si="2"/>
        <v>0</v>
      </c>
      <c r="AS6" s="308">
        <f t="shared" si="2"/>
        <v>3000000</v>
      </c>
      <c r="AT6" s="308">
        <f t="shared" si="2"/>
        <v>0</v>
      </c>
      <c r="AU6" s="308">
        <f t="shared" si="2"/>
        <v>0</v>
      </c>
      <c r="AV6" s="308">
        <f t="shared" si="2"/>
        <v>0</v>
      </c>
      <c r="AW6" s="308">
        <f t="shared" si="2"/>
        <v>0</v>
      </c>
      <c r="AX6" s="308">
        <f t="shared" si="2"/>
        <v>0</v>
      </c>
      <c r="AY6" s="308">
        <f t="shared" si="2"/>
        <v>0</v>
      </c>
      <c r="AZ6" s="308">
        <f t="shared" si="2"/>
        <v>0</v>
      </c>
      <c r="BA6" s="308">
        <f t="shared" si="2"/>
        <v>0</v>
      </c>
      <c r="BB6" s="308">
        <f t="shared" si="2"/>
        <v>0</v>
      </c>
      <c r="BD6" s="307">
        <f t="shared" si="3"/>
        <v>0</v>
      </c>
    </row>
    <row r="7" spans="1:56" ht="15">
      <c r="A7" s="303" t="s">
        <v>161</v>
      </c>
      <c r="B7" s="251" t="str">
        <f>VLOOKUP(A7,'DFP-Com'!$A$16:$B$50,2,1)</f>
        <v xml:space="preserve">     1.2.a  TVET</v>
      </c>
      <c r="C7" s="253" t="s">
        <v>243</v>
      </c>
      <c r="D7" s="309">
        <v>4000000</v>
      </c>
      <c r="E7" s="303" t="s">
        <v>226</v>
      </c>
      <c r="J7" s="306">
        <v>0.05</v>
      </c>
      <c r="K7" s="306">
        <v>0.1</v>
      </c>
      <c r="L7" s="306">
        <v>0.1</v>
      </c>
      <c r="M7" s="306">
        <v>0.1</v>
      </c>
      <c r="N7" s="306">
        <v>0.1</v>
      </c>
      <c r="O7" s="306">
        <v>0.1</v>
      </c>
      <c r="P7" s="306">
        <v>0.1</v>
      </c>
      <c r="Q7" s="306">
        <v>0.1</v>
      </c>
      <c r="R7" s="306">
        <v>0.1</v>
      </c>
      <c r="S7" s="306">
        <v>0.1</v>
      </c>
      <c r="T7" s="306">
        <v>0.05</v>
      </c>
      <c r="U7" s="306">
        <f t="shared" si="0"/>
        <v>0.9999999999999999</v>
      </c>
      <c r="X7" s="308">
        <f t="shared" si="1"/>
        <v>0</v>
      </c>
      <c r="Y7" s="308">
        <f t="shared" si="1"/>
        <v>0</v>
      </c>
      <c r="Z7" s="308">
        <f t="shared" si="1"/>
        <v>0</v>
      </c>
      <c r="AA7" s="308">
        <f t="shared" si="1"/>
        <v>0</v>
      </c>
      <c r="AB7" s="308">
        <f t="shared" si="1"/>
        <v>200000</v>
      </c>
      <c r="AC7" s="308">
        <f t="shared" si="1"/>
        <v>400000</v>
      </c>
      <c r="AD7" s="308">
        <f t="shared" si="1"/>
        <v>400000</v>
      </c>
      <c r="AE7" s="308">
        <f t="shared" si="1"/>
        <v>400000</v>
      </c>
      <c r="AF7" s="308">
        <f t="shared" si="1"/>
        <v>400000</v>
      </c>
      <c r="AG7" s="308">
        <f t="shared" si="1"/>
        <v>400000</v>
      </c>
      <c r="AH7" s="308">
        <f t="shared" si="1"/>
        <v>400000</v>
      </c>
      <c r="AI7" s="308">
        <f t="shared" si="1"/>
        <v>400000</v>
      </c>
      <c r="AJ7" s="308">
        <f t="shared" si="1"/>
        <v>400000</v>
      </c>
      <c r="AK7" s="308">
        <f t="shared" si="1"/>
        <v>400000</v>
      </c>
      <c r="AL7" s="308">
        <f t="shared" si="1"/>
        <v>200000</v>
      </c>
      <c r="AM7" s="244"/>
      <c r="AN7" s="308">
        <f t="shared" si="2"/>
        <v>0</v>
      </c>
      <c r="AO7" s="308">
        <f t="shared" si="2"/>
        <v>0</v>
      </c>
      <c r="AP7" s="308">
        <f t="shared" si="2"/>
        <v>0</v>
      </c>
      <c r="AQ7" s="308">
        <f t="shared" si="2"/>
        <v>0</v>
      </c>
      <c r="AR7" s="308">
        <f t="shared" si="2"/>
        <v>4000000</v>
      </c>
      <c r="AS7" s="308">
        <f t="shared" si="2"/>
        <v>0</v>
      </c>
      <c r="AT7" s="308">
        <f t="shared" si="2"/>
        <v>0</v>
      </c>
      <c r="AU7" s="308">
        <f t="shared" si="2"/>
        <v>0</v>
      </c>
      <c r="AV7" s="308">
        <f t="shared" si="2"/>
        <v>0</v>
      </c>
      <c r="AW7" s="308">
        <f t="shared" si="2"/>
        <v>0</v>
      </c>
      <c r="AX7" s="308">
        <f t="shared" si="2"/>
        <v>0</v>
      </c>
      <c r="AY7" s="308">
        <f t="shared" si="2"/>
        <v>0</v>
      </c>
      <c r="AZ7" s="308">
        <f t="shared" si="2"/>
        <v>0</v>
      </c>
      <c r="BA7" s="308">
        <f t="shared" si="2"/>
        <v>0</v>
      </c>
      <c r="BB7" s="308">
        <f t="shared" si="2"/>
        <v>0</v>
      </c>
      <c r="BD7" s="307">
        <f t="shared" si="3"/>
        <v>0</v>
      </c>
    </row>
    <row r="8" spans="1:56" ht="15">
      <c r="A8" s="303" t="s">
        <v>162</v>
      </c>
      <c r="B8" s="251" t="str">
        <f>VLOOKUP(A8,'DFP-Com'!$A$16:$B$50,2,1)</f>
        <v xml:space="preserve">     1.3.a  Education Project Implementation Contract</v>
      </c>
      <c r="C8" s="303" t="s">
        <v>275</v>
      </c>
      <c r="D8" s="334">
        <v>2500000</v>
      </c>
      <c r="E8" s="303" t="s">
        <v>197</v>
      </c>
      <c r="H8" s="323"/>
      <c r="I8" s="237">
        <v>0.03</v>
      </c>
      <c r="J8" s="237">
        <v>0.05</v>
      </c>
      <c r="K8" s="237">
        <v>0.05</v>
      </c>
      <c r="L8" s="237">
        <v>0.05</v>
      </c>
      <c r="M8" s="237">
        <v>0.1</v>
      </c>
      <c r="N8" s="237">
        <v>0.1</v>
      </c>
      <c r="O8" s="237">
        <v>0.1</v>
      </c>
      <c r="P8" s="237">
        <v>0.1</v>
      </c>
      <c r="Q8" s="237">
        <v>0.1</v>
      </c>
      <c r="R8" s="237">
        <v>0.1</v>
      </c>
      <c r="S8" s="237">
        <v>0.1</v>
      </c>
      <c r="T8" s="237">
        <v>0.12</v>
      </c>
      <c r="U8" s="306">
        <f t="shared" si="0"/>
        <v>0.9999999999999999</v>
      </c>
      <c r="X8" s="308">
        <f t="shared" si="1"/>
        <v>0</v>
      </c>
      <c r="Y8" s="308">
        <f t="shared" si="1"/>
        <v>0</v>
      </c>
      <c r="Z8" s="308">
        <f t="shared" si="1"/>
        <v>0</v>
      </c>
      <c r="AA8" s="308">
        <f t="shared" si="1"/>
        <v>75000</v>
      </c>
      <c r="AB8" s="308">
        <f t="shared" si="1"/>
        <v>125000</v>
      </c>
      <c r="AC8" s="308">
        <f t="shared" si="1"/>
        <v>125000</v>
      </c>
      <c r="AD8" s="308">
        <f t="shared" si="1"/>
        <v>125000</v>
      </c>
      <c r="AE8" s="308">
        <f t="shared" si="1"/>
        <v>250000</v>
      </c>
      <c r="AF8" s="308">
        <f t="shared" si="1"/>
        <v>250000</v>
      </c>
      <c r="AG8" s="308">
        <f t="shared" si="1"/>
        <v>250000</v>
      </c>
      <c r="AH8" s="308">
        <f t="shared" si="1"/>
        <v>250000</v>
      </c>
      <c r="AI8" s="308">
        <f t="shared" si="1"/>
        <v>250000</v>
      </c>
      <c r="AJ8" s="308">
        <f t="shared" si="1"/>
        <v>250000</v>
      </c>
      <c r="AK8" s="308">
        <f t="shared" si="1"/>
        <v>250000</v>
      </c>
      <c r="AL8" s="308">
        <f t="shared" si="1"/>
        <v>300000</v>
      </c>
      <c r="AM8" s="244"/>
      <c r="AN8" s="308">
        <f t="shared" si="2"/>
        <v>0</v>
      </c>
      <c r="AO8" s="308">
        <f t="shared" si="2"/>
        <v>0</v>
      </c>
      <c r="AP8" s="308">
        <f t="shared" si="2"/>
        <v>2500000</v>
      </c>
      <c r="AQ8" s="308">
        <f t="shared" si="2"/>
        <v>0</v>
      </c>
      <c r="AR8" s="308">
        <f t="shared" si="2"/>
        <v>0</v>
      </c>
      <c r="AS8" s="308">
        <f t="shared" si="2"/>
        <v>0</v>
      </c>
      <c r="AT8" s="308">
        <f t="shared" si="2"/>
        <v>0</v>
      </c>
      <c r="AU8" s="308">
        <f t="shared" si="2"/>
        <v>0</v>
      </c>
      <c r="AV8" s="308">
        <f t="shared" si="2"/>
        <v>0</v>
      </c>
      <c r="AW8" s="308">
        <f t="shared" si="2"/>
        <v>0</v>
      </c>
      <c r="AX8" s="308">
        <f t="shared" si="2"/>
        <v>0</v>
      </c>
      <c r="AY8" s="308">
        <f t="shared" si="2"/>
        <v>0</v>
      </c>
      <c r="AZ8" s="308">
        <f t="shared" si="2"/>
        <v>0</v>
      </c>
      <c r="BA8" s="308">
        <f t="shared" si="2"/>
        <v>0</v>
      </c>
      <c r="BB8" s="308">
        <f t="shared" si="2"/>
        <v>0</v>
      </c>
      <c r="BD8" s="307">
        <f t="shared" si="3"/>
        <v>0</v>
      </c>
    </row>
    <row r="9" spans="1:56" ht="15">
      <c r="A9" s="303" t="s">
        <v>165</v>
      </c>
      <c r="B9" s="315" t="str">
        <f>VLOOKUP(A9,'DFP-Com'!$A$16:$B$50,2,1)</f>
        <v xml:space="preserve">     2.1.a  Tax and Customs</v>
      </c>
      <c r="C9" s="303" t="s">
        <v>252</v>
      </c>
      <c r="D9" s="238">
        <v>140000</v>
      </c>
      <c r="E9" s="303" t="s">
        <v>229</v>
      </c>
      <c r="G9" s="306"/>
      <c r="H9" s="324"/>
      <c r="I9" s="306">
        <v>0.25</v>
      </c>
      <c r="J9" s="306">
        <v>0.25</v>
      </c>
      <c r="K9" s="306">
        <v>0.25</v>
      </c>
      <c r="L9" s="306">
        <v>0.25</v>
      </c>
      <c r="M9" s="306"/>
      <c r="N9" s="306"/>
      <c r="O9" s="306"/>
      <c r="P9" s="306"/>
      <c r="Q9" s="306"/>
      <c r="U9" s="306">
        <f t="shared" si="0"/>
        <v>1</v>
      </c>
      <c r="X9" s="308">
        <f t="shared" si="1"/>
        <v>0</v>
      </c>
      <c r="Y9" s="308">
        <f t="shared" si="1"/>
        <v>0</v>
      </c>
      <c r="Z9" s="308">
        <f t="shared" si="1"/>
        <v>0</v>
      </c>
      <c r="AA9" s="308">
        <f t="shared" si="1"/>
        <v>35000</v>
      </c>
      <c r="AB9" s="308">
        <f t="shared" si="1"/>
        <v>35000</v>
      </c>
      <c r="AC9" s="308">
        <f t="shared" si="1"/>
        <v>35000</v>
      </c>
      <c r="AD9" s="308">
        <f t="shared" si="1"/>
        <v>35000</v>
      </c>
      <c r="AE9" s="308">
        <f t="shared" si="1"/>
        <v>0</v>
      </c>
      <c r="AF9" s="308">
        <f t="shared" si="1"/>
        <v>0</v>
      </c>
      <c r="AG9" s="308">
        <f t="shared" si="1"/>
        <v>0</v>
      </c>
      <c r="AH9" s="308">
        <f t="shared" si="1"/>
        <v>0</v>
      </c>
      <c r="AI9" s="308">
        <f t="shared" si="1"/>
        <v>0</v>
      </c>
      <c r="AJ9" s="308">
        <f t="shared" si="1"/>
        <v>0</v>
      </c>
      <c r="AK9" s="308">
        <f t="shared" si="1"/>
        <v>0</v>
      </c>
      <c r="AL9" s="308">
        <f t="shared" si="1"/>
        <v>0</v>
      </c>
      <c r="AM9" s="244"/>
      <c r="AN9" s="308">
        <f t="shared" si="2"/>
        <v>0</v>
      </c>
      <c r="AO9" s="308">
        <f t="shared" si="2"/>
        <v>0</v>
      </c>
      <c r="AP9" s="308">
        <f t="shared" si="2"/>
        <v>0</v>
      </c>
      <c r="AQ9" s="308">
        <f t="shared" si="2"/>
        <v>140000</v>
      </c>
      <c r="AR9" s="308">
        <f t="shared" si="2"/>
        <v>0</v>
      </c>
      <c r="AS9" s="308">
        <f t="shared" si="2"/>
        <v>0</v>
      </c>
      <c r="AT9" s="308">
        <f t="shared" si="2"/>
        <v>0</v>
      </c>
      <c r="AU9" s="308">
        <f t="shared" si="2"/>
        <v>0</v>
      </c>
      <c r="AV9" s="308">
        <f t="shared" si="2"/>
        <v>0</v>
      </c>
      <c r="AW9" s="308">
        <f t="shared" si="2"/>
        <v>0</v>
      </c>
      <c r="AX9" s="308">
        <f t="shared" si="2"/>
        <v>0</v>
      </c>
      <c r="AY9" s="308">
        <f t="shared" si="2"/>
        <v>0</v>
      </c>
      <c r="AZ9" s="308">
        <f t="shared" si="2"/>
        <v>0</v>
      </c>
      <c r="BA9" s="308">
        <f t="shared" si="2"/>
        <v>0</v>
      </c>
      <c r="BB9" s="308">
        <f t="shared" si="2"/>
        <v>0</v>
      </c>
      <c r="BD9" s="307">
        <f t="shared" si="3"/>
        <v>0</v>
      </c>
    </row>
    <row r="10" spans="1:56" ht="15">
      <c r="A10" s="303" t="s">
        <v>165</v>
      </c>
      <c r="B10" s="315" t="str">
        <f>VLOOKUP(A10,'DFP-Com'!$A$16:$B$50,2,1)</f>
        <v xml:space="preserve">     2.1.a  Tax and Customs</v>
      </c>
      <c r="C10" s="303" t="s">
        <v>270</v>
      </c>
      <c r="D10" s="238">
        <v>140000</v>
      </c>
      <c r="E10" s="303" t="s">
        <v>211</v>
      </c>
      <c r="G10" s="306"/>
      <c r="H10" s="324"/>
      <c r="I10" s="306"/>
      <c r="J10" s="306"/>
      <c r="K10" s="306"/>
      <c r="L10" s="306">
        <v>0.25</v>
      </c>
      <c r="M10" s="306">
        <v>0.25</v>
      </c>
      <c r="N10" s="306">
        <v>0.25</v>
      </c>
      <c r="O10" s="306">
        <v>0.25</v>
      </c>
      <c r="P10" s="306"/>
      <c r="Q10" s="306"/>
      <c r="U10" s="306">
        <f t="shared" si="0"/>
        <v>1</v>
      </c>
      <c r="X10" s="308">
        <f t="shared" si="1"/>
        <v>0</v>
      </c>
      <c r="Y10" s="308">
        <f t="shared" si="1"/>
        <v>0</v>
      </c>
      <c r="Z10" s="308">
        <f t="shared" si="1"/>
        <v>0</v>
      </c>
      <c r="AA10" s="308">
        <f t="shared" si="1"/>
        <v>0</v>
      </c>
      <c r="AB10" s="308">
        <f t="shared" si="1"/>
        <v>0</v>
      </c>
      <c r="AC10" s="308">
        <f t="shared" si="1"/>
        <v>0</v>
      </c>
      <c r="AD10" s="308">
        <f t="shared" si="1"/>
        <v>35000</v>
      </c>
      <c r="AE10" s="308">
        <f t="shared" si="1"/>
        <v>35000</v>
      </c>
      <c r="AF10" s="308">
        <f t="shared" si="1"/>
        <v>35000</v>
      </c>
      <c r="AG10" s="308">
        <f t="shared" si="1"/>
        <v>35000</v>
      </c>
      <c r="AH10" s="308">
        <f t="shared" si="1"/>
        <v>0</v>
      </c>
      <c r="AI10" s="308">
        <f t="shared" si="1"/>
        <v>0</v>
      </c>
      <c r="AJ10" s="308">
        <f t="shared" si="1"/>
        <v>0</v>
      </c>
      <c r="AK10" s="308">
        <f t="shared" si="1"/>
        <v>0</v>
      </c>
      <c r="AL10" s="308">
        <f t="shared" si="1"/>
        <v>0</v>
      </c>
      <c r="AM10" s="244"/>
      <c r="AN10" s="308">
        <f t="shared" si="2"/>
        <v>0</v>
      </c>
      <c r="AO10" s="308">
        <f t="shared" si="2"/>
        <v>0</v>
      </c>
      <c r="AP10" s="308">
        <f t="shared" si="2"/>
        <v>0</v>
      </c>
      <c r="AQ10" s="308">
        <f t="shared" si="2"/>
        <v>0</v>
      </c>
      <c r="AR10" s="308">
        <f t="shared" si="2"/>
        <v>0</v>
      </c>
      <c r="AS10" s="308">
        <f t="shared" si="2"/>
        <v>0</v>
      </c>
      <c r="AT10" s="308">
        <f t="shared" si="2"/>
        <v>140000</v>
      </c>
      <c r="AU10" s="308">
        <f t="shared" si="2"/>
        <v>0</v>
      </c>
      <c r="AV10" s="308">
        <f t="shared" si="2"/>
        <v>0</v>
      </c>
      <c r="AW10" s="308">
        <f t="shared" si="2"/>
        <v>0</v>
      </c>
      <c r="AX10" s="308">
        <f t="shared" si="2"/>
        <v>0</v>
      </c>
      <c r="AY10" s="308">
        <f t="shared" si="2"/>
        <v>0</v>
      </c>
      <c r="AZ10" s="308">
        <f t="shared" si="2"/>
        <v>0</v>
      </c>
      <c r="BA10" s="308">
        <f t="shared" si="2"/>
        <v>0</v>
      </c>
      <c r="BB10" s="308">
        <f t="shared" si="2"/>
        <v>0</v>
      </c>
      <c r="BD10" s="307">
        <f t="shared" si="3"/>
        <v>0</v>
      </c>
    </row>
    <row r="11" spans="1:56" ht="15">
      <c r="A11" s="303" t="s">
        <v>165</v>
      </c>
      <c r="B11" s="315" t="str">
        <f>VLOOKUP(A11,'DFP-Com'!$A$16:$B$50,2,1)</f>
        <v xml:space="preserve">     2.1.a  Tax and Customs</v>
      </c>
      <c r="C11" s="303" t="s">
        <v>250</v>
      </c>
      <c r="D11" s="238">
        <v>4000</v>
      </c>
      <c r="E11" s="303" t="s">
        <v>197</v>
      </c>
      <c r="G11" s="306"/>
      <c r="H11" s="324">
        <v>1</v>
      </c>
      <c r="I11" s="306"/>
      <c r="J11" s="306"/>
      <c r="K11" s="306"/>
      <c r="L11" s="306"/>
      <c r="M11" s="306"/>
      <c r="N11" s="306"/>
      <c r="U11" s="306">
        <f t="shared" si="0"/>
        <v>1</v>
      </c>
      <c r="X11" s="308">
        <f t="shared" si="1"/>
        <v>0</v>
      </c>
      <c r="Y11" s="308">
        <f t="shared" si="1"/>
        <v>0</v>
      </c>
      <c r="Z11" s="308">
        <f t="shared" si="1"/>
        <v>4000</v>
      </c>
      <c r="AA11" s="308">
        <f t="shared" si="1"/>
        <v>0</v>
      </c>
      <c r="AB11" s="308">
        <f t="shared" si="1"/>
        <v>0</v>
      </c>
      <c r="AC11" s="308">
        <f t="shared" si="1"/>
        <v>0</v>
      </c>
      <c r="AD11" s="308">
        <f t="shared" si="1"/>
        <v>0</v>
      </c>
      <c r="AE11" s="308">
        <f t="shared" si="1"/>
        <v>0</v>
      </c>
      <c r="AF11" s="308">
        <f t="shared" si="1"/>
        <v>0</v>
      </c>
      <c r="AG11" s="308">
        <f t="shared" si="1"/>
        <v>0</v>
      </c>
      <c r="AH11" s="308">
        <f t="shared" si="1"/>
        <v>0</v>
      </c>
      <c r="AI11" s="308">
        <f t="shared" si="1"/>
        <v>0</v>
      </c>
      <c r="AJ11" s="308">
        <f t="shared" si="1"/>
        <v>0</v>
      </c>
      <c r="AK11" s="308">
        <f t="shared" si="1"/>
        <v>0</v>
      </c>
      <c r="AL11" s="308">
        <f t="shared" si="1"/>
        <v>0</v>
      </c>
      <c r="AM11" s="244"/>
      <c r="AN11" s="308">
        <f t="shared" si="2"/>
        <v>0</v>
      </c>
      <c r="AO11" s="308">
        <f t="shared" si="2"/>
        <v>0</v>
      </c>
      <c r="AP11" s="308">
        <f t="shared" si="2"/>
        <v>4000</v>
      </c>
      <c r="AQ11" s="308">
        <f t="shared" si="2"/>
        <v>0</v>
      </c>
      <c r="AR11" s="308">
        <f t="shared" si="2"/>
        <v>0</v>
      </c>
      <c r="AS11" s="308">
        <f t="shared" si="2"/>
        <v>0</v>
      </c>
      <c r="AT11" s="308">
        <f t="shared" si="2"/>
        <v>0</v>
      </c>
      <c r="AU11" s="308">
        <f t="shared" si="2"/>
        <v>0</v>
      </c>
      <c r="AV11" s="308">
        <f t="shared" si="2"/>
        <v>0</v>
      </c>
      <c r="AW11" s="308">
        <f t="shared" si="2"/>
        <v>0</v>
      </c>
      <c r="AX11" s="308">
        <f t="shared" si="2"/>
        <v>0</v>
      </c>
      <c r="AY11" s="308">
        <f t="shared" si="2"/>
        <v>0</v>
      </c>
      <c r="AZ11" s="308">
        <f t="shared" si="2"/>
        <v>0</v>
      </c>
      <c r="BA11" s="308">
        <f t="shared" si="2"/>
        <v>0</v>
      </c>
      <c r="BB11" s="308">
        <f t="shared" si="2"/>
        <v>0</v>
      </c>
      <c r="BD11" s="307">
        <f t="shared" si="3"/>
        <v>0</v>
      </c>
    </row>
    <row r="12" spans="1:56" ht="15">
      <c r="A12" s="303" t="s">
        <v>165</v>
      </c>
      <c r="B12" s="315" t="str">
        <f>VLOOKUP(A12,'DFP-Com'!$A$16:$B$50,2,1)</f>
        <v xml:space="preserve">     2.1.a  Tax and Customs</v>
      </c>
      <c r="C12" s="303" t="s">
        <v>251</v>
      </c>
      <c r="D12" s="238">
        <v>100000</v>
      </c>
      <c r="E12" s="303" t="s">
        <v>197</v>
      </c>
      <c r="G12" s="306"/>
      <c r="H12" s="324">
        <v>0.25</v>
      </c>
      <c r="I12" s="306">
        <v>0.25</v>
      </c>
      <c r="J12" s="306">
        <v>0.25</v>
      </c>
      <c r="K12" s="306">
        <v>0.25</v>
      </c>
      <c r="L12" s="306"/>
      <c r="M12" s="306"/>
      <c r="N12" s="306"/>
      <c r="U12" s="306">
        <f t="shared" si="0"/>
        <v>1</v>
      </c>
      <c r="X12" s="308">
        <f t="shared" si="1"/>
        <v>0</v>
      </c>
      <c r="Y12" s="308">
        <f t="shared" si="1"/>
        <v>0</v>
      </c>
      <c r="Z12" s="308">
        <f t="shared" si="1"/>
        <v>25000</v>
      </c>
      <c r="AA12" s="308">
        <f t="shared" si="1"/>
        <v>25000</v>
      </c>
      <c r="AB12" s="308">
        <f t="shared" si="1"/>
        <v>25000</v>
      </c>
      <c r="AC12" s="308">
        <f t="shared" si="1"/>
        <v>25000</v>
      </c>
      <c r="AD12" s="308">
        <f t="shared" si="1"/>
        <v>0</v>
      </c>
      <c r="AE12" s="308">
        <f t="shared" si="1"/>
        <v>0</v>
      </c>
      <c r="AF12" s="308">
        <f t="shared" si="1"/>
        <v>0</v>
      </c>
      <c r="AG12" s="308">
        <f t="shared" si="1"/>
        <v>0</v>
      </c>
      <c r="AH12" s="308">
        <f t="shared" si="1"/>
        <v>0</v>
      </c>
      <c r="AI12" s="308">
        <f t="shared" si="1"/>
        <v>0</v>
      </c>
      <c r="AJ12" s="308">
        <f t="shared" si="1"/>
        <v>0</v>
      </c>
      <c r="AK12" s="308">
        <f t="shared" si="1"/>
        <v>0</v>
      </c>
      <c r="AL12" s="308">
        <f t="shared" si="1"/>
        <v>0</v>
      </c>
      <c r="AM12" s="244"/>
      <c r="AN12" s="308">
        <f t="shared" si="2"/>
        <v>0</v>
      </c>
      <c r="AO12" s="308">
        <f t="shared" si="2"/>
        <v>0</v>
      </c>
      <c r="AP12" s="308">
        <f t="shared" si="2"/>
        <v>100000</v>
      </c>
      <c r="AQ12" s="308">
        <f t="shared" si="2"/>
        <v>0</v>
      </c>
      <c r="AR12" s="308">
        <f t="shared" si="2"/>
        <v>0</v>
      </c>
      <c r="AS12" s="308">
        <f t="shared" si="2"/>
        <v>0</v>
      </c>
      <c r="AT12" s="308">
        <f t="shared" si="2"/>
        <v>0</v>
      </c>
      <c r="AU12" s="308">
        <f t="shared" si="2"/>
        <v>0</v>
      </c>
      <c r="AV12" s="308">
        <f t="shared" si="2"/>
        <v>0</v>
      </c>
      <c r="AW12" s="308">
        <f t="shared" si="2"/>
        <v>0</v>
      </c>
      <c r="AX12" s="308">
        <f t="shared" si="2"/>
        <v>0</v>
      </c>
      <c r="AY12" s="308">
        <f t="shared" si="2"/>
        <v>0</v>
      </c>
      <c r="AZ12" s="308">
        <f t="shared" si="2"/>
        <v>0</v>
      </c>
      <c r="BA12" s="308">
        <f t="shared" si="2"/>
        <v>0</v>
      </c>
      <c r="BB12" s="308">
        <f t="shared" si="2"/>
        <v>0</v>
      </c>
      <c r="BD12" s="307">
        <f t="shared" si="3"/>
        <v>0</v>
      </c>
    </row>
    <row r="13" spans="1:56" ht="15">
      <c r="A13" s="303" t="s">
        <v>165</v>
      </c>
      <c r="B13" s="315" t="str">
        <f>VLOOKUP(A13,'DFP-Com'!$A$16:$B$50,2,1)</f>
        <v xml:space="preserve">     2.1.a  Tax and Customs</v>
      </c>
      <c r="D13" s="238"/>
      <c r="G13" s="306"/>
      <c r="H13" s="324"/>
      <c r="I13" s="306"/>
      <c r="J13" s="306"/>
      <c r="K13" s="306"/>
      <c r="L13" s="306"/>
      <c r="M13" s="306"/>
      <c r="N13" s="306"/>
      <c r="O13" s="306"/>
      <c r="P13" s="306"/>
      <c r="Q13" s="306"/>
      <c r="U13" s="306">
        <f t="shared" si="0"/>
        <v>0</v>
      </c>
      <c r="X13" s="308">
        <f t="shared" si="1"/>
        <v>0</v>
      </c>
      <c r="Y13" s="308">
        <f t="shared" si="1"/>
        <v>0</v>
      </c>
      <c r="Z13" s="308">
        <f t="shared" si="1"/>
        <v>0</v>
      </c>
      <c r="AA13" s="308">
        <f t="shared" si="1"/>
        <v>0</v>
      </c>
      <c r="AB13" s="308">
        <f t="shared" si="1"/>
        <v>0</v>
      </c>
      <c r="AC13" s="308">
        <f t="shared" si="1"/>
        <v>0</v>
      </c>
      <c r="AD13" s="308">
        <f t="shared" si="1"/>
        <v>0</v>
      </c>
      <c r="AE13" s="308">
        <f t="shared" si="1"/>
        <v>0</v>
      </c>
      <c r="AF13" s="308">
        <f t="shared" si="1"/>
        <v>0</v>
      </c>
      <c r="AG13" s="308">
        <f t="shared" si="1"/>
        <v>0</v>
      </c>
      <c r="AH13" s="308">
        <f t="shared" si="1"/>
        <v>0</v>
      </c>
      <c r="AI13" s="308">
        <f t="shared" si="1"/>
        <v>0</v>
      </c>
      <c r="AJ13" s="308">
        <f t="shared" si="1"/>
        <v>0</v>
      </c>
      <c r="AK13" s="308">
        <f t="shared" si="1"/>
        <v>0</v>
      </c>
      <c r="AL13" s="308">
        <f t="shared" si="1"/>
        <v>0</v>
      </c>
      <c r="AM13" s="244"/>
      <c r="AN13" s="308">
        <f t="shared" si="2"/>
        <v>0</v>
      </c>
      <c r="AO13" s="308">
        <f t="shared" si="2"/>
        <v>0</v>
      </c>
      <c r="AP13" s="308">
        <f t="shared" si="2"/>
        <v>0</v>
      </c>
      <c r="AQ13" s="308">
        <f t="shared" si="2"/>
        <v>0</v>
      </c>
      <c r="AR13" s="308">
        <f t="shared" si="2"/>
        <v>0</v>
      </c>
      <c r="AS13" s="308">
        <f t="shared" si="2"/>
        <v>0</v>
      </c>
      <c r="AT13" s="308">
        <f t="shared" si="2"/>
        <v>0</v>
      </c>
      <c r="AU13" s="308">
        <f t="shared" si="2"/>
        <v>0</v>
      </c>
      <c r="AV13" s="308">
        <f t="shared" si="2"/>
        <v>0</v>
      </c>
      <c r="AW13" s="308">
        <f t="shared" si="2"/>
        <v>0</v>
      </c>
      <c r="AX13" s="308">
        <f t="shared" si="2"/>
        <v>0</v>
      </c>
      <c r="AY13" s="308">
        <f t="shared" si="2"/>
        <v>0</v>
      </c>
      <c r="AZ13" s="308">
        <f t="shared" si="2"/>
        <v>0</v>
      </c>
      <c r="BA13" s="308">
        <f t="shared" si="2"/>
        <v>0</v>
      </c>
      <c r="BB13" s="308">
        <f t="shared" si="2"/>
        <v>0</v>
      </c>
      <c r="BD13" s="307">
        <f t="shared" si="3"/>
        <v>0</v>
      </c>
    </row>
    <row r="14" spans="1:56" ht="15">
      <c r="A14" s="303" t="s">
        <v>166</v>
      </c>
      <c r="B14" s="316" t="str">
        <f>VLOOKUP(A14,'DFP-Com'!$A$16:$B$50,2,1)</f>
        <v xml:space="preserve">     2.2.a  Advisors</v>
      </c>
      <c r="C14" s="303" t="s">
        <v>210</v>
      </c>
      <c r="D14" s="238">
        <v>150000</v>
      </c>
      <c r="E14" s="303" t="s">
        <v>197</v>
      </c>
      <c r="G14" s="306"/>
      <c r="H14" s="324">
        <v>0.25</v>
      </c>
      <c r="I14" s="306">
        <v>0.25</v>
      </c>
      <c r="J14" s="306">
        <v>0.25</v>
      </c>
      <c r="K14" s="306">
        <v>0.25</v>
      </c>
      <c r="U14" s="306">
        <f t="shared" si="0"/>
        <v>1</v>
      </c>
      <c r="X14" s="308">
        <f t="shared" si="1"/>
        <v>0</v>
      </c>
      <c r="Y14" s="308">
        <f t="shared" si="1"/>
        <v>0</v>
      </c>
      <c r="Z14" s="308">
        <f t="shared" si="1"/>
        <v>37500</v>
      </c>
      <c r="AA14" s="308">
        <f t="shared" si="1"/>
        <v>37500</v>
      </c>
      <c r="AB14" s="308">
        <f t="shared" si="1"/>
        <v>37500</v>
      </c>
      <c r="AC14" s="308">
        <f t="shared" si="1"/>
        <v>37500</v>
      </c>
      <c r="AD14" s="308">
        <f t="shared" si="1"/>
        <v>0</v>
      </c>
      <c r="AE14" s="308">
        <f t="shared" si="1"/>
        <v>0</v>
      </c>
      <c r="AF14" s="308">
        <f t="shared" si="1"/>
        <v>0</v>
      </c>
      <c r="AG14" s="308">
        <f t="shared" si="1"/>
        <v>0</v>
      </c>
      <c r="AH14" s="308">
        <f t="shared" si="1"/>
        <v>0</v>
      </c>
      <c r="AI14" s="308">
        <f t="shared" si="1"/>
        <v>0</v>
      </c>
      <c r="AJ14" s="308">
        <f t="shared" si="1"/>
        <v>0</v>
      </c>
      <c r="AK14" s="308">
        <f t="shared" si="1"/>
        <v>0</v>
      </c>
      <c r="AL14" s="308">
        <f t="shared" si="1"/>
        <v>0</v>
      </c>
      <c r="AM14" s="244"/>
      <c r="AN14" s="308">
        <f t="shared" si="2"/>
        <v>0</v>
      </c>
      <c r="AO14" s="308">
        <f t="shared" si="2"/>
        <v>0</v>
      </c>
      <c r="AP14" s="308">
        <f t="shared" si="2"/>
        <v>150000</v>
      </c>
      <c r="AQ14" s="308">
        <f t="shared" si="2"/>
        <v>0</v>
      </c>
      <c r="AR14" s="308">
        <f t="shared" si="2"/>
        <v>0</v>
      </c>
      <c r="AS14" s="308">
        <f t="shared" si="2"/>
        <v>0</v>
      </c>
      <c r="AT14" s="308">
        <f t="shared" si="2"/>
        <v>0</v>
      </c>
      <c r="AU14" s="308">
        <f t="shared" si="2"/>
        <v>0</v>
      </c>
      <c r="AV14" s="308">
        <f t="shared" si="2"/>
        <v>0</v>
      </c>
      <c r="AW14" s="308">
        <f t="shared" si="2"/>
        <v>0</v>
      </c>
      <c r="AX14" s="308">
        <f t="shared" si="2"/>
        <v>0</v>
      </c>
      <c r="AY14" s="308">
        <f t="shared" si="2"/>
        <v>0</v>
      </c>
      <c r="AZ14" s="308">
        <f t="shared" si="2"/>
        <v>0</v>
      </c>
      <c r="BA14" s="308">
        <f t="shared" si="2"/>
        <v>0</v>
      </c>
      <c r="BB14" s="308">
        <f t="shared" si="2"/>
        <v>0</v>
      </c>
      <c r="BD14" s="307">
        <f t="shared" si="3"/>
        <v>0</v>
      </c>
    </row>
    <row r="15" spans="1:56" ht="15">
      <c r="A15" s="303" t="s">
        <v>166</v>
      </c>
      <c r="B15" s="316" t="str">
        <f>VLOOKUP(A15,'DFP-Com'!$A$16:$B$50,2,1)</f>
        <v xml:space="preserve">     2.2.a  Advisors</v>
      </c>
      <c r="C15" s="303" t="s">
        <v>228</v>
      </c>
      <c r="D15" s="238">
        <v>150000</v>
      </c>
      <c r="E15" s="303" t="s">
        <v>199</v>
      </c>
      <c r="K15" s="306">
        <v>0.25</v>
      </c>
      <c r="L15" s="306">
        <v>0.25</v>
      </c>
      <c r="M15" s="306">
        <v>0.25</v>
      </c>
      <c r="N15" s="306">
        <v>0.25</v>
      </c>
      <c r="U15" s="306">
        <f t="shared" si="0"/>
        <v>1</v>
      </c>
      <c r="X15" s="308">
        <f t="shared" si="1"/>
        <v>0</v>
      </c>
      <c r="Y15" s="308">
        <f t="shared" si="1"/>
        <v>0</v>
      </c>
      <c r="Z15" s="308">
        <f t="shared" si="1"/>
        <v>0</v>
      </c>
      <c r="AA15" s="308">
        <f t="shared" si="1"/>
        <v>0</v>
      </c>
      <c r="AB15" s="308">
        <f t="shared" si="1"/>
        <v>0</v>
      </c>
      <c r="AC15" s="308">
        <f t="shared" si="1"/>
        <v>37500</v>
      </c>
      <c r="AD15" s="308">
        <f t="shared" si="1"/>
        <v>37500</v>
      </c>
      <c r="AE15" s="308">
        <f t="shared" si="1"/>
        <v>37500</v>
      </c>
      <c r="AF15" s="308">
        <f t="shared" si="1"/>
        <v>37500</v>
      </c>
      <c r="AG15" s="308">
        <f t="shared" si="1"/>
        <v>0</v>
      </c>
      <c r="AH15" s="308">
        <f t="shared" si="1"/>
        <v>0</v>
      </c>
      <c r="AI15" s="308">
        <f t="shared" si="1"/>
        <v>0</v>
      </c>
      <c r="AJ15" s="308">
        <f t="shared" si="1"/>
        <v>0</v>
      </c>
      <c r="AK15" s="308">
        <f t="shared" si="1"/>
        <v>0</v>
      </c>
      <c r="AL15" s="308">
        <f t="shared" si="1"/>
        <v>0</v>
      </c>
      <c r="AM15" s="244"/>
      <c r="AN15" s="308">
        <f t="shared" si="2"/>
        <v>0</v>
      </c>
      <c r="AO15" s="308">
        <f t="shared" si="2"/>
        <v>0</v>
      </c>
      <c r="AP15" s="308">
        <f t="shared" si="2"/>
        <v>0</v>
      </c>
      <c r="AQ15" s="308">
        <f t="shared" si="2"/>
        <v>0</v>
      </c>
      <c r="AR15" s="308">
        <f t="shared" si="2"/>
        <v>0</v>
      </c>
      <c r="AS15" s="308">
        <f t="shared" si="2"/>
        <v>150000</v>
      </c>
      <c r="AT15" s="308">
        <f t="shared" si="2"/>
        <v>0</v>
      </c>
      <c r="AU15" s="308">
        <f t="shared" si="2"/>
        <v>0</v>
      </c>
      <c r="AV15" s="308">
        <f t="shared" si="2"/>
        <v>0</v>
      </c>
      <c r="AW15" s="308">
        <f t="shared" si="2"/>
        <v>0</v>
      </c>
      <c r="AX15" s="308">
        <f t="shared" si="2"/>
        <v>0</v>
      </c>
      <c r="AY15" s="308">
        <f t="shared" si="2"/>
        <v>0</v>
      </c>
      <c r="AZ15" s="308">
        <f t="shared" si="2"/>
        <v>0</v>
      </c>
      <c r="BA15" s="308">
        <f t="shared" si="2"/>
        <v>0</v>
      </c>
      <c r="BB15" s="308">
        <f t="shared" si="2"/>
        <v>0</v>
      </c>
      <c r="BD15" s="307">
        <f t="shared" si="3"/>
        <v>0</v>
      </c>
    </row>
    <row r="16" spans="1:56" ht="15">
      <c r="A16" s="303" t="s">
        <v>166</v>
      </c>
      <c r="B16" s="316" t="str">
        <f>VLOOKUP(A16,'DFP-Com'!$A$16:$B$50,2,1)</f>
        <v xml:space="preserve">     2.2.a  Advisors</v>
      </c>
      <c r="C16" s="303" t="s">
        <v>202</v>
      </c>
      <c r="D16" s="238">
        <v>73500</v>
      </c>
      <c r="E16" s="303" t="s">
        <v>197</v>
      </c>
      <c r="F16" s="306"/>
      <c r="G16" s="306"/>
      <c r="H16" s="324">
        <v>0.166666666666667</v>
      </c>
      <c r="I16" s="306">
        <v>0.25</v>
      </c>
      <c r="J16" s="306">
        <v>0.25</v>
      </c>
      <c r="K16" s="306">
        <v>0.25</v>
      </c>
      <c r="L16" s="306">
        <v>0.08333333333333333</v>
      </c>
      <c r="M16" s="306"/>
      <c r="N16" s="306"/>
      <c r="O16" s="306"/>
      <c r="P16" s="306"/>
      <c r="Q16" s="306"/>
      <c r="U16" s="306">
        <f t="shared" si="0"/>
        <v>1.0000000000000002</v>
      </c>
      <c r="X16" s="257">
        <f t="shared" si="1"/>
        <v>0</v>
      </c>
      <c r="Y16" s="308">
        <f t="shared" si="1"/>
        <v>0</v>
      </c>
      <c r="Z16" s="308">
        <f t="shared" si="1"/>
        <v>12250.000000000024</v>
      </c>
      <c r="AA16" s="308">
        <f t="shared" si="1"/>
        <v>18375</v>
      </c>
      <c r="AB16" s="308">
        <f t="shared" si="1"/>
        <v>18375</v>
      </c>
      <c r="AC16" s="308">
        <f t="shared" si="1"/>
        <v>18375</v>
      </c>
      <c r="AD16" s="308">
        <f t="shared" si="1"/>
        <v>6125</v>
      </c>
      <c r="AE16" s="308">
        <f t="shared" si="1"/>
        <v>0</v>
      </c>
      <c r="AF16" s="308">
        <f t="shared" si="1"/>
        <v>0</v>
      </c>
      <c r="AG16" s="308">
        <f t="shared" si="1"/>
        <v>0</v>
      </c>
      <c r="AH16" s="308">
        <f t="shared" si="1"/>
        <v>0</v>
      </c>
      <c r="AI16" s="308">
        <f t="shared" si="1"/>
        <v>0</v>
      </c>
      <c r="AJ16" s="308">
        <f t="shared" si="1"/>
        <v>0</v>
      </c>
      <c r="AK16" s="308">
        <f t="shared" si="1"/>
        <v>0</v>
      </c>
      <c r="AL16" s="308">
        <f t="shared" si="1"/>
        <v>0</v>
      </c>
      <c r="AM16" s="244"/>
      <c r="AN16" s="308">
        <f t="shared" si="2"/>
        <v>0</v>
      </c>
      <c r="AO16" s="308">
        <f t="shared" si="2"/>
        <v>0</v>
      </c>
      <c r="AP16" s="308">
        <f t="shared" si="2"/>
        <v>73500</v>
      </c>
      <c r="AQ16" s="308">
        <f t="shared" si="2"/>
        <v>0</v>
      </c>
      <c r="AR16" s="308">
        <f t="shared" si="2"/>
        <v>0</v>
      </c>
      <c r="AS16" s="308">
        <f t="shared" si="2"/>
        <v>0</v>
      </c>
      <c r="AT16" s="308">
        <f t="shared" si="2"/>
        <v>0</v>
      </c>
      <c r="AU16" s="308">
        <f t="shared" si="2"/>
        <v>0</v>
      </c>
      <c r="AV16" s="308">
        <f t="shared" si="2"/>
        <v>0</v>
      </c>
      <c r="AW16" s="308">
        <f t="shared" si="2"/>
        <v>0</v>
      </c>
      <c r="AX16" s="308">
        <f t="shared" si="2"/>
        <v>0</v>
      </c>
      <c r="AY16" s="308">
        <f t="shared" si="2"/>
        <v>0</v>
      </c>
      <c r="AZ16" s="308">
        <f t="shared" si="2"/>
        <v>0</v>
      </c>
      <c r="BA16" s="308">
        <f t="shared" si="2"/>
        <v>0</v>
      </c>
      <c r="BB16" s="308">
        <f t="shared" si="2"/>
        <v>0</v>
      </c>
      <c r="BD16" s="307">
        <f t="shared" si="3"/>
        <v>0</v>
      </c>
    </row>
    <row r="17" spans="1:56" ht="15">
      <c r="A17" s="303" t="s">
        <v>166</v>
      </c>
      <c r="B17" s="316" t="str">
        <f>VLOOKUP(A17,'DFP-Com'!$A$16:$B$50,2,1)</f>
        <v xml:space="preserve">     2.2.a  Advisors</v>
      </c>
      <c r="C17" s="303" t="s">
        <v>253</v>
      </c>
      <c r="D17" s="238">
        <f>12250*12</f>
        <v>147000</v>
      </c>
      <c r="E17" s="303" t="s">
        <v>199</v>
      </c>
      <c r="F17" s="306"/>
      <c r="G17" s="306"/>
      <c r="H17" s="324"/>
      <c r="I17" s="306"/>
      <c r="J17" s="306"/>
      <c r="K17" s="306">
        <v>0.166666666666667</v>
      </c>
      <c r="L17" s="306">
        <v>0.25</v>
      </c>
      <c r="M17" s="306">
        <v>0.25</v>
      </c>
      <c r="N17" s="306">
        <v>0.25</v>
      </c>
      <c r="O17" s="306">
        <v>0.08333333333333333</v>
      </c>
      <c r="P17" s="306"/>
      <c r="Q17" s="306"/>
      <c r="U17" s="306">
        <f t="shared" si="0"/>
        <v>1.0000000000000002</v>
      </c>
      <c r="X17" s="257">
        <f t="shared" si="1"/>
        <v>0</v>
      </c>
      <c r="Y17" s="308">
        <f t="shared" si="1"/>
        <v>0</v>
      </c>
      <c r="Z17" s="308">
        <f t="shared" si="1"/>
        <v>0</v>
      </c>
      <c r="AA17" s="308">
        <f t="shared" si="1"/>
        <v>0</v>
      </c>
      <c r="AB17" s="308">
        <f t="shared" si="1"/>
        <v>0</v>
      </c>
      <c r="AC17" s="308">
        <f t="shared" si="1"/>
        <v>24500.000000000047</v>
      </c>
      <c r="AD17" s="308">
        <f t="shared" si="1"/>
        <v>36750</v>
      </c>
      <c r="AE17" s="308">
        <f t="shared" si="1"/>
        <v>36750</v>
      </c>
      <c r="AF17" s="308">
        <f t="shared" si="1"/>
        <v>36750</v>
      </c>
      <c r="AG17" s="308">
        <f t="shared" si="1"/>
        <v>12250</v>
      </c>
      <c r="AH17" s="308">
        <f t="shared" si="1"/>
        <v>0</v>
      </c>
      <c r="AI17" s="308">
        <f t="shared" si="1"/>
        <v>0</v>
      </c>
      <c r="AJ17" s="308">
        <f t="shared" si="1"/>
        <v>0</v>
      </c>
      <c r="AK17" s="308">
        <f t="shared" si="1"/>
        <v>0</v>
      </c>
      <c r="AL17" s="308">
        <f t="shared" si="1"/>
        <v>0</v>
      </c>
      <c r="AM17" s="244"/>
      <c r="AN17" s="308">
        <f t="shared" si="2"/>
        <v>0</v>
      </c>
      <c r="AO17" s="308">
        <f t="shared" si="2"/>
        <v>0</v>
      </c>
      <c r="AP17" s="308">
        <f t="shared" si="2"/>
        <v>0</v>
      </c>
      <c r="AQ17" s="308">
        <f t="shared" si="2"/>
        <v>0</v>
      </c>
      <c r="AR17" s="308">
        <f t="shared" si="2"/>
        <v>0</v>
      </c>
      <c r="AS17" s="308">
        <f t="shared" si="2"/>
        <v>147000</v>
      </c>
      <c r="AT17" s="308">
        <f t="shared" si="2"/>
        <v>0</v>
      </c>
      <c r="AU17" s="308">
        <f t="shared" si="2"/>
        <v>0</v>
      </c>
      <c r="AV17" s="308">
        <f t="shared" si="2"/>
        <v>0</v>
      </c>
      <c r="AW17" s="308">
        <f t="shared" si="2"/>
        <v>0</v>
      </c>
      <c r="AX17" s="308">
        <f t="shared" si="2"/>
        <v>0</v>
      </c>
      <c r="AY17" s="308">
        <f t="shared" si="2"/>
        <v>0</v>
      </c>
      <c r="AZ17" s="308">
        <f t="shared" si="2"/>
        <v>0</v>
      </c>
      <c r="BA17" s="308">
        <f t="shared" si="2"/>
        <v>0</v>
      </c>
      <c r="BB17" s="308">
        <f t="shared" si="2"/>
        <v>0</v>
      </c>
      <c r="BD17" s="307">
        <f t="shared" si="3"/>
        <v>0</v>
      </c>
    </row>
    <row r="18" spans="1:56" ht="15">
      <c r="A18" s="303" t="s">
        <v>166</v>
      </c>
      <c r="B18" s="316" t="str">
        <f>VLOOKUP(A18,'DFP-Com'!$A$16:$B$50,2,1)</f>
        <v xml:space="preserve">     2.2.a  Advisors</v>
      </c>
      <c r="C18" s="303" t="s">
        <v>254</v>
      </c>
      <c r="D18" s="238">
        <f>12250*12</f>
        <v>147000</v>
      </c>
      <c r="E18" s="303" t="s">
        <v>255</v>
      </c>
      <c r="F18" s="306"/>
      <c r="G18" s="306"/>
      <c r="H18" s="324"/>
      <c r="I18" s="306"/>
      <c r="J18" s="306"/>
      <c r="K18" s="306"/>
      <c r="L18" s="306"/>
      <c r="M18" s="306"/>
      <c r="N18" s="306"/>
      <c r="O18" s="306">
        <v>0.166666666666667</v>
      </c>
      <c r="P18" s="306">
        <v>0.25</v>
      </c>
      <c r="Q18" s="306">
        <v>0.25</v>
      </c>
      <c r="R18" s="306">
        <v>0.25</v>
      </c>
      <c r="S18" s="306">
        <v>0.08333333333333333</v>
      </c>
      <c r="U18" s="306">
        <f t="shared" si="0"/>
        <v>1.0000000000000002</v>
      </c>
      <c r="X18" s="257">
        <f t="shared" si="1"/>
        <v>0</v>
      </c>
      <c r="Y18" s="308">
        <f t="shared" si="1"/>
        <v>0</v>
      </c>
      <c r="Z18" s="308">
        <f t="shared" si="1"/>
        <v>0</v>
      </c>
      <c r="AA18" s="308">
        <f t="shared" si="1"/>
        <v>0</v>
      </c>
      <c r="AB18" s="308">
        <f t="shared" si="1"/>
        <v>0</v>
      </c>
      <c r="AC18" s="308">
        <f t="shared" si="1"/>
        <v>0</v>
      </c>
      <c r="AD18" s="308">
        <f t="shared" si="1"/>
        <v>0</v>
      </c>
      <c r="AE18" s="308">
        <f t="shared" si="1"/>
        <v>0</v>
      </c>
      <c r="AF18" s="308">
        <f t="shared" si="1"/>
        <v>0</v>
      </c>
      <c r="AG18" s="308">
        <f t="shared" si="1"/>
        <v>24500.000000000047</v>
      </c>
      <c r="AH18" s="308">
        <f t="shared" si="1"/>
        <v>36750</v>
      </c>
      <c r="AI18" s="308">
        <f t="shared" si="1"/>
        <v>36750</v>
      </c>
      <c r="AJ18" s="308">
        <f t="shared" si="1"/>
        <v>36750</v>
      </c>
      <c r="AK18" s="308">
        <f t="shared" si="1"/>
        <v>12250</v>
      </c>
      <c r="AL18" s="308">
        <f t="shared" si="1"/>
        <v>0</v>
      </c>
      <c r="AM18" s="244"/>
      <c r="AN18" s="308">
        <f t="shared" si="2"/>
        <v>0</v>
      </c>
      <c r="AO18" s="308">
        <f t="shared" si="2"/>
        <v>0</v>
      </c>
      <c r="AP18" s="308">
        <f t="shared" si="2"/>
        <v>0</v>
      </c>
      <c r="AQ18" s="308">
        <f t="shared" si="2"/>
        <v>0</v>
      </c>
      <c r="AR18" s="308">
        <f t="shared" si="2"/>
        <v>0</v>
      </c>
      <c r="AS18" s="308">
        <f t="shared" si="2"/>
        <v>0</v>
      </c>
      <c r="AT18" s="308">
        <f t="shared" si="2"/>
        <v>0</v>
      </c>
      <c r="AU18" s="308">
        <f t="shared" si="2"/>
        <v>147000</v>
      </c>
      <c r="AV18" s="308">
        <f t="shared" si="2"/>
        <v>0</v>
      </c>
      <c r="AW18" s="308">
        <f t="shared" si="2"/>
        <v>0</v>
      </c>
      <c r="AX18" s="308">
        <f t="shared" si="2"/>
        <v>0</v>
      </c>
      <c r="AY18" s="308">
        <f t="shared" si="2"/>
        <v>0</v>
      </c>
      <c r="AZ18" s="308">
        <f t="shared" si="2"/>
        <v>0</v>
      </c>
      <c r="BA18" s="308">
        <f t="shared" si="2"/>
        <v>0</v>
      </c>
      <c r="BB18" s="308">
        <f t="shared" si="2"/>
        <v>0</v>
      </c>
      <c r="BD18" s="307">
        <f t="shared" si="3"/>
        <v>0</v>
      </c>
    </row>
    <row r="19" spans="1:56" ht="15">
      <c r="A19" s="303" t="s">
        <v>166</v>
      </c>
      <c r="B19" s="316" t="str">
        <f>VLOOKUP(A19,'DFP-Com'!$A$16:$B$50,2,1)</f>
        <v xml:space="preserve">     2.2.a  Advisors</v>
      </c>
      <c r="C19" s="303" t="s">
        <v>203</v>
      </c>
      <c r="D19" s="238">
        <v>61250</v>
      </c>
      <c r="E19" s="303" t="s">
        <v>225</v>
      </c>
      <c r="F19" s="306"/>
      <c r="G19" s="306">
        <v>0.2</v>
      </c>
      <c r="H19" s="324">
        <v>0.6</v>
      </c>
      <c r="I19" s="306">
        <v>0.2</v>
      </c>
      <c r="J19" s="306"/>
      <c r="K19" s="306"/>
      <c r="L19" s="306"/>
      <c r="M19" s="306"/>
      <c r="N19" s="306"/>
      <c r="O19" s="306"/>
      <c r="P19" s="306"/>
      <c r="Q19" s="306"/>
      <c r="U19" s="306">
        <f t="shared" si="0"/>
        <v>1</v>
      </c>
      <c r="X19" s="308">
        <f t="shared" si="1"/>
        <v>0</v>
      </c>
      <c r="Y19" s="308">
        <f t="shared" si="1"/>
        <v>12250</v>
      </c>
      <c r="Z19" s="308">
        <f t="shared" si="1"/>
        <v>36750</v>
      </c>
      <c r="AA19" s="308">
        <f t="shared" si="1"/>
        <v>12250</v>
      </c>
      <c r="AB19" s="308">
        <f t="shared" si="1"/>
        <v>0</v>
      </c>
      <c r="AC19" s="308">
        <f t="shared" si="1"/>
        <v>0</v>
      </c>
      <c r="AD19" s="308">
        <f t="shared" si="1"/>
        <v>0</v>
      </c>
      <c r="AE19" s="308">
        <f t="shared" si="1"/>
        <v>0</v>
      </c>
      <c r="AF19" s="308">
        <f t="shared" si="1"/>
        <v>0</v>
      </c>
      <c r="AG19" s="308">
        <f t="shared" si="1"/>
        <v>0</v>
      </c>
      <c r="AH19" s="308">
        <f t="shared" si="1"/>
        <v>0</v>
      </c>
      <c r="AI19" s="308">
        <f t="shared" si="1"/>
        <v>0</v>
      </c>
      <c r="AJ19" s="308">
        <f t="shared" si="1"/>
        <v>0</v>
      </c>
      <c r="AK19" s="308">
        <f t="shared" si="1"/>
        <v>0</v>
      </c>
      <c r="AL19" s="308">
        <f t="shared" si="1"/>
        <v>0</v>
      </c>
      <c r="AM19" s="244"/>
      <c r="AN19" s="308">
        <f t="shared" si="2"/>
        <v>0</v>
      </c>
      <c r="AO19" s="308">
        <f t="shared" si="2"/>
        <v>61250</v>
      </c>
      <c r="AP19" s="308">
        <f t="shared" si="2"/>
        <v>0</v>
      </c>
      <c r="AQ19" s="308">
        <f t="shared" si="2"/>
        <v>0</v>
      </c>
      <c r="AR19" s="308">
        <f t="shared" si="2"/>
        <v>0</v>
      </c>
      <c r="AS19" s="308">
        <f t="shared" si="2"/>
        <v>0</v>
      </c>
      <c r="AT19" s="308">
        <f t="shared" si="2"/>
        <v>0</v>
      </c>
      <c r="AU19" s="308">
        <f t="shared" si="2"/>
        <v>0</v>
      </c>
      <c r="AV19" s="308">
        <f t="shared" si="2"/>
        <v>0</v>
      </c>
      <c r="AW19" s="308">
        <f t="shared" si="2"/>
        <v>0</v>
      </c>
      <c r="AX19" s="308">
        <f t="shared" si="2"/>
        <v>0</v>
      </c>
      <c r="AY19" s="308">
        <f t="shared" si="2"/>
        <v>0</v>
      </c>
      <c r="AZ19" s="308">
        <f t="shared" si="2"/>
        <v>0</v>
      </c>
      <c r="BA19" s="308">
        <f t="shared" si="2"/>
        <v>0</v>
      </c>
      <c r="BB19" s="308">
        <f t="shared" si="2"/>
        <v>0</v>
      </c>
      <c r="BD19" s="307">
        <f t="shared" si="3"/>
        <v>0</v>
      </c>
    </row>
    <row r="20" spans="1:56" ht="15">
      <c r="A20" s="303" t="s">
        <v>167</v>
      </c>
      <c r="B20" s="316" t="str">
        <f>VLOOKUP(A20,'DFP-Com'!$A$16:$B$50,2,1)</f>
        <v xml:space="preserve">     2.2.b  Feasiblity Studies/  Transaction Advisory Services</v>
      </c>
      <c r="C20" s="303" t="s">
        <v>204</v>
      </c>
      <c r="D20" s="238">
        <v>500000</v>
      </c>
      <c r="E20" s="303" t="s">
        <v>197</v>
      </c>
      <c r="F20" s="306"/>
      <c r="G20" s="306"/>
      <c r="H20" s="324">
        <v>0.25</v>
      </c>
      <c r="I20" s="306">
        <v>0.25</v>
      </c>
      <c r="J20" s="306">
        <v>0.25</v>
      </c>
      <c r="K20" s="306">
        <v>0.25</v>
      </c>
      <c r="L20" s="306"/>
      <c r="M20" s="306"/>
      <c r="N20" s="306"/>
      <c r="U20" s="306">
        <f t="shared" si="0"/>
        <v>1</v>
      </c>
      <c r="X20" s="308">
        <f t="shared" si="1"/>
        <v>0</v>
      </c>
      <c r="Y20" s="308">
        <f t="shared" si="1"/>
        <v>0</v>
      </c>
      <c r="Z20" s="308">
        <f t="shared" si="1"/>
        <v>125000</v>
      </c>
      <c r="AA20" s="308">
        <f t="shared" si="1"/>
        <v>125000</v>
      </c>
      <c r="AB20" s="308">
        <f t="shared" si="1"/>
        <v>125000</v>
      </c>
      <c r="AC20" s="308">
        <f t="shared" si="1"/>
        <v>125000</v>
      </c>
      <c r="AD20" s="308">
        <f t="shared" si="1"/>
        <v>0</v>
      </c>
      <c r="AE20" s="308">
        <f t="shared" si="1"/>
        <v>0</v>
      </c>
      <c r="AF20" s="308">
        <f t="shared" si="1"/>
        <v>0</v>
      </c>
      <c r="AG20" s="308">
        <f t="shared" si="1"/>
        <v>0</v>
      </c>
      <c r="AH20" s="308">
        <f t="shared" si="1"/>
        <v>0</v>
      </c>
      <c r="AI20" s="308">
        <f t="shared" si="1"/>
        <v>0</v>
      </c>
      <c r="AJ20" s="308">
        <f t="shared" si="1"/>
        <v>0</v>
      </c>
      <c r="AK20" s="308">
        <f t="shared" si="1"/>
        <v>0</v>
      </c>
      <c r="AL20" s="308">
        <f t="shared" si="1"/>
        <v>0</v>
      </c>
      <c r="AM20" s="244"/>
      <c r="AN20" s="308">
        <f aca="true" t="shared" si="4" ref="AN20:BB35">IF(AN$3=$E20,$D20,0)</f>
        <v>0</v>
      </c>
      <c r="AO20" s="308">
        <f t="shared" si="4"/>
        <v>0</v>
      </c>
      <c r="AP20" s="308">
        <f t="shared" si="4"/>
        <v>500000</v>
      </c>
      <c r="AQ20" s="308">
        <f t="shared" si="4"/>
        <v>0</v>
      </c>
      <c r="AR20" s="308">
        <f t="shared" si="4"/>
        <v>0</v>
      </c>
      <c r="AS20" s="308">
        <f t="shared" si="4"/>
        <v>0</v>
      </c>
      <c r="AT20" s="308">
        <f t="shared" si="4"/>
        <v>0</v>
      </c>
      <c r="AU20" s="308">
        <f t="shared" si="4"/>
        <v>0</v>
      </c>
      <c r="AV20" s="308">
        <f t="shared" si="4"/>
        <v>0</v>
      </c>
      <c r="AW20" s="308">
        <f t="shared" si="4"/>
        <v>0</v>
      </c>
      <c r="AX20" s="308">
        <f t="shared" si="4"/>
        <v>0</v>
      </c>
      <c r="AY20" s="308">
        <f t="shared" si="4"/>
        <v>0</v>
      </c>
      <c r="AZ20" s="308">
        <f t="shared" si="4"/>
        <v>0</v>
      </c>
      <c r="BA20" s="308">
        <f t="shared" si="4"/>
        <v>0</v>
      </c>
      <c r="BB20" s="308">
        <f t="shared" si="4"/>
        <v>0</v>
      </c>
      <c r="BD20" s="307">
        <f t="shared" si="3"/>
        <v>0</v>
      </c>
    </row>
    <row r="21" spans="1:56" ht="15">
      <c r="A21" s="303" t="s">
        <v>167</v>
      </c>
      <c r="B21" s="316" t="str">
        <f>VLOOKUP(A21,'DFP-Com'!$A$16:$B$50,2,1)</f>
        <v xml:space="preserve">     2.2.b  Feasiblity Studies/  Transaction Advisory Services</v>
      </c>
      <c r="C21" s="303" t="s">
        <v>205</v>
      </c>
      <c r="D21" s="238">
        <v>200000</v>
      </c>
      <c r="E21" s="303" t="s">
        <v>197</v>
      </c>
      <c r="F21" s="306"/>
      <c r="G21" s="306"/>
      <c r="H21" s="324"/>
      <c r="I21" s="306"/>
      <c r="J21" s="306">
        <v>0.25</v>
      </c>
      <c r="K21" s="306">
        <v>0.25</v>
      </c>
      <c r="L21" s="306">
        <v>0.25</v>
      </c>
      <c r="M21" s="306">
        <v>0.25</v>
      </c>
      <c r="U21" s="306">
        <f t="shared" si="0"/>
        <v>1</v>
      </c>
      <c r="X21" s="308">
        <f aca="true" t="shared" si="5" ref="X21:AL37">F21*$D21</f>
        <v>0</v>
      </c>
      <c r="Y21" s="308">
        <f t="shared" si="5"/>
        <v>0</v>
      </c>
      <c r="Z21" s="308">
        <f t="shared" si="5"/>
        <v>0</v>
      </c>
      <c r="AA21" s="308">
        <f t="shared" si="5"/>
        <v>0</v>
      </c>
      <c r="AB21" s="308">
        <f t="shared" si="5"/>
        <v>50000</v>
      </c>
      <c r="AC21" s="308">
        <f t="shared" si="5"/>
        <v>50000</v>
      </c>
      <c r="AD21" s="308">
        <f t="shared" si="5"/>
        <v>50000</v>
      </c>
      <c r="AE21" s="308">
        <f t="shared" si="5"/>
        <v>50000</v>
      </c>
      <c r="AF21" s="308">
        <f t="shared" si="5"/>
        <v>0</v>
      </c>
      <c r="AG21" s="308">
        <f t="shared" si="5"/>
        <v>0</v>
      </c>
      <c r="AH21" s="308">
        <f t="shared" si="5"/>
        <v>0</v>
      </c>
      <c r="AI21" s="308">
        <f t="shared" si="5"/>
        <v>0</v>
      </c>
      <c r="AJ21" s="308">
        <f t="shared" si="5"/>
        <v>0</v>
      </c>
      <c r="AK21" s="308">
        <f t="shared" si="5"/>
        <v>0</v>
      </c>
      <c r="AL21" s="308">
        <f t="shared" si="5"/>
        <v>0</v>
      </c>
      <c r="AM21" s="244"/>
      <c r="AN21" s="308">
        <f t="shared" si="4"/>
        <v>0</v>
      </c>
      <c r="AO21" s="308">
        <f t="shared" si="4"/>
        <v>0</v>
      </c>
      <c r="AP21" s="308">
        <f t="shared" si="4"/>
        <v>200000</v>
      </c>
      <c r="AQ21" s="308">
        <f t="shared" si="4"/>
        <v>0</v>
      </c>
      <c r="AR21" s="308">
        <f t="shared" si="4"/>
        <v>0</v>
      </c>
      <c r="AS21" s="308">
        <f t="shared" si="4"/>
        <v>0</v>
      </c>
      <c r="AT21" s="308">
        <f t="shared" si="4"/>
        <v>0</v>
      </c>
      <c r="AU21" s="308">
        <f t="shared" si="4"/>
        <v>0</v>
      </c>
      <c r="AV21" s="308">
        <f t="shared" si="4"/>
        <v>0</v>
      </c>
      <c r="AW21" s="308">
        <f t="shared" si="4"/>
        <v>0</v>
      </c>
      <c r="AX21" s="308">
        <f t="shared" si="4"/>
        <v>0</v>
      </c>
      <c r="AY21" s="308">
        <f t="shared" si="4"/>
        <v>0</v>
      </c>
      <c r="AZ21" s="308">
        <f t="shared" si="4"/>
        <v>0</v>
      </c>
      <c r="BA21" s="308">
        <f t="shared" si="4"/>
        <v>0</v>
      </c>
      <c r="BB21" s="308">
        <f t="shared" si="4"/>
        <v>0</v>
      </c>
      <c r="BD21" s="307">
        <f t="shared" si="3"/>
        <v>0</v>
      </c>
    </row>
    <row r="22" spans="1:56" ht="15">
      <c r="A22" s="303" t="s">
        <v>167</v>
      </c>
      <c r="B22" s="316" t="str">
        <f>VLOOKUP(A22,'DFP-Com'!$A$16:$B$50,2,1)</f>
        <v xml:space="preserve">     2.2.b  Feasiblity Studies/  Transaction Advisory Services</v>
      </c>
      <c r="C22" s="303" t="s">
        <v>206</v>
      </c>
      <c r="D22" s="238">
        <v>350000</v>
      </c>
      <c r="U22" s="306">
        <f t="shared" si="0"/>
        <v>0</v>
      </c>
      <c r="X22" s="308">
        <f t="shared" si="5"/>
        <v>0</v>
      </c>
      <c r="Y22" s="308">
        <f t="shared" si="5"/>
        <v>0</v>
      </c>
      <c r="Z22" s="308">
        <f t="shared" si="5"/>
        <v>0</v>
      </c>
      <c r="AA22" s="308">
        <f t="shared" si="5"/>
        <v>0</v>
      </c>
      <c r="AB22" s="308">
        <f t="shared" si="5"/>
        <v>0</v>
      </c>
      <c r="AC22" s="308">
        <f t="shared" si="5"/>
        <v>0</v>
      </c>
      <c r="AD22" s="308">
        <f t="shared" si="5"/>
        <v>0</v>
      </c>
      <c r="AE22" s="308">
        <f t="shared" si="5"/>
        <v>0</v>
      </c>
      <c r="AF22" s="308">
        <f t="shared" si="5"/>
        <v>0</v>
      </c>
      <c r="AG22" s="308">
        <f t="shared" si="5"/>
        <v>0</v>
      </c>
      <c r="AH22" s="308">
        <f t="shared" si="5"/>
        <v>0</v>
      </c>
      <c r="AI22" s="308">
        <f t="shared" si="5"/>
        <v>0</v>
      </c>
      <c r="AJ22" s="308">
        <f t="shared" si="5"/>
        <v>0</v>
      </c>
      <c r="AK22" s="308">
        <f t="shared" si="5"/>
        <v>0</v>
      </c>
      <c r="AL22" s="308">
        <f t="shared" si="5"/>
        <v>0</v>
      </c>
      <c r="AM22" s="244"/>
      <c r="AN22" s="308">
        <f t="shared" si="4"/>
        <v>0</v>
      </c>
      <c r="AO22" s="308">
        <f t="shared" si="4"/>
        <v>0</v>
      </c>
      <c r="AP22" s="308">
        <f t="shared" si="4"/>
        <v>0</v>
      </c>
      <c r="AQ22" s="308">
        <f t="shared" si="4"/>
        <v>0</v>
      </c>
      <c r="AR22" s="308">
        <f t="shared" si="4"/>
        <v>0</v>
      </c>
      <c r="AS22" s="308">
        <f t="shared" si="4"/>
        <v>0</v>
      </c>
      <c r="AT22" s="308">
        <f t="shared" si="4"/>
        <v>0</v>
      </c>
      <c r="AU22" s="308">
        <f t="shared" si="4"/>
        <v>0</v>
      </c>
      <c r="AV22" s="308">
        <f t="shared" si="4"/>
        <v>0</v>
      </c>
      <c r="AW22" s="308">
        <f t="shared" si="4"/>
        <v>0</v>
      </c>
      <c r="AX22" s="308">
        <f t="shared" si="4"/>
        <v>0</v>
      </c>
      <c r="AY22" s="308">
        <f t="shared" si="4"/>
        <v>0</v>
      </c>
      <c r="AZ22" s="308">
        <f t="shared" si="4"/>
        <v>0</v>
      </c>
      <c r="BA22" s="308">
        <f t="shared" si="4"/>
        <v>0</v>
      </c>
      <c r="BB22" s="308">
        <f t="shared" si="4"/>
        <v>0</v>
      </c>
      <c r="BD22" s="307">
        <f t="shared" si="3"/>
        <v>0</v>
      </c>
    </row>
    <row r="23" spans="1:56" ht="15">
      <c r="A23" s="303" t="s">
        <v>167</v>
      </c>
      <c r="B23" s="316" t="str">
        <f>VLOOKUP(A23,'DFP-Com'!$A$16:$B$50,2,1)</f>
        <v xml:space="preserve">     2.2.b  Feasiblity Studies/  Transaction Advisory Services</v>
      </c>
      <c r="C23" s="303" t="s">
        <v>207</v>
      </c>
      <c r="D23" s="238">
        <v>200000</v>
      </c>
      <c r="E23" s="303" t="s">
        <v>229</v>
      </c>
      <c r="I23" s="306">
        <v>0.25</v>
      </c>
      <c r="J23" s="306">
        <v>0.25</v>
      </c>
      <c r="K23" s="306">
        <v>0.25</v>
      </c>
      <c r="L23" s="306">
        <v>0.25</v>
      </c>
      <c r="U23" s="306">
        <f t="shared" si="0"/>
        <v>1</v>
      </c>
      <c r="X23" s="308">
        <f t="shared" si="5"/>
        <v>0</v>
      </c>
      <c r="Y23" s="308">
        <f t="shared" si="5"/>
        <v>0</v>
      </c>
      <c r="Z23" s="308">
        <f t="shared" si="5"/>
        <v>0</v>
      </c>
      <c r="AA23" s="308">
        <f t="shared" si="5"/>
        <v>50000</v>
      </c>
      <c r="AB23" s="308">
        <f t="shared" si="5"/>
        <v>50000</v>
      </c>
      <c r="AC23" s="308">
        <f t="shared" si="5"/>
        <v>50000</v>
      </c>
      <c r="AD23" s="308">
        <f t="shared" si="5"/>
        <v>50000</v>
      </c>
      <c r="AE23" s="308">
        <f t="shared" si="5"/>
        <v>0</v>
      </c>
      <c r="AF23" s="308">
        <f t="shared" si="5"/>
        <v>0</v>
      </c>
      <c r="AG23" s="308">
        <f t="shared" si="5"/>
        <v>0</v>
      </c>
      <c r="AH23" s="308">
        <f t="shared" si="5"/>
        <v>0</v>
      </c>
      <c r="AI23" s="308">
        <f t="shared" si="5"/>
        <v>0</v>
      </c>
      <c r="AJ23" s="308">
        <f t="shared" si="5"/>
        <v>0</v>
      </c>
      <c r="AK23" s="308">
        <f t="shared" si="5"/>
        <v>0</v>
      </c>
      <c r="AL23" s="308">
        <f t="shared" si="5"/>
        <v>0</v>
      </c>
      <c r="AM23" s="244"/>
      <c r="AN23" s="308">
        <f t="shared" si="4"/>
        <v>0</v>
      </c>
      <c r="AO23" s="308">
        <f t="shared" si="4"/>
        <v>0</v>
      </c>
      <c r="AP23" s="308">
        <f t="shared" si="4"/>
        <v>0</v>
      </c>
      <c r="AQ23" s="308">
        <f t="shared" si="4"/>
        <v>200000</v>
      </c>
      <c r="AR23" s="308">
        <f t="shared" si="4"/>
        <v>0</v>
      </c>
      <c r="AS23" s="308">
        <f t="shared" si="4"/>
        <v>0</v>
      </c>
      <c r="AT23" s="308">
        <f t="shared" si="4"/>
        <v>0</v>
      </c>
      <c r="AU23" s="308">
        <f t="shared" si="4"/>
        <v>0</v>
      </c>
      <c r="AV23" s="308">
        <f t="shared" si="4"/>
        <v>0</v>
      </c>
      <c r="AW23" s="308">
        <f t="shared" si="4"/>
        <v>0</v>
      </c>
      <c r="AX23" s="308">
        <f t="shared" si="4"/>
        <v>0</v>
      </c>
      <c r="AY23" s="308">
        <f t="shared" si="4"/>
        <v>0</v>
      </c>
      <c r="AZ23" s="308">
        <f t="shared" si="4"/>
        <v>0</v>
      </c>
      <c r="BA23" s="308">
        <f t="shared" si="4"/>
        <v>0</v>
      </c>
      <c r="BB23" s="308">
        <f t="shared" si="4"/>
        <v>0</v>
      </c>
      <c r="BD23" s="307">
        <f t="shared" si="3"/>
        <v>0</v>
      </c>
    </row>
    <row r="24" spans="1:56" ht="15">
      <c r="A24" s="303" t="s">
        <v>167</v>
      </c>
      <c r="B24" s="316" t="str">
        <f>VLOOKUP(A24,'DFP-Com'!$A$16:$B$50,2,1)</f>
        <v xml:space="preserve">     2.2.b  Feasiblity Studies/  Transaction Advisory Services</v>
      </c>
      <c r="C24" s="303" t="s">
        <v>208</v>
      </c>
      <c r="D24" s="238">
        <v>350000</v>
      </c>
      <c r="E24" s="303" t="s">
        <v>229</v>
      </c>
      <c r="H24" s="324"/>
      <c r="I24" s="306">
        <v>0.25</v>
      </c>
      <c r="J24" s="306">
        <v>0.25</v>
      </c>
      <c r="K24" s="306">
        <v>0.25</v>
      </c>
      <c r="L24" s="306">
        <v>0.25</v>
      </c>
      <c r="U24" s="306">
        <f t="shared" si="0"/>
        <v>1</v>
      </c>
      <c r="X24" s="308">
        <f t="shared" si="5"/>
        <v>0</v>
      </c>
      <c r="Y24" s="308">
        <f t="shared" si="5"/>
        <v>0</v>
      </c>
      <c r="Z24" s="308">
        <f t="shared" si="5"/>
        <v>0</v>
      </c>
      <c r="AA24" s="308">
        <f t="shared" si="5"/>
        <v>87500</v>
      </c>
      <c r="AB24" s="308">
        <f t="shared" si="5"/>
        <v>87500</v>
      </c>
      <c r="AC24" s="308">
        <f t="shared" si="5"/>
        <v>87500</v>
      </c>
      <c r="AD24" s="308">
        <f t="shared" si="5"/>
        <v>87500</v>
      </c>
      <c r="AE24" s="308">
        <f t="shared" si="5"/>
        <v>0</v>
      </c>
      <c r="AF24" s="308">
        <f t="shared" si="5"/>
        <v>0</v>
      </c>
      <c r="AG24" s="308">
        <f t="shared" si="5"/>
        <v>0</v>
      </c>
      <c r="AH24" s="308">
        <f t="shared" si="5"/>
        <v>0</v>
      </c>
      <c r="AI24" s="308">
        <f t="shared" si="5"/>
        <v>0</v>
      </c>
      <c r="AJ24" s="308">
        <f t="shared" si="5"/>
        <v>0</v>
      </c>
      <c r="AK24" s="308">
        <f t="shared" si="5"/>
        <v>0</v>
      </c>
      <c r="AL24" s="308">
        <f t="shared" si="5"/>
        <v>0</v>
      </c>
      <c r="AM24" s="244"/>
      <c r="AN24" s="308">
        <f t="shared" si="4"/>
        <v>0</v>
      </c>
      <c r="AO24" s="308">
        <f t="shared" si="4"/>
        <v>0</v>
      </c>
      <c r="AP24" s="308">
        <f t="shared" si="4"/>
        <v>0</v>
      </c>
      <c r="AQ24" s="308">
        <f t="shared" si="4"/>
        <v>350000</v>
      </c>
      <c r="AR24" s="308">
        <f t="shared" si="4"/>
        <v>0</v>
      </c>
      <c r="AS24" s="308">
        <f t="shared" si="4"/>
        <v>0</v>
      </c>
      <c r="AT24" s="308">
        <f t="shared" si="4"/>
        <v>0</v>
      </c>
      <c r="AU24" s="308">
        <f t="shared" si="4"/>
        <v>0</v>
      </c>
      <c r="AV24" s="308">
        <f t="shared" si="4"/>
        <v>0</v>
      </c>
      <c r="AW24" s="308">
        <f t="shared" si="4"/>
        <v>0</v>
      </c>
      <c r="AX24" s="308">
        <f t="shared" si="4"/>
        <v>0</v>
      </c>
      <c r="AY24" s="308">
        <f t="shared" si="4"/>
        <v>0</v>
      </c>
      <c r="AZ24" s="308">
        <f t="shared" si="4"/>
        <v>0</v>
      </c>
      <c r="BA24" s="308">
        <f t="shared" si="4"/>
        <v>0</v>
      </c>
      <c r="BB24" s="308">
        <f t="shared" si="4"/>
        <v>0</v>
      </c>
      <c r="BD24" s="307">
        <f t="shared" si="3"/>
        <v>0</v>
      </c>
    </row>
    <row r="25" spans="1:56" ht="15">
      <c r="A25" s="303" t="s">
        <v>167</v>
      </c>
      <c r="B25" s="316" t="str">
        <f>VLOOKUP(A25,'DFP-Com'!$A$16:$B$50,2,1)</f>
        <v xml:space="preserve">     2.2.b  Feasiblity Studies/  Transaction Advisory Services</v>
      </c>
      <c r="C25" s="303" t="s">
        <v>209</v>
      </c>
      <c r="D25" s="238">
        <v>50000</v>
      </c>
      <c r="E25" s="303" t="s">
        <v>226</v>
      </c>
      <c r="J25" s="306">
        <v>0.25</v>
      </c>
      <c r="K25" s="306">
        <v>0.25</v>
      </c>
      <c r="L25" s="306">
        <v>0.25</v>
      </c>
      <c r="M25" s="306">
        <v>0.25</v>
      </c>
      <c r="U25" s="306">
        <f t="shared" si="0"/>
        <v>1</v>
      </c>
      <c r="X25" s="308">
        <f t="shared" si="5"/>
        <v>0</v>
      </c>
      <c r="Y25" s="308">
        <f t="shared" si="5"/>
        <v>0</v>
      </c>
      <c r="Z25" s="308">
        <f t="shared" si="5"/>
        <v>0</v>
      </c>
      <c r="AA25" s="308">
        <f t="shared" si="5"/>
        <v>0</v>
      </c>
      <c r="AB25" s="308">
        <f t="shared" si="5"/>
        <v>12500</v>
      </c>
      <c r="AC25" s="308">
        <f t="shared" si="5"/>
        <v>12500</v>
      </c>
      <c r="AD25" s="308">
        <f t="shared" si="5"/>
        <v>12500</v>
      </c>
      <c r="AE25" s="308">
        <f t="shared" si="5"/>
        <v>12500</v>
      </c>
      <c r="AF25" s="308">
        <f t="shared" si="5"/>
        <v>0</v>
      </c>
      <c r="AG25" s="308">
        <f t="shared" si="5"/>
        <v>0</v>
      </c>
      <c r="AH25" s="308">
        <f t="shared" si="5"/>
        <v>0</v>
      </c>
      <c r="AI25" s="308">
        <f t="shared" si="5"/>
        <v>0</v>
      </c>
      <c r="AJ25" s="308">
        <f t="shared" si="5"/>
        <v>0</v>
      </c>
      <c r="AK25" s="308">
        <f t="shared" si="5"/>
        <v>0</v>
      </c>
      <c r="AL25" s="308">
        <f t="shared" si="5"/>
        <v>0</v>
      </c>
      <c r="AM25" s="244"/>
      <c r="AN25" s="308">
        <f t="shared" si="4"/>
        <v>0</v>
      </c>
      <c r="AO25" s="308">
        <f t="shared" si="4"/>
        <v>0</v>
      </c>
      <c r="AP25" s="308">
        <f t="shared" si="4"/>
        <v>0</v>
      </c>
      <c r="AQ25" s="308">
        <f t="shared" si="4"/>
        <v>0</v>
      </c>
      <c r="AR25" s="308">
        <f t="shared" si="4"/>
        <v>50000</v>
      </c>
      <c r="AS25" s="308">
        <f t="shared" si="4"/>
        <v>0</v>
      </c>
      <c r="AT25" s="308">
        <f t="shared" si="4"/>
        <v>0</v>
      </c>
      <c r="AU25" s="308">
        <f t="shared" si="4"/>
        <v>0</v>
      </c>
      <c r="AV25" s="308">
        <f t="shared" si="4"/>
        <v>0</v>
      </c>
      <c r="AW25" s="308">
        <f t="shared" si="4"/>
        <v>0</v>
      </c>
      <c r="AX25" s="308">
        <f t="shared" si="4"/>
        <v>0</v>
      </c>
      <c r="AY25" s="308">
        <f t="shared" si="4"/>
        <v>0</v>
      </c>
      <c r="AZ25" s="308">
        <f t="shared" si="4"/>
        <v>0</v>
      </c>
      <c r="BA25" s="308">
        <f t="shared" si="4"/>
        <v>0</v>
      </c>
      <c r="BB25" s="308">
        <f t="shared" si="4"/>
        <v>0</v>
      </c>
      <c r="BD25" s="307">
        <f t="shared" si="3"/>
        <v>0</v>
      </c>
    </row>
    <row r="26" spans="1:56" ht="15">
      <c r="A26" s="303" t="s">
        <v>169</v>
      </c>
      <c r="B26" s="262" t="str">
        <f>VLOOKUP(A26,'DFP-Com'!$A$16:$B$50,2,1)</f>
        <v xml:space="preserve">     3.1.a  Student Assessment</v>
      </c>
      <c r="C26" s="253" t="s">
        <v>244</v>
      </c>
      <c r="D26" s="309">
        <v>100000</v>
      </c>
      <c r="E26" s="303" t="s">
        <v>229</v>
      </c>
      <c r="H26" s="324"/>
      <c r="I26" s="306">
        <v>0.25</v>
      </c>
      <c r="J26" s="306">
        <v>0.25</v>
      </c>
      <c r="K26" s="306">
        <v>0.25</v>
      </c>
      <c r="L26" s="306">
        <v>0.25</v>
      </c>
      <c r="U26" s="306">
        <f t="shared" si="0"/>
        <v>1</v>
      </c>
      <c r="X26" s="308">
        <f t="shared" si="5"/>
        <v>0</v>
      </c>
      <c r="Y26" s="308">
        <f t="shared" si="5"/>
        <v>0</v>
      </c>
      <c r="Z26" s="308">
        <f t="shared" si="5"/>
        <v>0</v>
      </c>
      <c r="AA26" s="308">
        <f t="shared" si="5"/>
        <v>25000</v>
      </c>
      <c r="AB26" s="308">
        <f t="shared" si="5"/>
        <v>25000</v>
      </c>
      <c r="AC26" s="308">
        <f t="shared" si="5"/>
        <v>25000</v>
      </c>
      <c r="AD26" s="308">
        <f t="shared" si="5"/>
        <v>25000</v>
      </c>
      <c r="AE26" s="308">
        <f t="shared" si="5"/>
        <v>0</v>
      </c>
      <c r="AF26" s="308">
        <f t="shared" si="5"/>
        <v>0</v>
      </c>
      <c r="AG26" s="308">
        <f t="shared" si="5"/>
        <v>0</v>
      </c>
      <c r="AH26" s="308">
        <f t="shared" si="5"/>
        <v>0</v>
      </c>
      <c r="AI26" s="308">
        <f t="shared" si="5"/>
        <v>0</v>
      </c>
      <c r="AJ26" s="308">
        <f t="shared" si="5"/>
        <v>0</v>
      </c>
      <c r="AK26" s="308">
        <f t="shared" si="5"/>
        <v>0</v>
      </c>
      <c r="AL26" s="308">
        <f t="shared" si="5"/>
        <v>0</v>
      </c>
      <c r="AM26" s="244"/>
      <c r="AN26" s="308">
        <f t="shared" si="4"/>
        <v>0</v>
      </c>
      <c r="AO26" s="308">
        <f t="shared" si="4"/>
        <v>0</v>
      </c>
      <c r="AP26" s="308">
        <f t="shared" si="4"/>
        <v>0</v>
      </c>
      <c r="AQ26" s="308">
        <f t="shared" si="4"/>
        <v>100000</v>
      </c>
      <c r="AR26" s="308">
        <f t="shared" si="4"/>
        <v>0</v>
      </c>
      <c r="AS26" s="308">
        <f t="shared" si="4"/>
        <v>0</v>
      </c>
      <c r="AT26" s="308">
        <f t="shared" si="4"/>
        <v>0</v>
      </c>
      <c r="AU26" s="308">
        <f t="shared" si="4"/>
        <v>0</v>
      </c>
      <c r="AV26" s="308">
        <f t="shared" si="4"/>
        <v>0</v>
      </c>
      <c r="AW26" s="308">
        <f t="shared" si="4"/>
        <v>0</v>
      </c>
      <c r="AX26" s="308">
        <f t="shared" si="4"/>
        <v>0</v>
      </c>
      <c r="AY26" s="308">
        <f t="shared" si="4"/>
        <v>0</v>
      </c>
      <c r="AZ26" s="308">
        <f t="shared" si="4"/>
        <v>0</v>
      </c>
      <c r="BA26" s="308">
        <f t="shared" si="4"/>
        <v>0</v>
      </c>
      <c r="BB26" s="308">
        <f t="shared" si="4"/>
        <v>0</v>
      </c>
      <c r="BD26" s="307">
        <f t="shared" si="3"/>
        <v>0</v>
      </c>
    </row>
    <row r="27" spans="1:56" ht="15">
      <c r="A27" s="303" t="s">
        <v>169</v>
      </c>
      <c r="B27" s="262" t="str">
        <f>VLOOKUP(A27,'DFP-Com'!$A$16:$B$50,2,1)</f>
        <v xml:space="preserve">     3.1.a  Student Assessment</v>
      </c>
      <c r="C27" s="253" t="s">
        <v>244</v>
      </c>
      <c r="D27" s="309">
        <v>500000</v>
      </c>
      <c r="E27" s="303" t="s">
        <v>272</v>
      </c>
      <c r="Q27" s="306">
        <v>0.25</v>
      </c>
      <c r="R27" s="306">
        <v>0.25</v>
      </c>
      <c r="S27" s="306">
        <v>0.25</v>
      </c>
      <c r="T27" s="306">
        <v>0.25</v>
      </c>
      <c r="U27" s="306">
        <f t="shared" si="0"/>
        <v>1</v>
      </c>
      <c r="X27" s="308">
        <f t="shared" si="5"/>
        <v>0</v>
      </c>
      <c r="Y27" s="308">
        <f t="shared" si="5"/>
        <v>0</v>
      </c>
      <c r="Z27" s="308">
        <f t="shared" si="5"/>
        <v>0</v>
      </c>
      <c r="AA27" s="308">
        <f t="shared" si="5"/>
        <v>0</v>
      </c>
      <c r="AB27" s="308">
        <f t="shared" si="5"/>
        <v>0</v>
      </c>
      <c r="AC27" s="308">
        <f t="shared" si="5"/>
        <v>0</v>
      </c>
      <c r="AD27" s="308">
        <f t="shared" si="5"/>
        <v>0</v>
      </c>
      <c r="AE27" s="308">
        <f t="shared" si="5"/>
        <v>0</v>
      </c>
      <c r="AF27" s="308">
        <f t="shared" si="5"/>
        <v>0</v>
      </c>
      <c r="AG27" s="308">
        <f t="shared" si="5"/>
        <v>0</v>
      </c>
      <c r="AH27" s="308">
        <f t="shared" si="5"/>
        <v>0</v>
      </c>
      <c r="AI27" s="308">
        <f t="shared" si="5"/>
        <v>125000</v>
      </c>
      <c r="AJ27" s="308">
        <f t="shared" si="5"/>
        <v>125000</v>
      </c>
      <c r="AK27" s="308">
        <f t="shared" si="5"/>
        <v>125000</v>
      </c>
      <c r="AL27" s="308">
        <f t="shared" si="5"/>
        <v>125000</v>
      </c>
      <c r="AM27" s="244"/>
      <c r="AN27" s="308">
        <f t="shared" si="4"/>
        <v>0</v>
      </c>
      <c r="AO27" s="308">
        <f t="shared" si="4"/>
        <v>0</v>
      </c>
      <c r="AP27" s="308">
        <f t="shared" si="4"/>
        <v>0</v>
      </c>
      <c r="AQ27" s="308">
        <f t="shared" si="4"/>
        <v>0</v>
      </c>
      <c r="AR27" s="308">
        <f t="shared" si="4"/>
        <v>0</v>
      </c>
      <c r="AS27" s="308">
        <f t="shared" si="4"/>
        <v>0</v>
      </c>
      <c r="AT27" s="308">
        <f t="shared" si="4"/>
        <v>0</v>
      </c>
      <c r="AU27" s="308">
        <f t="shared" si="4"/>
        <v>0</v>
      </c>
      <c r="AV27" s="308">
        <f t="shared" si="4"/>
        <v>0</v>
      </c>
      <c r="AW27" s="308">
        <f t="shared" si="4"/>
        <v>0</v>
      </c>
      <c r="AX27" s="308">
        <f t="shared" si="4"/>
        <v>0</v>
      </c>
      <c r="AY27" s="308">
        <f t="shared" si="4"/>
        <v>500000</v>
      </c>
      <c r="AZ27" s="308">
        <f t="shared" si="4"/>
        <v>0</v>
      </c>
      <c r="BA27" s="308">
        <f t="shared" si="4"/>
        <v>0</v>
      </c>
      <c r="BB27" s="308">
        <f t="shared" si="4"/>
        <v>0</v>
      </c>
      <c r="BD27" s="307">
        <f t="shared" si="3"/>
        <v>0</v>
      </c>
    </row>
    <row r="28" spans="1:56" ht="15">
      <c r="A28" s="303" t="s">
        <v>169</v>
      </c>
      <c r="B28" s="262" t="str">
        <f>VLOOKUP(A28,'DFP-Com'!$A$16:$B$50,2,1)</f>
        <v xml:space="preserve">     3.1.a  Student Assessment</v>
      </c>
      <c r="C28" s="303" t="s">
        <v>259</v>
      </c>
      <c r="D28" s="238">
        <v>7200</v>
      </c>
      <c r="E28" s="303" t="s">
        <v>229</v>
      </c>
      <c r="H28" s="324"/>
      <c r="I28" s="306">
        <v>0.3</v>
      </c>
      <c r="J28" s="306">
        <v>0.7</v>
      </c>
      <c r="K28" s="306"/>
      <c r="Q28" s="306"/>
      <c r="R28" s="306"/>
      <c r="S28" s="306"/>
      <c r="T28" s="306"/>
      <c r="U28" s="306">
        <f t="shared" si="0"/>
        <v>1</v>
      </c>
      <c r="X28" s="308">
        <f t="shared" si="5"/>
        <v>0</v>
      </c>
      <c r="Y28" s="308">
        <f t="shared" si="5"/>
        <v>0</v>
      </c>
      <c r="Z28" s="308">
        <f t="shared" si="5"/>
        <v>0</v>
      </c>
      <c r="AA28" s="308">
        <f t="shared" si="5"/>
        <v>2160</v>
      </c>
      <c r="AB28" s="308">
        <f t="shared" si="5"/>
        <v>5040</v>
      </c>
      <c r="AC28" s="308">
        <f t="shared" si="5"/>
        <v>0</v>
      </c>
      <c r="AD28" s="308">
        <f t="shared" si="5"/>
        <v>0</v>
      </c>
      <c r="AE28" s="308">
        <f t="shared" si="5"/>
        <v>0</v>
      </c>
      <c r="AF28" s="308">
        <f t="shared" si="5"/>
        <v>0</v>
      </c>
      <c r="AG28" s="308">
        <f t="shared" si="5"/>
        <v>0</v>
      </c>
      <c r="AH28" s="308">
        <f t="shared" si="5"/>
        <v>0</v>
      </c>
      <c r="AI28" s="308">
        <f t="shared" si="5"/>
        <v>0</v>
      </c>
      <c r="AJ28" s="308">
        <f t="shared" si="5"/>
        <v>0</v>
      </c>
      <c r="AK28" s="308">
        <f t="shared" si="5"/>
        <v>0</v>
      </c>
      <c r="AL28" s="308">
        <f t="shared" si="5"/>
        <v>0</v>
      </c>
      <c r="AM28" s="244"/>
      <c r="AN28" s="308">
        <f t="shared" si="4"/>
        <v>0</v>
      </c>
      <c r="AO28" s="308">
        <f t="shared" si="4"/>
        <v>0</v>
      </c>
      <c r="AP28" s="308">
        <f t="shared" si="4"/>
        <v>0</v>
      </c>
      <c r="AQ28" s="308">
        <f t="shared" si="4"/>
        <v>7200</v>
      </c>
      <c r="AR28" s="308">
        <f t="shared" si="4"/>
        <v>0</v>
      </c>
      <c r="AS28" s="308">
        <f t="shared" si="4"/>
        <v>0</v>
      </c>
      <c r="AT28" s="308">
        <f t="shared" si="4"/>
        <v>0</v>
      </c>
      <c r="AU28" s="308">
        <f t="shared" si="4"/>
        <v>0</v>
      </c>
      <c r="AV28" s="308">
        <f t="shared" si="4"/>
        <v>0</v>
      </c>
      <c r="AW28" s="308">
        <f t="shared" si="4"/>
        <v>0</v>
      </c>
      <c r="AX28" s="308">
        <f t="shared" si="4"/>
        <v>0</v>
      </c>
      <c r="AY28" s="308">
        <f t="shared" si="4"/>
        <v>0</v>
      </c>
      <c r="AZ28" s="308">
        <f t="shared" si="4"/>
        <v>0</v>
      </c>
      <c r="BA28" s="308">
        <f t="shared" si="4"/>
        <v>0</v>
      </c>
      <c r="BB28" s="308">
        <f t="shared" si="4"/>
        <v>0</v>
      </c>
      <c r="BD28" s="307"/>
    </row>
    <row r="29" spans="1:56" ht="15">
      <c r="A29" s="303" t="s">
        <v>169</v>
      </c>
      <c r="B29" s="262" t="str">
        <f>VLOOKUP(A29,'DFP-Com'!$A$16:$B$50,2,1)</f>
        <v xml:space="preserve">     3.1.a  Student Assessment</v>
      </c>
      <c r="C29" s="303" t="s">
        <v>260</v>
      </c>
      <c r="D29" s="238">
        <v>19200</v>
      </c>
      <c r="E29" s="303" t="s">
        <v>229</v>
      </c>
      <c r="H29" s="324"/>
      <c r="I29" s="306">
        <v>0.3</v>
      </c>
      <c r="J29" s="306">
        <v>0.7</v>
      </c>
      <c r="K29" s="306"/>
      <c r="Q29" s="306"/>
      <c r="R29" s="306"/>
      <c r="S29" s="306"/>
      <c r="T29" s="306"/>
      <c r="U29" s="306">
        <f t="shared" si="0"/>
        <v>1</v>
      </c>
      <c r="X29" s="308">
        <f t="shared" si="5"/>
        <v>0</v>
      </c>
      <c r="Y29" s="308">
        <f t="shared" si="5"/>
        <v>0</v>
      </c>
      <c r="Z29" s="308">
        <f t="shared" si="5"/>
        <v>0</v>
      </c>
      <c r="AA29" s="308">
        <f t="shared" si="5"/>
        <v>5760</v>
      </c>
      <c r="AB29" s="308">
        <f t="shared" si="5"/>
        <v>13440</v>
      </c>
      <c r="AC29" s="308">
        <f t="shared" si="5"/>
        <v>0</v>
      </c>
      <c r="AD29" s="308">
        <f t="shared" si="5"/>
        <v>0</v>
      </c>
      <c r="AE29" s="308">
        <f t="shared" si="5"/>
        <v>0</v>
      </c>
      <c r="AF29" s="308">
        <f t="shared" si="5"/>
        <v>0</v>
      </c>
      <c r="AG29" s="308">
        <f t="shared" si="5"/>
        <v>0</v>
      </c>
      <c r="AH29" s="308">
        <f t="shared" si="5"/>
        <v>0</v>
      </c>
      <c r="AI29" s="308">
        <f t="shared" si="5"/>
        <v>0</v>
      </c>
      <c r="AJ29" s="308">
        <f t="shared" si="5"/>
        <v>0</v>
      </c>
      <c r="AK29" s="308">
        <f t="shared" si="5"/>
        <v>0</v>
      </c>
      <c r="AL29" s="308">
        <f t="shared" si="5"/>
        <v>0</v>
      </c>
      <c r="AM29" s="244"/>
      <c r="AN29" s="308">
        <f t="shared" si="4"/>
        <v>0</v>
      </c>
      <c r="AO29" s="308">
        <f t="shared" si="4"/>
        <v>0</v>
      </c>
      <c r="AP29" s="308">
        <f t="shared" si="4"/>
        <v>0</v>
      </c>
      <c r="AQ29" s="308">
        <f t="shared" si="4"/>
        <v>19200</v>
      </c>
      <c r="AR29" s="308">
        <f t="shared" si="4"/>
        <v>0</v>
      </c>
      <c r="AS29" s="308">
        <f t="shared" si="4"/>
        <v>0</v>
      </c>
      <c r="AT29" s="308">
        <f t="shared" si="4"/>
        <v>0</v>
      </c>
      <c r="AU29" s="308">
        <f t="shared" si="4"/>
        <v>0</v>
      </c>
      <c r="AV29" s="308">
        <f t="shared" si="4"/>
        <v>0</v>
      </c>
      <c r="AW29" s="308">
        <f t="shared" si="4"/>
        <v>0</v>
      </c>
      <c r="AX29" s="308">
        <f t="shared" si="4"/>
        <v>0</v>
      </c>
      <c r="AY29" s="308">
        <f t="shared" si="4"/>
        <v>0</v>
      </c>
      <c r="AZ29" s="308">
        <f t="shared" si="4"/>
        <v>0</v>
      </c>
      <c r="BA29" s="308">
        <f t="shared" si="4"/>
        <v>0</v>
      </c>
      <c r="BB29" s="308">
        <f t="shared" si="4"/>
        <v>0</v>
      </c>
      <c r="BD29" s="307"/>
    </row>
    <row r="30" spans="1:56" ht="15">
      <c r="A30" s="303" t="s">
        <v>169</v>
      </c>
      <c r="B30" s="262" t="str">
        <f>VLOOKUP(A30,'DFP-Com'!$A$16:$B$50,2,1)</f>
        <v xml:space="preserve">     3.1.a  Student Assessment</v>
      </c>
      <c r="C30" s="303" t="s">
        <v>261</v>
      </c>
      <c r="D30" s="238">
        <v>8000</v>
      </c>
      <c r="E30" s="303" t="s">
        <v>197</v>
      </c>
      <c r="H30" s="324">
        <v>0.5</v>
      </c>
      <c r="I30" s="306">
        <v>0.5</v>
      </c>
      <c r="Q30" s="306"/>
      <c r="R30" s="306"/>
      <c r="S30" s="306"/>
      <c r="T30" s="306"/>
      <c r="U30" s="306">
        <f t="shared" si="0"/>
        <v>1</v>
      </c>
      <c r="X30" s="308">
        <f t="shared" si="5"/>
        <v>0</v>
      </c>
      <c r="Y30" s="308">
        <f t="shared" si="5"/>
        <v>0</v>
      </c>
      <c r="Z30" s="308">
        <f t="shared" si="5"/>
        <v>4000</v>
      </c>
      <c r="AA30" s="308">
        <f t="shared" si="5"/>
        <v>4000</v>
      </c>
      <c r="AB30" s="308">
        <f t="shared" si="5"/>
        <v>0</v>
      </c>
      <c r="AC30" s="308">
        <f t="shared" si="5"/>
        <v>0</v>
      </c>
      <c r="AD30" s="308">
        <f t="shared" si="5"/>
        <v>0</v>
      </c>
      <c r="AE30" s="308">
        <f t="shared" si="5"/>
        <v>0</v>
      </c>
      <c r="AF30" s="308">
        <f t="shared" si="5"/>
        <v>0</v>
      </c>
      <c r="AG30" s="308">
        <f t="shared" si="5"/>
        <v>0</v>
      </c>
      <c r="AH30" s="308">
        <f t="shared" si="5"/>
        <v>0</v>
      </c>
      <c r="AI30" s="308">
        <f t="shared" si="5"/>
        <v>0</v>
      </c>
      <c r="AJ30" s="308">
        <f t="shared" si="5"/>
        <v>0</v>
      </c>
      <c r="AK30" s="308">
        <f t="shared" si="5"/>
        <v>0</v>
      </c>
      <c r="AL30" s="308">
        <f t="shared" si="5"/>
        <v>0</v>
      </c>
      <c r="AM30" s="244"/>
      <c r="AN30" s="308">
        <f t="shared" si="4"/>
        <v>0</v>
      </c>
      <c r="AO30" s="308">
        <f t="shared" si="4"/>
        <v>0</v>
      </c>
      <c r="AP30" s="308">
        <f t="shared" si="4"/>
        <v>8000</v>
      </c>
      <c r="AQ30" s="308">
        <f t="shared" si="4"/>
        <v>0</v>
      </c>
      <c r="AR30" s="308">
        <f t="shared" si="4"/>
        <v>0</v>
      </c>
      <c r="AS30" s="308">
        <f t="shared" si="4"/>
        <v>0</v>
      </c>
      <c r="AT30" s="308">
        <f t="shared" si="4"/>
        <v>0</v>
      </c>
      <c r="AU30" s="308">
        <f t="shared" si="4"/>
        <v>0</v>
      </c>
      <c r="AV30" s="308">
        <f t="shared" si="4"/>
        <v>0</v>
      </c>
      <c r="AW30" s="308">
        <f t="shared" si="4"/>
        <v>0</v>
      </c>
      <c r="AX30" s="308">
        <f t="shared" si="4"/>
        <v>0</v>
      </c>
      <c r="AY30" s="308">
        <f t="shared" si="4"/>
        <v>0</v>
      </c>
      <c r="AZ30" s="308">
        <f t="shared" si="4"/>
        <v>0</v>
      </c>
      <c r="BA30" s="308">
        <f t="shared" si="4"/>
        <v>0</v>
      </c>
      <c r="BB30" s="308">
        <f t="shared" si="4"/>
        <v>0</v>
      </c>
      <c r="BD30" s="307"/>
    </row>
    <row r="31" spans="1:56" ht="15">
      <c r="A31" s="303" t="s">
        <v>169</v>
      </c>
      <c r="B31" s="262" t="str">
        <f>VLOOKUP(A31,'DFP-Com'!$A$16:$B$50,2,1)</f>
        <v xml:space="preserve">     3.1.a  Student Assessment</v>
      </c>
      <c r="C31" s="303" t="s">
        <v>262</v>
      </c>
      <c r="D31" s="238">
        <v>72000</v>
      </c>
      <c r="E31" s="303" t="s">
        <v>197</v>
      </c>
      <c r="H31" s="324">
        <v>0.0833333333333333</v>
      </c>
      <c r="I31" s="306">
        <v>0.0833333333333333</v>
      </c>
      <c r="J31" s="306">
        <v>0.0833333333333333</v>
      </c>
      <c r="K31" s="306">
        <v>0.0833333333333333</v>
      </c>
      <c r="L31" s="306">
        <v>0.0833333333333333</v>
      </c>
      <c r="M31" s="306">
        <v>0.0833333333333333</v>
      </c>
      <c r="N31" s="306">
        <v>0.0833333333333333</v>
      </c>
      <c r="O31" s="306">
        <v>0.0833333333333333</v>
      </c>
      <c r="P31" s="306">
        <v>0.0833333333333333</v>
      </c>
      <c r="Q31" s="306">
        <v>0.0833333333333333</v>
      </c>
      <c r="R31" s="306">
        <v>0.0833333333333333</v>
      </c>
      <c r="S31" s="306">
        <v>0.0833333333333333</v>
      </c>
      <c r="T31" s="306"/>
      <c r="U31" s="306">
        <f t="shared" si="0"/>
        <v>0.9999999999999994</v>
      </c>
      <c r="X31" s="308">
        <f t="shared" si="5"/>
        <v>0</v>
      </c>
      <c r="Y31" s="308">
        <f t="shared" si="5"/>
        <v>0</v>
      </c>
      <c r="Z31" s="308">
        <f t="shared" si="5"/>
        <v>5999.999999999997</v>
      </c>
      <c r="AA31" s="308">
        <f t="shared" si="5"/>
        <v>5999.999999999997</v>
      </c>
      <c r="AB31" s="308">
        <f t="shared" si="5"/>
        <v>5999.999999999997</v>
      </c>
      <c r="AC31" s="308">
        <f t="shared" si="5"/>
        <v>5999.999999999997</v>
      </c>
      <c r="AD31" s="308">
        <f t="shared" si="5"/>
        <v>5999.999999999997</v>
      </c>
      <c r="AE31" s="308">
        <f t="shared" si="5"/>
        <v>5999.999999999997</v>
      </c>
      <c r="AF31" s="308">
        <f t="shared" si="5"/>
        <v>5999.999999999997</v>
      </c>
      <c r="AG31" s="308">
        <f t="shared" si="5"/>
        <v>5999.999999999997</v>
      </c>
      <c r="AH31" s="308">
        <f t="shared" si="5"/>
        <v>5999.999999999997</v>
      </c>
      <c r="AI31" s="308">
        <f t="shared" si="5"/>
        <v>5999.999999999997</v>
      </c>
      <c r="AJ31" s="308">
        <f t="shared" si="5"/>
        <v>5999.999999999997</v>
      </c>
      <c r="AK31" s="308">
        <f t="shared" si="5"/>
        <v>5999.999999999997</v>
      </c>
      <c r="AL31" s="308">
        <f t="shared" si="5"/>
        <v>0</v>
      </c>
      <c r="AM31" s="244"/>
      <c r="AN31" s="308">
        <f t="shared" si="4"/>
        <v>0</v>
      </c>
      <c r="AO31" s="308">
        <f t="shared" si="4"/>
        <v>0</v>
      </c>
      <c r="AP31" s="308">
        <f t="shared" si="4"/>
        <v>72000</v>
      </c>
      <c r="AQ31" s="308">
        <f t="shared" si="4"/>
        <v>0</v>
      </c>
      <c r="AR31" s="308">
        <f t="shared" si="4"/>
        <v>0</v>
      </c>
      <c r="AS31" s="308">
        <f t="shared" si="4"/>
        <v>0</v>
      </c>
      <c r="AT31" s="308">
        <f t="shared" si="4"/>
        <v>0</v>
      </c>
      <c r="AU31" s="308">
        <f t="shared" si="4"/>
        <v>0</v>
      </c>
      <c r="AV31" s="308">
        <f t="shared" si="4"/>
        <v>0</v>
      </c>
      <c r="AW31" s="308">
        <f t="shared" si="4"/>
        <v>0</v>
      </c>
      <c r="AX31" s="308">
        <f t="shared" si="4"/>
        <v>0</v>
      </c>
      <c r="AY31" s="308">
        <f t="shared" si="4"/>
        <v>0</v>
      </c>
      <c r="AZ31" s="308">
        <f t="shared" si="4"/>
        <v>0</v>
      </c>
      <c r="BA31" s="308">
        <f t="shared" si="4"/>
        <v>0</v>
      </c>
      <c r="BB31" s="308">
        <f t="shared" si="4"/>
        <v>0</v>
      </c>
      <c r="BD31" s="307"/>
    </row>
    <row r="32" spans="1:56" ht="15">
      <c r="A32" s="303" t="s">
        <v>170</v>
      </c>
      <c r="B32" s="262" t="str">
        <f>VLOOKUP(A32,'DFP-Com'!$A$16:$B$50,2,1)</f>
        <v xml:space="preserve">     3.1.b  Teacher Evaluations</v>
      </c>
      <c r="C32" s="253" t="s">
        <v>244</v>
      </c>
      <c r="D32" s="238">
        <v>100000</v>
      </c>
      <c r="E32" s="303" t="s">
        <v>229</v>
      </c>
      <c r="I32" s="306">
        <v>0.25</v>
      </c>
      <c r="J32" s="306">
        <v>0.25</v>
      </c>
      <c r="K32" s="306">
        <v>0.25</v>
      </c>
      <c r="L32" s="306">
        <v>0.25</v>
      </c>
      <c r="U32" s="306">
        <f t="shared" si="0"/>
        <v>1</v>
      </c>
      <c r="X32" s="308">
        <f t="shared" si="5"/>
        <v>0</v>
      </c>
      <c r="Y32" s="308">
        <f t="shared" si="5"/>
        <v>0</v>
      </c>
      <c r="Z32" s="308">
        <f t="shared" si="5"/>
        <v>0</v>
      </c>
      <c r="AA32" s="308">
        <f t="shared" si="5"/>
        <v>25000</v>
      </c>
      <c r="AB32" s="308">
        <f t="shared" si="5"/>
        <v>25000</v>
      </c>
      <c r="AC32" s="308">
        <f t="shared" si="5"/>
        <v>25000</v>
      </c>
      <c r="AD32" s="308">
        <f t="shared" si="5"/>
        <v>25000</v>
      </c>
      <c r="AE32" s="308">
        <f t="shared" si="5"/>
        <v>0</v>
      </c>
      <c r="AF32" s="308">
        <f t="shared" si="5"/>
        <v>0</v>
      </c>
      <c r="AG32" s="308">
        <f t="shared" si="5"/>
        <v>0</v>
      </c>
      <c r="AH32" s="308">
        <f t="shared" si="5"/>
        <v>0</v>
      </c>
      <c r="AI32" s="308">
        <f t="shared" si="5"/>
        <v>0</v>
      </c>
      <c r="AJ32" s="308">
        <f t="shared" si="5"/>
        <v>0</v>
      </c>
      <c r="AK32" s="308">
        <f t="shared" si="5"/>
        <v>0</v>
      </c>
      <c r="AL32" s="308">
        <f t="shared" si="5"/>
        <v>0</v>
      </c>
      <c r="AM32" s="244"/>
      <c r="AN32" s="308">
        <f t="shared" si="4"/>
        <v>0</v>
      </c>
      <c r="AO32" s="308">
        <f t="shared" si="4"/>
        <v>0</v>
      </c>
      <c r="AP32" s="308">
        <f t="shared" si="4"/>
        <v>0</v>
      </c>
      <c r="AQ32" s="308">
        <f t="shared" si="4"/>
        <v>100000</v>
      </c>
      <c r="AR32" s="308">
        <f t="shared" si="4"/>
        <v>0</v>
      </c>
      <c r="AS32" s="308">
        <f t="shared" si="4"/>
        <v>0</v>
      </c>
      <c r="AT32" s="308">
        <f t="shared" si="4"/>
        <v>0</v>
      </c>
      <c r="AU32" s="308">
        <f t="shared" si="4"/>
        <v>0</v>
      </c>
      <c r="AV32" s="308">
        <f t="shared" si="4"/>
        <v>0</v>
      </c>
      <c r="AW32" s="308">
        <f t="shared" si="4"/>
        <v>0</v>
      </c>
      <c r="AX32" s="308">
        <f t="shared" si="4"/>
        <v>0</v>
      </c>
      <c r="AY32" s="308">
        <f t="shared" si="4"/>
        <v>0</v>
      </c>
      <c r="AZ32" s="308">
        <f t="shared" si="4"/>
        <v>0</v>
      </c>
      <c r="BA32" s="308">
        <f t="shared" si="4"/>
        <v>0</v>
      </c>
      <c r="BB32" s="308">
        <f t="shared" si="4"/>
        <v>0</v>
      </c>
      <c r="BD32" s="307">
        <f aca="true" t="shared" si="6" ref="BD32:BD38">SUM(X32:AL32)-SUM(AN32:BB32)</f>
        <v>0</v>
      </c>
    </row>
    <row r="33" spans="1:56" ht="15">
      <c r="A33" s="303" t="s">
        <v>170</v>
      </c>
      <c r="B33" s="262" t="str">
        <f>VLOOKUP(A33,'DFP-Com'!$A$16:$B$50,2,1)</f>
        <v xml:space="preserve">     3.1.b  Teacher Evaluations</v>
      </c>
      <c r="C33" s="253" t="s">
        <v>244</v>
      </c>
      <c r="D33" s="238">
        <v>200000</v>
      </c>
      <c r="E33" s="303" t="s">
        <v>245</v>
      </c>
      <c r="Q33" s="306">
        <v>0.25</v>
      </c>
      <c r="R33" s="306">
        <v>0.25</v>
      </c>
      <c r="S33" s="306">
        <v>0.25</v>
      </c>
      <c r="T33" s="306">
        <v>0.25</v>
      </c>
      <c r="U33" s="306">
        <f t="shared" si="0"/>
        <v>1</v>
      </c>
      <c r="X33" s="308">
        <f t="shared" si="5"/>
        <v>0</v>
      </c>
      <c r="Y33" s="308">
        <f t="shared" si="5"/>
        <v>0</v>
      </c>
      <c r="Z33" s="308">
        <f t="shared" si="5"/>
        <v>0</v>
      </c>
      <c r="AA33" s="308">
        <f t="shared" si="5"/>
        <v>0</v>
      </c>
      <c r="AB33" s="308">
        <f t="shared" si="5"/>
        <v>0</v>
      </c>
      <c r="AC33" s="308">
        <f t="shared" si="5"/>
        <v>0</v>
      </c>
      <c r="AD33" s="308">
        <f t="shared" si="5"/>
        <v>0</v>
      </c>
      <c r="AE33" s="308">
        <f t="shared" si="5"/>
        <v>0</v>
      </c>
      <c r="AF33" s="308">
        <f t="shared" si="5"/>
        <v>0</v>
      </c>
      <c r="AG33" s="308">
        <f t="shared" si="5"/>
        <v>0</v>
      </c>
      <c r="AH33" s="308">
        <f t="shared" si="5"/>
        <v>0</v>
      </c>
      <c r="AI33" s="308">
        <f t="shared" si="5"/>
        <v>50000</v>
      </c>
      <c r="AJ33" s="308">
        <f t="shared" si="5"/>
        <v>50000</v>
      </c>
      <c r="AK33" s="308">
        <f t="shared" si="5"/>
        <v>50000</v>
      </c>
      <c r="AL33" s="308">
        <f t="shared" si="5"/>
        <v>50000</v>
      </c>
      <c r="AM33" s="244"/>
      <c r="AN33" s="308">
        <f t="shared" si="4"/>
        <v>0</v>
      </c>
      <c r="AO33" s="308">
        <f t="shared" si="4"/>
        <v>0</v>
      </c>
      <c r="AP33" s="308">
        <f t="shared" si="4"/>
        <v>0</v>
      </c>
      <c r="AQ33" s="308">
        <f t="shared" si="4"/>
        <v>0</v>
      </c>
      <c r="AR33" s="308">
        <f t="shared" si="4"/>
        <v>0</v>
      </c>
      <c r="AS33" s="308">
        <f t="shared" si="4"/>
        <v>0</v>
      </c>
      <c r="AT33" s="308">
        <f t="shared" si="4"/>
        <v>0</v>
      </c>
      <c r="AU33" s="308">
        <f t="shared" si="4"/>
        <v>0</v>
      </c>
      <c r="AV33" s="308">
        <f t="shared" si="4"/>
        <v>0</v>
      </c>
      <c r="AW33" s="308">
        <f t="shared" si="4"/>
        <v>0</v>
      </c>
      <c r="AX33" s="308">
        <f t="shared" si="4"/>
        <v>0</v>
      </c>
      <c r="AY33" s="308">
        <f t="shared" si="4"/>
        <v>0</v>
      </c>
      <c r="AZ33" s="308">
        <f t="shared" si="4"/>
        <v>0</v>
      </c>
      <c r="BA33" s="308">
        <f t="shared" si="4"/>
        <v>0</v>
      </c>
      <c r="BB33" s="308">
        <f t="shared" si="4"/>
        <v>200000</v>
      </c>
      <c r="BD33" s="307">
        <f t="shared" si="6"/>
        <v>0</v>
      </c>
    </row>
    <row r="34" spans="1:56" ht="15">
      <c r="A34" s="303" t="s">
        <v>171</v>
      </c>
      <c r="B34" s="262" t="str">
        <f>VLOOKUP(A34,'DFP-Com'!$A$16:$B$50,2,1)</f>
        <v xml:space="preserve">     3.1.c  Voc Ed Tracer Studies</v>
      </c>
      <c r="C34" s="253" t="s">
        <v>244</v>
      </c>
      <c r="D34" s="238">
        <v>100000</v>
      </c>
      <c r="E34" s="303" t="s">
        <v>211</v>
      </c>
      <c r="L34" s="306">
        <v>0.25</v>
      </c>
      <c r="M34" s="306">
        <v>0.25</v>
      </c>
      <c r="N34" s="306">
        <v>0.25</v>
      </c>
      <c r="O34" s="306">
        <v>0.25</v>
      </c>
      <c r="U34" s="306">
        <f t="shared" si="0"/>
        <v>1</v>
      </c>
      <c r="X34" s="308">
        <f t="shared" si="5"/>
        <v>0</v>
      </c>
      <c r="Y34" s="308">
        <f t="shared" si="5"/>
        <v>0</v>
      </c>
      <c r="Z34" s="308">
        <f t="shared" si="5"/>
        <v>0</v>
      </c>
      <c r="AA34" s="308">
        <f t="shared" si="5"/>
        <v>0</v>
      </c>
      <c r="AB34" s="308">
        <f t="shared" si="5"/>
        <v>0</v>
      </c>
      <c r="AC34" s="308">
        <f t="shared" si="5"/>
        <v>0</v>
      </c>
      <c r="AD34" s="308">
        <f t="shared" si="5"/>
        <v>25000</v>
      </c>
      <c r="AE34" s="308">
        <f t="shared" si="5"/>
        <v>25000</v>
      </c>
      <c r="AF34" s="308">
        <f t="shared" si="5"/>
        <v>25000</v>
      </c>
      <c r="AG34" s="308">
        <f t="shared" si="5"/>
        <v>25000</v>
      </c>
      <c r="AH34" s="308">
        <f t="shared" si="5"/>
        <v>0</v>
      </c>
      <c r="AI34" s="308">
        <f t="shared" si="5"/>
        <v>0</v>
      </c>
      <c r="AJ34" s="308">
        <f t="shared" si="5"/>
        <v>0</v>
      </c>
      <c r="AK34" s="308">
        <f t="shared" si="5"/>
        <v>0</v>
      </c>
      <c r="AL34" s="308">
        <f t="shared" si="5"/>
        <v>0</v>
      </c>
      <c r="AM34" s="244"/>
      <c r="AN34" s="308">
        <f t="shared" si="4"/>
        <v>0</v>
      </c>
      <c r="AO34" s="308">
        <f t="shared" si="4"/>
        <v>0</v>
      </c>
      <c r="AP34" s="308">
        <f t="shared" si="4"/>
        <v>0</v>
      </c>
      <c r="AQ34" s="308">
        <f t="shared" si="4"/>
        <v>0</v>
      </c>
      <c r="AR34" s="308">
        <f t="shared" si="4"/>
        <v>0</v>
      </c>
      <c r="AS34" s="308">
        <f t="shared" si="4"/>
        <v>0</v>
      </c>
      <c r="AT34" s="308">
        <f t="shared" si="4"/>
        <v>100000</v>
      </c>
      <c r="AU34" s="308">
        <f t="shared" si="4"/>
        <v>0</v>
      </c>
      <c r="AV34" s="308">
        <f t="shared" si="4"/>
        <v>0</v>
      </c>
      <c r="AW34" s="308">
        <f t="shared" si="4"/>
        <v>0</v>
      </c>
      <c r="AX34" s="308">
        <f t="shared" si="4"/>
        <v>0</v>
      </c>
      <c r="AY34" s="308">
        <f t="shared" si="4"/>
        <v>0</v>
      </c>
      <c r="AZ34" s="308">
        <f t="shared" si="4"/>
        <v>0</v>
      </c>
      <c r="BA34" s="308">
        <f t="shared" si="4"/>
        <v>0</v>
      </c>
      <c r="BB34" s="308">
        <f t="shared" si="4"/>
        <v>0</v>
      </c>
      <c r="BD34" s="307">
        <f t="shared" si="6"/>
        <v>0</v>
      </c>
    </row>
    <row r="35" spans="1:56" ht="15">
      <c r="A35" s="303" t="s">
        <v>171</v>
      </c>
      <c r="B35" s="262" t="str">
        <f>VLOOKUP(A35,'DFP-Com'!$A$16:$B$50,2,1)</f>
        <v xml:space="preserve">     3.1.c  Voc Ed Tracer Studies</v>
      </c>
      <c r="C35" s="253" t="s">
        <v>244</v>
      </c>
      <c r="D35" s="238">
        <v>200000</v>
      </c>
      <c r="E35" s="303" t="s">
        <v>245</v>
      </c>
      <c r="Q35" s="306">
        <v>0.25</v>
      </c>
      <c r="R35" s="306">
        <v>0.25</v>
      </c>
      <c r="S35" s="306">
        <v>0.25</v>
      </c>
      <c r="T35" s="306">
        <v>0.25</v>
      </c>
      <c r="U35" s="306">
        <f t="shared" si="0"/>
        <v>1</v>
      </c>
      <c r="X35" s="308">
        <f t="shared" si="5"/>
        <v>0</v>
      </c>
      <c r="Y35" s="308">
        <f t="shared" si="5"/>
        <v>0</v>
      </c>
      <c r="Z35" s="308">
        <f t="shared" si="5"/>
        <v>0</v>
      </c>
      <c r="AA35" s="308">
        <f t="shared" si="5"/>
        <v>0</v>
      </c>
      <c r="AB35" s="308">
        <f t="shared" si="5"/>
        <v>0</v>
      </c>
      <c r="AC35" s="308">
        <f t="shared" si="5"/>
        <v>0</v>
      </c>
      <c r="AD35" s="308">
        <f t="shared" si="5"/>
        <v>0</v>
      </c>
      <c r="AE35" s="308">
        <f t="shared" si="5"/>
        <v>0</v>
      </c>
      <c r="AF35" s="308">
        <f t="shared" si="5"/>
        <v>0</v>
      </c>
      <c r="AG35" s="308">
        <f t="shared" si="5"/>
        <v>0</v>
      </c>
      <c r="AH35" s="308">
        <f t="shared" si="5"/>
        <v>0</v>
      </c>
      <c r="AI35" s="308">
        <f t="shared" si="5"/>
        <v>50000</v>
      </c>
      <c r="AJ35" s="308">
        <f t="shared" si="5"/>
        <v>50000</v>
      </c>
      <c r="AK35" s="308">
        <f t="shared" si="5"/>
        <v>50000</v>
      </c>
      <c r="AL35" s="308">
        <f t="shared" si="5"/>
        <v>50000</v>
      </c>
      <c r="AM35" s="244"/>
      <c r="AN35" s="308">
        <f t="shared" si="4"/>
        <v>0</v>
      </c>
      <c r="AO35" s="308">
        <f t="shared" si="4"/>
        <v>0</v>
      </c>
      <c r="AP35" s="308">
        <f t="shared" si="4"/>
        <v>0</v>
      </c>
      <c r="AQ35" s="308">
        <f t="shared" si="4"/>
        <v>0</v>
      </c>
      <c r="AR35" s="308">
        <f t="shared" si="4"/>
        <v>0</v>
      </c>
      <c r="AS35" s="308">
        <f t="shared" si="4"/>
        <v>0</v>
      </c>
      <c r="AT35" s="308">
        <f t="shared" si="4"/>
        <v>0</v>
      </c>
      <c r="AU35" s="308">
        <f t="shared" si="4"/>
        <v>0</v>
      </c>
      <c r="AV35" s="308">
        <f t="shared" si="4"/>
        <v>0</v>
      </c>
      <c r="AW35" s="308">
        <f t="shared" si="4"/>
        <v>0</v>
      </c>
      <c r="AX35" s="308">
        <f t="shared" si="4"/>
        <v>0</v>
      </c>
      <c r="AY35" s="308">
        <f t="shared" si="4"/>
        <v>0</v>
      </c>
      <c r="AZ35" s="308">
        <f t="shared" si="4"/>
        <v>0</v>
      </c>
      <c r="BA35" s="308">
        <f t="shared" si="4"/>
        <v>0</v>
      </c>
      <c r="BB35" s="308">
        <f t="shared" si="4"/>
        <v>200000</v>
      </c>
      <c r="BD35" s="307">
        <f t="shared" si="6"/>
        <v>0</v>
      </c>
    </row>
    <row r="36" spans="1:56" ht="15">
      <c r="A36" s="303" t="s">
        <v>172</v>
      </c>
      <c r="B36" s="262" t="str">
        <f>VLOOKUP(A36,'DFP-Com'!$A$16:$B$50,2,1)</f>
        <v xml:space="preserve">     3.1 d Other</v>
      </c>
      <c r="C36" s="253" t="s">
        <v>244</v>
      </c>
      <c r="D36" s="238">
        <v>200000</v>
      </c>
      <c r="E36" s="303" t="s">
        <v>245</v>
      </c>
      <c r="Q36" s="306">
        <v>0.25</v>
      </c>
      <c r="R36" s="306">
        <v>0.25</v>
      </c>
      <c r="S36" s="306">
        <v>0.25</v>
      </c>
      <c r="T36" s="306">
        <v>0.25</v>
      </c>
      <c r="U36" s="306">
        <f t="shared" si="0"/>
        <v>1</v>
      </c>
      <c r="X36" s="308">
        <f t="shared" si="5"/>
        <v>0</v>
      </c>
      <c r="Y36" s="308">
        <f t="shared" si="5"/>
        <v>0</v>
      </c>
      <c r="Z36" s="308">
        <f t="shared" si="5"/>
        <v>0</v>
      </c>
      <c r="AA36" s="308">
        <f t="shared" si="5"/>
        <v>0</v>
      </c>
      <c r="AB36" s="308">
        <f t="shared" si="5"/>
        <v>0</v>
      </c>
      <c r="AC36" s="308">
        <f t="shared" si="5"/>
        <v>0</v>
      </c>
      <c r="AD36" s="308">
        <f t="shared" si="5"/>
        <v>0</v>
      </c>
      <c r="AE36" s="308">
        <f t="shared" si="5"/>
        <v>0</v>
      </c>
      <c r="AF36" s="308">
        <f t="shared" si="5"/>
        <v>0</v>
      </c>
      <c r="AG36" s="308">
        <f t="shared" si="5"/>
        <v>0</v>
      </c>
      <c r="AH36" s="308">
        <f t="shared" si="5"/>
        <v>0</v>
      </c>
      <c r="AI36" s="308">
        <f t="shared" si="5"/>
        <v>50000</v>
      </c>
      <c r="AJ36" s="308">
        <f t="shared" si="5"/>
        <v>50000</v>
      </c>
      <c r="AK36" s="308">
        <f t="shared" si="5"/>
        <v>50000</v>
      </c>
      <c r="AL36" s="308">
        <f t="shared" si="5"/>
        <v>50000</v>
      </c>
      <c r="AM36" s="244"/>
      <c r="AN36" s="308">
        <f aca="true" t="shared" si="7" ref="AN36:BB38">IF(AN$3=$E36,$D36,0)</f>
        <v>0</v>
      </c>
      <c r="AO36" s="308">
        <f t="shared" si="7"/>
        <v>0</v>
      </c>
      <c r="AP36" s="308">
        <f t="shared" si="7"/>
        <v>0</v>
      </c>
      <c r="AQ36" s="308">
        <f t="shared" si="7"/>
        <v>0</v>
      </c>
      <c r="AR36" s="308">
        <f t="shared" si="7"/>
        <v>0</v>
      </c>
      <c r="AS36" s="308">
        <f t="shared" si="7"/>
        <v>0</v>
      </c>
      <c r="AT36" s="308">
        <f t="shared" si="7"/>
        <v>0</v>
      </c>
      <c r="AU36" s="308">
        <f t="shared" si="7"/>
        <v>0</v>
      </c>
      <c r="AV36" s="308">
        <f t="shared" si="7"/>
        <v>0</v>
      </c>
      <c r="AW36" s="308">
        <f t="shared" si="7"/>
        <v>0</v>
      </c>
      <c r="AX36" s="308">
        <f t="shared" si="7"/>
        <v>0</v>
      </c>
      <c r="AY36" s="308">
        <f t="shared" si="7"/>
        <v>0</v>
      </c>
      <c r="AZ36" s="308">
        <f t="shared" si="7"/>
        <v>0</v>
      </c>
      <c r="BA36" s="308">
        <f t="shared" si="7"/>
        <v>0</v>
      </c>
      <c r="BB36" s="308">
        <f t="shared" si="7"/>
        <v>200000</v>
      </c>
      <c r="BD36" s="307">
        <f t="shared" si="6"/>
        <v>0</v>
      </c>
    </row>
    <row r="37" spans="1:56" ht="15">
      <c r="A37" s="303" t="s">
        <v>175</v>
      </c>
      <c r="B37" s="262" t="str">
        <f>VLOOKUP(A37,'DFP-Com'!$A$16:$B$50,2,1)</f>
        <v xml:space="preserve">     4.1.c  Audit</v>
      </c>
      <c r="C37" s="253" t="s">
        <v>213</v>
      </c>
      <c r="D37" s="330">
        <v>90000</v>
      </c>
      <c r="E37" s="303" t="s">
        <v>226</v>
      </c>
      <c r="K37" s="242"/>
      <c r="L37" s="242">
        <f>1/6</f>
        <v>0.16666666666666666</v>
      </c>
      <c r="M37" s="242">
        <f>1/6</f>
        <v>0.16666666666666666</v>
      </c>
      <c r="P37" s="242">
        <f>1/6</f>
        <v>0.16666666666666666</v>
      </c>
      <c r="Q37" s="242">
        <f>1/6</f>
        <v>0.16666666666666666</v>
      </c>
      <c r="T37" s="242">
        <f>1/3</f>
        <v>0.3333333333333333</v>
      </c>
      <c r="U37" s="306">
        <f t="shared" si="0"/>
        <v>1</v>
      </c>
      <c r="X37" s="308">
        <f t="shared" si="5"/>
        <v>0</v>
      </c>
      <c r="Y37" s="308">
        <f t="shared" si="5"/>
        <v>0</v>
      </c>
      <c r="Z37" s="308">
        <f t="shared" si="5"/>
        <v>0</v>
      </c>
      <c r="AA37" s="308">
        <f t="shared" si="5"/>
        <v>0</v>
      </c>
      <c r="AB37" s="308">
        <f t="shared" si="5"/>
        <v>0</v>
      </c>
      <c r="AC37" s="308">
        <f t="shared" si="5"/>
        <v>0</v>
      </c>
      <c r="AD37" s="308">
        <f t="shared" si="5"/>
        <v>15000</v>
      </c>
      <c r="AE37" s="308">
        <f t="shared" si="5"/>
        <v>15000</v>
      </c>
      <c r="AF37" s="308">
        <f t="shared" si="5"/>
        <v>0</v>
      </c>
      <c r="AG37" s="308">
        <f t="shared" si="5"/>
        <v>0</v>
      </c>
      <c r="AH37" s="308">
        <f t="shared" si="5"/>
        <v>15000</v>
      </c>
      <c r="AI37" s="308">
        <f t="shared" si="5"/>
        <v>15000</v>
      </c>
      <c r="AJ37" s="308">
        <f t="shared" si="5"/>
        <v>0</v>
      </c>
      <c r="AK37" s="308">
        <f t="shared" si="5"/>
        <v>0</v>
      </c>
      <c r="AL37" s="308">
        <f t="shared" si="5"/>
        <v>30000</v>
      </c>
      <c r="AM37" s="244"/>
      <c r="AN37" s="308">
        <f t="shared" si="7"/>
        <v>0</v>
      </c>
      <c r="AO37" s="308">
        <f t="shared" si="7"/>
        <v>0</v>
      </c>
      <c r="AP37" s="308">
        <f t="shared" si="7"/>
        <v>0</v>
      </c>
      <c r="AQ37" s="308">
        <f t="shared" si="7"/>
        <v>0</v>
      </c>
      <c r="AR37" s="308">
        <f t="shared" si="7"/>
        <v>90000</v>
      </c>
      <c r="AS37" s="308">
        <f t="shared" si="7"/>
        <v>0</v>
      </c>
      <c r="AT37" s="308">
        <f t="shared" si="7"/>
        <v>0</v>
      </c>
      <c r="AU37" s="308">
        <f t="shared" si="7"/>
        <v>0</v>
      </c>
      <c r="AV37" s="308">
        <f t="shared" si="7"/>
        <v>0</v>
      </c>
      <c r="AW37" s="308">
        <f t="shared" si="7"/>
        <v>0</v>
      </c>
      <c r="AX37" s="308">
        <f t="shared" si="7"/>
        <v>0</v>
      </c>
      <c r="AY37" s="308">
        <f t="shared" si="7"/>
        <v>0</v>
      </c>
      <c r="AZ37" s="308">
        <f t="shared" si="7"/>
        <v>0</v>
      </c>
      <c r="BA37" s="308">
        <f t="shared" si="7"/>
        <v>0</v>
      </c>
      <c r="BB37" s="308">
        <f t="shared" si="7"/>
        <v>0</v>
      </c>
      <c r="BD37" s="307">
        <f t="shared" si="6"/>
        <v>0</v>
      </c>
    </row>
    <row r="38" spans="1:56" ht="15">
      <c r="A38" s="303" t="s">
        <v>176</v>
      </c>
      <c r="B38" s="262" t="str">
        <f>VLOOKUP(A38,'DFP-Com'!$A$16:$B$50,2,1)</f>
        <v xml:space="preserve">     4.1.d  Other</v>
      </c>
      <c r="C38" s="253" t="s">
        <v>214</v>
      </c>
      <c r="D38" s="320">
        <v>11500</v>
      </c>
      <c r="E38" s="303" t="s">
        <v>225</v>
      </c>
      <c r="G38" s="319">
        <v>0.67</v>
      </c>
      <c r="H38" s="325">
        <v>0.33</v>
      </c>
      <c r="U38" s="306">
        <f t="shared" si="0"/>
        <v>1</v>
      </c>
      <c r="X38" s="308">
        <f aca="true" t="shared" si="8" ref="X38:AL38">F38*$D38</f>
        <v>0</v>
      </c>
      <c r="Y38" s="308">
        <f t="shared" si="8"/>
        <v>7705.000000000001</v>
      </c>
      <c r="Z38" s="308">
        <f t="shared" si="8"/>
        <v>3795</v>
      </c>
      <c r="AA38" s="308">
        <f t="shared" si="8"/>
        <v>0</v>
      </c>
      <c r="AB38" s="308">
        <f t="shared" si="8"/>
        <v>0</v>
      </c>
      <c r="AC38" s="308">
        <f t="shared" si="8"/>
        <v>0</v>
      </c>
      <c r="AD38" s="308">
        <f t="shared" si="8"/>
        <v>0</v>
      </c>
      <c r="AE38" s="308">
        <f t="shared" si="8"/>
        <v>0</v>
      </c>
      <c r="AF38" s="308">
        <f t="shared" si="8"/>
        <v>0</v>
      </c>
      <c r="AG38" s="308">
        <f t="shared" si="8"/>
        <v>0</v>
      </c>
      <c r="AH38" s="308">
        <f t="shared" si="8"/>
        <v>0</v>
      </c>
      <c r="AI38" s="308">
        <f t="shared" si="8"/>
        <v>0</v>
      </c>
      <c r="AJ38" s="308">
        <f t="shared" si="8"/>
        <v>0</v>
      </c>
      <c r="AK38" s="308">
        <f t="shared" si="8"/>
        <v>0</v>
      </c>
      <c r="AL38" s="308">
        <f t="shared" si="8"/>
        <v>0</v>
      </c>
      <c r="AM38" s="244"/>
      <c r="AN38" s="308">
        <f t="shared" si="7"/>
        <v>0</v>
      </c>
      <c r="AO38" s="308">
        <f t="shared" si="7"/>
        <v>11500</v>
      </c>
      <c r="AP38" s="308">
        <f t="shared" si="7"/>
        <v>0</v>
      </c>
      <c r="AQ38" s="308">
        <f t="shared" si="7"/>
        <v>0</v>
      </c>
      <c r="AR38" s="308">
        <f t="shared" si="7"/>
        <v>0</v>
      </c>
      <c r="AS38" s="308">
        <f t="shared" si="7"/>
        <v>0</v>
      </c>
      <c r="AT38" s="308">
        <f t="shared" si="7"/>
        <v>0</v>
      </c>
      <c r="AU38" s="308">
        <f t="shared" si="7"/>
        <v>0</v>
      </c>
      <c r="AV38" s="308">
        <f t="shared" si="7"/>
        <v>0</v>
      </c>
      <c r="AW38" s="308">
        <f t="shared" si="7"/>
        <v>0</v>
      </c>
      <c r="AX38" s="308">
        <f t="shared" si="7"/>
        <v>0</v>
      </c>
      <c r="AY38" s="308">
        <f t="shared" si="7"/>
        <v>0</v>
      </c>
      <c r="AZ38" s="308">
        <f t="shared" si="7"/>
        <v>0</v>
      </c>
      <c r="BA38" s="308">
        <f t="shared" si="7"/>
        <v>0</v>
      </c>
      <c r="BB38" s="308">
        <f t="shared" si="7"/>
        <v>0</v>
      </c>
      <c r="BD38" s="307">
        <f t="shared" si="6"/>
        <v>0</v>
      </c>
    </row>
    <row r="39" spans="2:56" ht="15">
      <c r="B39" s="262"/>
      <c r="C39" s="253"/>
      <c r="D39" s="238"/>
      <c r="Q39" s="306"/>
      <c r="R39" s="306"/>
      <c r="S39" s="306"/>
      <c r="T39" s="306"/>
      <c r="U39" s="306"/>
      <c r="X39" s="308"/>
      <c r="Y39" s="308"/>
      <c r="Z39" s="308"/>
      <c r="AA39" s="308"/>
      <c r="AB39" s="308"/>
      <c r="AC39" s="308"/>
      <c r="AD39" s="308"/>
      <c r="AE39" s="308"/>
      <c r="AF39" s="308"/>
      <c r="AG39" s="308"/>
      <c r="AH39" s="308"/>
      <c r="AI39" s="308"/>
      <c r="AJ39" s="308"/>
      <c r="AK39" s="308"/>
      <c r="AL39" s="308"/>
      <c r="AM39" s="244"/>
      <c r="AN39" s="308"/>
      <c r="AO39" s="308"/>
      <c r="AP39" s="308"/>
      <c r="AQ39" s="308"/>
      <c r="AR39" s="308"/>
      <c r="AS39" s="308"/>
      <c r="AT39" s="308"/>
      <c r="AU39" s="308"/>
      <c r="AV39" s="308"/>
      <c r="AW39" s="308"/>
      <c r="AX39" s="308"/>
      <c r="AY39" s="308"/>
      <c r="AZ39" s="308"/>
      <c r="BA39" s="308"/>
      <c r="BB39" s="308"/>
      <c r="BD39" s="307"/>
    </row>
    <row r="40" spans="2:56" ht="15">
      <c r="B40" s="241" t="e">
        <f>VLOOKUP(A40,'DFP-Com'!$A$16:$B$50,2,1)</f>
        <v>#N/A</v>
      </c>
      <c r="C40" s="303" t="s">
        <v>230</v>
      </c>
      <c r="D40" s="238"/>
      <c r="X40" s="308">
        <f aca="true" t="shared" si="9" ref="X40:AL40">F40*$D40</f>
        <v>0</v>
      </c>
      <c r="Y40" s="308">
        <f t="shared" si="9"/>
        <v>0</v>
      </c>
      <c r="Z40" s="308">
        <f t="shared" si="9"/>
        <v>0</v>
      </c>
      <c r="AA40" s="308">
        <f t="shared" si="9"/>
        <v>0</v>
      </c>
      <c r="AB40" s="308">
        <f t="shared" si="9"/>
        <v>0</v>
      </c>
      <c r="AC40" s="308">
        <f t="shared" si="9"/>
        <v>0</v>
      </c>
      <c r="AD40" s="308">
        <f t="shared" si="9"/>
        <v>0</v>
      </c>
      <c r="AE40" s="308">
        <f t="shared" si="9"/>
        <v>0</v>
      </c>
      <c r="AF40" s="308">
        <f t="shared" si="9"/>
        <v>0</v>
      </c>
      <c r="AG40" s="308">
        <f t="shared" si="9"/>
        <v>0</v>
      </c>
      <c r="AH40" s="308">
        <f t="shared" si="9"/>
        <v>0</v>
      </c>
      <c r="AI40" s="308">
        <f t="shared" si="9"/>
        <v>0</v>
      </c>
      <c r="AJ40" s="308">
        <f t="shared" si="9"/>
        <v>0</v>
      </c>
      <c r="AK40" s="308">
        <f t="shared" si="9"/>
        <v>0</v>
      </c>
      <c r="AL40" s="308">
        <f t="shared" si="9"/>
        <v>0</v>
      </c>
      <c r="AM40" s="244"/>
      <c r="AN40" s="308">
        <f aca="true" t="shared" si="10" ref="AN40:BB40">IF(AN$3=$E40,$D40,0)</f>
        <v>0</v>
      </c>
      <c r="AO40" s="308">
        <f t="shared" si="10"/>
        <v>0</v>
      </c>
      <c r="AP40" s="308">
        <f t="shared" si="10"/>
        <v>0</v>
      </c>
      <c r="AQ40" s="308">
        <f t="shared" si="10"/>
        <v>0</v>
      </c>
      <c r="AR40" s="308">
        <f t="shared" si="10"/>
        <v>0</v>
      </c>
      <c r="AS40" s="308">
        <f t="shared" si="10"/>
        <v>0</v>
      </c>
      <c r="AT40" s="308">
        <f t="shared" si="10"/>
        <v>0</v>
      </c>
      <c r="AU40" s="308">
        <f t="shared" si="10"/>
        <v>0</v>
      </c>
      <c r="AV40" s="308">
        <f t="shared" si="10"/>
        <v>0</v>
      </c>
      <c r="AW40" s="308">
        <f t="shared" si="10"/>
        <v>0</v>
      </c>
      <c r="AX40" s="308">
        <f t="shared" si="10"/>
        <v>0</v>
      </c>
      <c r="AY40" s="308">
        <f t="shared" si="10"/>
        <v>0</v>
      </c>
      <c r="AZ40" s="308">
        <f t="shared" si="10"/>
        <v>0</v>
      </c>
      <c r="BA40" s="308">
        <f t="shared" si="10"/>
        <v>0</v>
      </c>
      <c r="BB40" s="308">
        <f t="shared" si="10"/>
        <v>0</v>
      </c>
      <c r="BD40" s="307">
        <f aca="true" t="shared" si="11" ref="BD40:BD55">SUM(X40:AL40)-SUM(AN40:BB40)</f>
        <v>0</v>
      </c>
    </row>
    <row r="41" spans="4:56" ht="15">
      <c r="D41" s="303" t="s">
        <v>195</v>
      </c>
      <c r="F41" s="303" t="s">
        <v>178</v>
      </c>
      <c r="G41" s="303" t="s">
        <v>182</v>
      </c>
      <c r="H41" s="321" t="s">
        <v>183</v>
      </c>
      <c r="I41" s="303" t="s">
        <v>184</v>
      </c>
      <c r="J41" s="303" t="s">
        <v>185</v>
      </c>
      <c r="K41" s="303" t="s">
        <v>186</v>
      </c>
      <c r="L41" s="303" t="s">
        <v>187</v>
      </c>
      <c r="M41" s="303" t="s">
        <v>188</v>
      </c>
      <c r="N41" s="303" t="s">
        <v>189</v>
      </c>
      <c r="O41" s="303" t="s">
        <v>190</v>
      </c>
      <c r="P41" s="303" t="s">
        <v>191</v>
      </c>
      <c r="Q41" s="303" t="s">
        <v>192</v>
      </c>
      <c r="R41" s="303" t="s">
        <v>193</v>
      </c>
      <c r="S41" s="303" t="s">
        <v>194</v>
      </c>
      <c r="T41" s="303" t="s">
        <v>196</v>
      </c>
      <c r="U41" s="303" t="s">
        <v>195</v>
      </c>
      <c r="X41" s="308"/>
      <c r="Y41" s="308"/>
      <c r="Z41" s="308"/>
      <c r="AA41" s="308"/>
      <c r="AB41" s="308"/>
      <c r="AC41" s="308"/>
      <c r="AD41" s="308"/>
      <c r="AE41" s="308"/>
      <c r="AF41" s="308"/>
      <c r="AG41" s="308"/>
      <c r="AH41" s="308"/>
      <c r="AI41" s="308"/>
      <c r="AJ41" s="308"/>
      <c r="AK41" s="308"/>
      <c r="AL41" s="308"/>
      <c r="AM41" s="244"/>
      <c r="AN41" s="244"/>
      <c r="AO41" s="244"/>
      <c r="AP41" s="244"/>
      <c r="AQ41" s="244"/>
      <c r="AR41" s="244"/>
      <c r="AS41" s="244"/>
      <c r="AT41" s="244"/>
      <c r="AU41" s="244"/>
      <c r="AV41" s="244"/>
      <c r="AW41" s="244"/>
      <c r="AX41" s="244"/>
      <c r="AY41" s="244"/>
      <c r="AZ41" s="244"/>
      <c r="BA41" s="244"/>
      <c r="BB41" s="244"/>
      <c r="BD41" s="307">
        <f t="shared" si="11"/>
        <v>0</v>
      </c>
    </row>
    <row r="42" spans="1:56" ht="15">
      <c r="A42" s="240" t="s">
        <v>222</v>
      </c>
      <c r="B42" s="240"/>
      <c r="D42" s="238"/>
      <c r="X42" s="257"/>
      <c r="Y42" s="308"/>
      <c r="Z42" s="308"/>
      <c r="AA42" s="308"/>
      <c r="AB42" s="308"/>
      <c r="AC42" s="308"/>
      <c r="AD42" s="308"/>
      <c r="AE42" s="308"/>
      <c r="AF42" s="308"/>
      <c r="AG42" s="308"/>
      <c r="AH42" s="308"/>
      <c r="AI42" s="308"/>
      <c r="AJ42" s="308"/>
      <c r="AK42" s="308"/>
      <c r="AL42" s="308"/>
      <c r="AM42" s="244"/>
      <c r="AN42" s="243" t="s">
        <v>178</v>
      </c>
      <c r="AO42" s="243" t="s">
        <v>182</v>
      </c>
      <c r="AP42" s="243" t="s">
        <v>183</v>
      </c>
      <c r="AQ42" s="243" t="s">
        <v>184</v>
      </c>
      <c r="AR42" s="243" t="s">
        <v>178</v>
      </c>
      <c r="AS42" s="243" t="s">
        <v>182</v>
      </c>
      <c r="AT42" s="243" t="s">
        <v>183</v>
      </c>
      <c r="AU42" s="243" t="s">
        <v>184</v>
      </c>
      <c r="AV42" s="243" t="s">
        <v>178</v>
      </c>
      <c r="AW42" s="243" t="s">
        <v>182</v>
      </c>
      <c r="AX42" s="243" t="s">
        <v>183</v>
      </c>
      <c r="AY42" s="243" t="s">
        <v>184</v>
      </c>
      <c r="AZ42" s="243" t="s">
        <v>178</v>
      </c>
      <c r="BA42" s="243" t="s">
        <v>182</v>
      </c>
      <c r="BB42" s="243" t="s">
        <v>183</v>
      </c>
      <c r="BD42" s="307">
        <f t="shared" si="11"/>
        <v>0</v>
      </c>
    </row>
    <row r="43" spans="1:56" ht="15">
      <c r="A43" s="303" t="s">
        <v>163</v>
      </c>
      <c r="B43" s="251" t="str">
        <f>VLOOKUP(A43,'DFP-Com'!$A$16:$B$50,2,1)</f>
        <v xml:space="preserve">     1.3.b  Education Project Coordination team*</v>
      </c>
      <c r="C43" s="303" t="s">
        <v>201</v>
      </c>
      <c r="D43" s="238">
        <f aca="true" t="shared" si="12" ref="D43:D49">SUM(F43:T43)</f>
        <v>121400</v>
      </c>
      <c r="E43" s="303" t="s">
        <v>225</v>
      </c>
      <c r="G43" s="310">
        <v>4400</v>
      </c>
      <c r="H43" s="326">
        <v>9000</v>
      </c>
      <c r="I43" s="310">
        <v>9000</v>
      </c>
      <c r="J43" s="310">
        <v>9000</v>
      </c>
      <c r="K43" s="310">
        <v>9000</v>
      </c>
      <c r="L43" s="310">
        <v>9000</v>
      </c>
      <c r="M43" s="310">
        <v>9000</v>
      </c>
      <c r="N43" s="310">
        <v>9000</v>
      </c>
      <c r="O43" s="310">
        <v>9000</v>
      </c>
      <c r="P43" s="310">
        <v>9000</v>
      </c>
      <c r="Q43" s="310">
        <v>9000</v>
      </c>
      <c r="R43" s="310">
        <v>9000</v>
      </c>
      <c r="S43" s="310">
        <v>9000</v>
      </c>
      <c r="T43" s="310">
        <v>9000</v>
      </c>
      <c r="U43" s="310">
        <f>SUM(F43:T43)</f>
        <v>121400</v>
      </c>
      <c r="X43" s="257">
        <f aca="true" t="shared" si="13" ref="X43:AL51">F43</f>
        <v>0</v>
      </c>
      <c r="Y43" s="308">
        <f t="shared" si="13"/>
        <v>4400</v>
      </c>
      <c r="Z43" s="308">
        <f t="shared" si="13"/>
        <v>9000</v>
      </c>
      <c r="AA43" s="308">
        <f t="shared" si="13"/>
        <v>9000</v>
      </c>
      <c r="AB43" s="308">
        <f t="shared" si="13"/>
        <v>9000</v>
      </c>
      <c r="AC43" s="308">
        <f t="shared" si="13"/>
        <v>9000</v>
      </c>
      <c r="AD43" s="308">
        <f t="shared" si="13"/>
        <v>9000</v>
      </c>
      <c r="AE43" s="308">
        <f t="shared" si="13"/>
        <v>9000</v>
      </c>
      <c r="AF43" s="308">
        <f t="shared" si="13"/>
        <v>9000</v>
      </c>
      <c r="AG43" s="308">
        <f t="shared" si="13"/>
        <v>9000</v>
      </c>
      <c r="AH43" s="308">
        <f t="shared" si="13"/>
        <v>9000</v>
      </c>
      <c r="AI43" s="308">
        <f t="shared" si="13"/>
        <v>9000</v>
      </c>
      <c r="AJ43" s="308">
        <f t="shared" si="13"/>
        <v>9000</v>
      </c>
      <c r="AK43" s="308">
        <f t="shared" si="13"/>
        <v>9000</v>
      </c>
      <c r="AL43" s="308">
        <f t="shared" si="13"/>
        <v>9000</v>
      </c>
      <c r="AM43" s="244"/>
      <c r="AN43" s="308">
        <f>IF(AN$42=$E43,SUM(X43:AA43),0)</f>
        <v>0</v>
      </c>
      <c r="AO43" s="308">
        <f aca="true" t="shared" si="14" ref="AO43:AY51">IF(AO$42=$E43,SUM(Y43:AB43),0)</f>
        <v>31400</v>
      </c>
      <c r="AP43" s="308">
        <f t="shared" si="14"/>
        <v>0</v>
      </c>
      <c r="AQ43" s="308">
        <f t="shared" si="14"/>
        <v>0</v>
      </c>
      <c r="AR43" s="308">
        <f t="shared" si="14"/>
        <v>0</v>
      </c>
      <c r="AS43" s="308">
        <f t="shared" si="14"/>
        <v>36000</v>
      </c>
      <c r="AT43" s="308">
        <f t="shared" si="14"/>
        <v>0</v>
      </c>
      <c r="AU43" s="308">
        <f t="shared" si="14"/>
        <v>0</v>
      </c>
      <c r="AV43" s="308">
        <f t="shared" si="14"/>
        <v>0</v>
      </c>
      <c r="AW43" s="308">
        <f t="shared" si="14"/>
        <v>36000</v>
      </c>
      <c r="AX43" s="308">
        <f t="shared" si="14"/>
        <v>0</v>
      </c>
      <c r="AY43" s="308">
        <f t="shared" si="14"/>
        <v>0</v>
      </c>
      <c r="AZ43" s="308">
        <f>IF(AZ$42=$E43,SUM(AJ43:$AL43),0)</f>
        <v>0</v>
      </c>
      <c r="BA43" s="308">
        <f>IF(BA$42=$E43,SUM(AK43:$AL43),0)</f>
        <v>18000</v>
      </c>
      <c r="BB43" s="308">
        <f>IF(BB$42=$E43,SUM(AL43:$AL43),0)</f>
        <v>0</v>
      </c>
      <c r="BD43" s="307">
        <f t="shared" si="11"/>
        <v>0</v>
      </c>
    </row>
    <row r="44" spans="1:56" ht="15">
      <c r="A44" s="303" t="s">
        <v>163</v>
      </c>
      <c r="B44" s="251" t="str">
        <f>VLOOKUP(A44,'DFP-Com'!$A$16:$B$50,2,1)</f>
        <v xml:space="preserve">     1.3.b  Education Project Coordination team*</v>
      </c>
      <c r="C44" s="303" t="s">
        <v>220</v>
      </c>
      <c r="D44" s="238">
        <f t="shared" si="12"/>
        <v>57000</v>
      </c>
      <c r="E44" s="303" t="s">
        <v>197</v>
      </c>
      <c r="G44" s="303">
        <v>0</v>
      </c>
      <c r="H44" s="326">
        <v>3000</v>
      </c>
      <c r="I44" s="310">
        <v>4500</v>
      </c>
      <c r="J44" s="310">
        <v>4500</v>
      </c>
      <c r="K44" s="310">
        <v>4500</v>
      </c>
      <c r="L44" s="310">
        <v>4500</v>
      </c>
      <c r="M44" s="310">
        <v>4500</v>
      </c>
      <c r="N44" s="310">
        <v>4500</v>
      </c>
      <c r="O44" s="310">
        <v>4500</v>
      </c>
      <c r="P44" s="310">
        <v>4500</v>
      </c>
      <c r="Q44" s="310">
        <v>4500</v>
      </c>
      <c r="R44" s="310">
        <v>4500</v>
      </c>
      <c r="S44" s="310">
        <v>4500</v>
      </c>
      <c r="T44" s="310">
        <v>4500</v>
      </c>
      <c r="U44" s="310">
        <f aca="true" t="shared" si="15" ref="U44:U55">SUM(F44:T44)</f>
        <v>57000</v>
      </c>
      <c r="X44" s="257">
        <f t="shared" si="13"/>
        <v>0</v>
      </c>
      <c r="Y44" s="308">
        <f t="shared" si="13"/>
        <v>0</v>
      </c>
      <c r="Z44" s="308">
        <f t="shared" si="13"/>
        <v>3000</v>
      </c>
      <c r="AA44" s="308">
        <f t="shared" si="13"/>
        <v>4500</v>
      </c>
      <c r="AB44" s="308">
        <f t="shared" si="13"/>
        <v>4500</v>
      </c>
      <c r="AC44" s="308">
        <f t="shared" si="13"/>
        <v>4500</v>
      </c>
      <c r="AD44" s="308">
        <f t="shared" si="13"/>
        <v>4500</v>
      </c>
      <c r="AE44" s="308">
        <f t="shared" si="13"/>
        <v>4500</v>
      </c>
      <c r="AF44" s="308">
        <f t="shared" si="13"/>
        <v>4500</v>
      </c>
      <c r="AG44" s="308">
        <f t="shared" si="13"/>
        <v>4500</v>
      </c>
      <c r="AH44" s="308">
        <f t="shared" si="13"/>
        <v>4500</v>
      </c>
      <c r="AI44" s="308">
        <f t="shared" si="13"/>
        <v>4500</v>
      </c>
      <c r="AJ44" s="308">
        <f t="shared" si="13"/>
        <v>4500</v>
      </c>
      <c r="AK44" s="308">
        <f t="shared" si="13"/>
        <v>4500</v>
      </c>
      <c r="AL44" s="308">
        <f t="shared" si="13"/>
        <v>4500</v>
      </c>
      <c r="AM44" s="244"/>
      <c r="AN44" s="308">
        <f aca="true" t="shared" si="16" ref="AN44:AN51">IF(AN$42=$E44,SUM(X44:AA44),0)</f>
        <v>0</v>
      </c>
      <c r="AO44" s="308">
        <f t="shared" si="14"/>
        <v>0</v>
      </c>
      <c r="AP44" s="308">
        <f t="shared" si="14"/>
        <v>16500</v>
      </c>
      <c r="AQ44" s="308">
        <f t="shared" si="14"/>
        <v>0</v>
      </c>
      <c r="AR44" s="308">
        <f t="shared" si="14"/>
        <v>0</v>
      </c>
      <c r="AS44" s="308">
        <f t="shared" si="14"/>
        <v>0</v>
      </c>
      <c r="AT44" s="308">
        <f t="shared" si="14"/>
        <v>18000</v>
      </c>
      <c r="AU44" s="308">
        <f t="shared" si="14"/>
        <v>0</v>
      </c>
      <c r="AV44" s="308">
        <f t="shared" si="14"/>
        <v>0</v>
      </c>
      <c r="AW44" s="308">
        <f t="shared" si="14"/>
        <v>0</v>
      </c>
      <c r="AX44" s="308">
        <f t="shared" si="14"/>
        <v>18000</v>
      </c>
      <c r="AY44" s="308">
        <f t="shared" si="14"/>
        <v>0</v>
      </c>
      <c r="AZ44" s="308">
        <f>IF(AZ$42=$E44,SUM(AJ44:$AL44),0)</f>
        <v>0</v>
      </c>
      <c r="BA44" s="308">
        <f>IF(BA$42=$E44,SUM(AK44:$AL44),0)</f>
        <v>0</v>
      </c>
      <c r="BB44" s="308">
        <f>IF(BB$42=$E44,SUM(AL44:$AL44),0)</f>
        <v>4500</v>
      </c>
      <c r="BD44" s="307">
        <f t="shared" si="11"/>
        <v>0</v>
      </c>
    </row>
    <row r="45" spans="1:56" ht="15">
      <c r="A45" s="303" t="s">
        <v>173</v>
      </c>
      <c r="B45" s="262" t="str">
        <f>VLOOKUP(A45,'DFP-Com'!$A$16:$B$50,2,1)</f>
        <v xml:space="preserve">     4.1.a  Staff Compensation*</v>
      </c>
      <c r="C45" s="303" t="s">
        <v>212</v>
      </c>
      <c r="D45" s="238">
        <f t="shared" si="12"/>
        <v>181000</v>
      </c>
      <c r="E45" s="303" t="s">
        <v>227</v>
      </c>
      <c r="F45" s="310">
        <v>10000</v>
      </c>
      <c r="G45" s="310">
        <f>15000</f>
        <v>15000</v>
      </c>
      <c r="H45" s="326">
        <v>12000</v>
      </c>
      <c r="I45" s="310">
        <v>12000</v>
      </c>
      <c r="J45" s="310">
        <v>12000</v>
      </c>
      <c r="K45" s="310">
        <v>12000</v>
      </c>
      <c r="L45" s="310">
        <v>12000</v>
      </c>
      <c r="M45" s="310">
        <v>12000</v>
      </c>
      <c r="N45" s="310">
        <v>12000</v>
      </c>
      <c r="O45" s="310">
        <v>12000</v>
      </c>
      <c r="P45" s="310">
        <v>12000</v>
      </c>
      <c r="Q45" s="310">
        <v>12000</v>
      </c>
      <c r="R45" s="310">
        <v>12000</v>
      </c>
      <c r="S45" s="310">
        <v>12000</v>
      </c>
      <c r="T45" s="310">
        <v>12000</v>
      </c>
      <c r="U45" s="310">
        <f t="shared" si="15"/>
        <v>181000</v>
      </c>
      <c r="X45" s="257">
        <f t="shared" si="13"/>
        <v>10000</v>
      </c>
      <c r="Y45" s="308">
        <f t="shared" si="13"/>
        <v>15000</v>
      </c>
      <c r="Z45" s="308">
        <f t="shared" si="13"/>
        <v>12000</v>
      </c>
      <c r="AA45" s="308">
        <f t="shared" si="13"/>
        <v>12000</v>
      </c>
      <c r="AB45" s="308">
        <f t="shared" si="13"/>
        <v>12000</v>
      </c>
      <c r="AC45" s="308">
        <f t="shared" si="13"/>
        <v>12000</v>
      </c>
      <c r="AD45" s="308">
        <f t="shared" si="13"/>
        <v>12000</v>
      </c>
      <c r="AE45" s="308">
        <f t="shared" si="13"/>
        <v>12000</v>
      </c>
      <c r="AF45" s="308">
        <f t="shared" si="13"/>
        <v>12000</v>
      </c>
      <c r="AG45" s="308">
        <f t="shared" si="13"/>
        <v>12000</v>
      </c>
      <c r="AH45" s="308">
        <f t="shared" si="13"/>
        <v>12000</v>
      </c>
      <c r="AI45" s="308">
        <f t="shared" si="13"/>
        <v>12000</v>
      </c>
      <c r="AJ45" s="308">
        <f t="shared" si="13"/>
        <v>12000</v>
      </c>
      <c r="AK45" s="308">
        <f t="shared" si="13"/>
        <v>12000</v>
      </c>
      <c r="AL45" s="308">
        <f t="shared" si="13"/>
        <v>12000</v>
      </c>
      <c r="AM45" s="244"/>
      <c r="AN45" s="308">
        <f t="shared" si="16"/>
        <v>49000</v>
      </c>
      <c r="AO45" s="308">
        <f t="shared" si="14"/>
        <v>0</v>
      </c>
      <c r="AP45" s="308">
        <f t="shared" si="14"/>
        <v>0</v>
      </c>
      <c r="AQ45" s="308">
        <f t="shared" si="14"/>
        <v>0</v>
      </c>
      <c r="AR45" s="308">
        <f t="shared" si="14"/>
        <v>48000</v>
      </c>
      <c r="AS45" s="308">
        <f t="shared" si="14"/>
        <v>0</v>
      </c>
      <c r="AT45" s="308">
        <f t="shared" si="14"/>
        <v>0</v>
      </c>
      <c r="AU45" s="308">
        <f t="shared" si="14"/>
        <v>0</v>
      </c>
      <c r="AV45" s="308">
        <f t="shared" si="14"/>
        <v>48000</v>
      </c>
      <c r="AW45" s="308">
        <f t="shared" si="14"/>
        <v>0</v>
      </c>
      <c r="AX45" s="308">
        <f t="shared" si="14"/>
        <v>0</v>
      </c>
      <c r="AY45" s="308">
        <f t="shared" si="14"/>
        <v>0</v>
      </c>
      <c r="AZ45" s="308">
        <f>IF(AZ$42=$E45,SUM(AJ45:$AL45),0)</f>
        <v>36000</v>
      </c>
      <c r="BA45" s="308">
        <f>IF(BA$42=$E45,SUM(AK45:$AL45),0)</f>
        <v>0</v>
      </c>
      <c r="BB45" s="308">
        <f>IF(BB$42=$E45,SUM(AL45:$AL45),0)</f>
        <v>0</v>
      </c>
      <c r="BD45" s="307">
        <f t="shared" si="11"/>
        <v>0</v>
      </c>
    </row>
    <row r="46" spans="1:56" ht="15">
      <c r="A46" s="303" t="s">
        <v>173</v>
      </c>
      <c r="B46" s="262" t="str">
        <f>VLOOKUP(A46,'DFP-Com'!$A$16:$B$50,2,1)</f>
        <v xml:space="preserve">     4.1.a  Staff Compensation*</v>
      </c>
      <c r="C46" s="303" t="s">
        <v>271</v>
      </c>
      <c r="D46" s="238">
        <f t="shared" si="12"/>
        <v>57000</v>
      </c>
      <c r="E46" s="303" t="s">
        <v>197</v>
      </c>
      <c r="G46" s="310">
        <v>0</v>
      </c>
      <c r="H46" s="326">
        <f>3000</f>
        <v>3000</v>
      </c>
      <c r="I46" s="310">
        <v>4500</v>
      </c>
      <c r="J46" s="310">
        <v>4500</v>
      </c>
      <c r="K46" s="310">
        <v>4500</v>
      </c>
      <c r="L46" s="310">
        <v>4500</v>
      </c>
      <c r="M46" s="310">
        <v>4500</v>
      </c>
      <c r="N46" s="310">
        <v>4500</v>
      </c>
      <c r="O46" s="310">
        <v>4500</v>
      </c>
      <c r="P46" s="310">
        <v>4500</v>
      </c>
      <c r="Q46" s="310">
        <v>4500</v>
      </c>
      <c r="R46" s="310">
        <v>4500</v>
      </c>
      <c r="S46" s="310">
        <v>4500</v>
      </c>
      <c r="T46" s="310">
        <v>4500</v>
      </c>
      <c r="U46" s="310">
        <f t="shared" si="15"/>
        <v>57000</v>
      </c>
      <c r="X46" s="257">
        <f t="shared" si="13"/>
        <v>0</v>
      </c>
      <c r="Y46" s="308">
        <f t="shared" si="13"/>
        <v>0</v>
      </c>
      <c r="Z46" s="308">
        <f t="shared" si="13"/>
        <v>3000</v>
      </c>
      <c r="AA46" s="308">
        <f t="shared" si="13"/>
        <v>4500</v>
      </c>
      <c r="AB46" s="308">
        <f t="shared" si="13"/>
        <v>4500</v>
      </c>
      <c r="AC46" s="308">
        <f t="shared" si="13"/>
        <v>4500</v>
      </c>
      <c r="AD46" s="308">
        <f t="shared" si="13"/>
        <v>4500</v>
      </c>
      <c r="AE46" s="308">
        <f t="shared" si="13"/>
        <v>4500</v>
      </c>
      <c r="AF46" s="308">
        <f t="shared" si="13"/>
        <v>4500</v>
      </c>
      <c r="AG46" s="308">
        <f t="shared" si="13"/>
        <v>4500</v>
      </c>
      <c r="AH46" s="308">
        <f t="shared" si="13"/>
        <v>4500</v>
      </c>
      <c r="AI46" s="308">
        <f t="shared" si="13"/>
        <v>4500</v>
      </c>
      <c r="AJ46" s="308">
        <f t="shared" si="13"/>
        <v>4500</v>
      </c>
      <c r="AK46" s="308">
        <f t="shared" si="13"/>
        <v>4500</v>
      </c>
      <c r="AL46" s="308">
        <f t="shared" si="13"/>
        <v>4500</v>
      </c>
      <c r="AM46" s="244"/>
      <c r="AN46" s="308">
        <f t="shared" si="16"/>
        <v>0</v>
      </c>
      <c r="AO46" s="308">
        <f t="shared" si="14"/>
        <v>0</v>
      </c>
      <c r="AP46" s="308">
        <f>IF(AP$42=$E46,SUM(Z46:AC46),0)</f>
        <v>16500</v>
      </c>
      <c r="AQ46" s="308">
        <f t="shared" si="14"/>
        <v>0</v>
      </c>
      <c r="AR46" s="308">
        <f t="shared" si="14"/>
        <v>0</v>
      </c>
      <c r="AS46" s="308">
        <f t="shared" si="14"/>
        <v>0</v>
      </c>
      <c r="AT46" s="308">
        <f t="shared" si="14"/>
        <v>18000</v>
      </c>
      <c r="AU46" s="308">
        <f t="shared" si="14"/>
        <v>0</v>
      </c>
      <c r="AV46" s="308">
        <f t="shared" si="14"/>
        <v>0</v>
      </c>
      <c r="AW46" s="308">
        <f t="shared" si="14"/>
        <v>0</v>
      </c>
      <c r="AX46" s="308">
        <f t="shared" si="14"/>
        <v>18000</v>
      </c>
      <c r="AY46" s="308">
        <f t="shared" si="14"/>
        <v>0</v>
      </c>
      <c r="AZ46" s="308">
        <f>IF(AZ$42=$E46,SUM(AJ46:$AL46),0)</f>
        <v>0</v>
      </c>
      <c r="BA46" s="308">
        <f>IF(BA$42=$E46,SUM(AK46:$AL46),0)</f>
        <v>0</v>
      </c>
      <c r="BB46" s="308">
        <f>IF(BB$42=$E46,SUM(AL46:$AL46),0)</f>
        <v>4500</v>
      </c>
      <c r="BD46" s="307">
        <f t="shared" si="11"/>
        <v>0</v>
      </c>
    </row>
    <row r="47" spans="1:56" ht="15">
      <c r="A47" s="303" t="s">
        <v>173</v>
      </c>
      <c r="B47" s="262" t="str">
        <f>VLOOKUP(A47,'DFP-Com'!$A$16:$B$50,2,1)</f>
        <v xml:space="preserve">     4.1.a  Staff Compensation*</v>
      </c>
      <c r="C47" s="303" t="s">
        <v>217</v>
      </c>
      <c r="D47" s="238">
        <f t="shared" si="12"/>
        <v>147000</v>
      </c>
      <c r="E47" s="303" t="s">
        <v>225</v>
      </c>
      <c r="G47" s="310">
        <v>10500</v>
      </c>
      <c r="H47" s="326">
        <f>3500*3</f>
        <v>10500</v>
      </c>
      <c r="I47" s="310">
        <v>10500</v>
      </c>
      <c r="J47" s="310">
        <v>10500</v>
      </c>
      <c r="K47" s="310">
        <v>10500</v>
      </c>
      <c r="L47" s="310">
        <v>10500</v>
      </c>
      <c r="M47" s="310">
        <v>10500</v>
      </c>
      <c r="N47" s="310">
        <v>10500</v>
      </c>
      <c r="O47" s="310">
        <v>10500</v>
      </c>
      <c r="P47" s="310">
        <v>10500</v>
      </c>
      <c r="Q47" s="310">
        <v>10500</v>
      </c>
      <c r="R47" s="310">
        <v>10500</v>
      </c>
      <c r="S47" s="310">
        <v>10500</v>
      </c>
      <c r="T47" s="310">
        <v>10500</v>
      </c>
      <c r="U47" s="310">
        <f t="shared" si="15"/>
        <v>147000</v>
      </c>
      <c r="X47" s="257">
        <f t="shared" si="13"/>
        <v>0</v>
      </c>
      <c r="Y47" s="308">
        <f t="shared" si="13"/>
        <v>10500</v>
      </c>
      <c r="Z47" s="308">
        <f t="shared" si="13"/>
        <v>10500</v>
      </c>
      <c r="AA47" s="308">
        <f t="shared" si="13"/>
        <v>10500</v>
      </c>
      <c r="AB47" s="308">
        <f t="shared" si="13"/>
        <v>10500</v>
      </c>
      <c r="AC47" s="308">
        <f t="shared" si="13"/>
        <v>10500</v>
      </c>
      <c r="AD47" s="308">
        <f t="shared" si="13"/>
        <v>10500</v>
      </c>
      <c r="AE47" s="308">
        <f t="shared" si="13"/>
        <v>10500</v>
      </c>
      <c r="AF47" s="308">
        <f t="shared" si="13"/>
        <v>10500</v>
      </c>
      <c r="AG47" s="308">
        <f t="shared" si="13"/>
        <v>10500</v>
      </c>
      <c r="AH47" s="308">
        <f t="shared" si="13"/>
        <v>10500</v>
      </c>
      <c r="AI47" s="308">
        <f t="shared" si="13"/>
        <v>10500</v>
      </c>
      <c r="AJ47" s="308">
        <f t="shared" si="13"/>
        <v>10500</v>
      </c>
      <c r="AK47" s="308">
        <f t="shared" si="13"/>
        <v>10500</v>
      </c>
      <c r="AL47" s="308">
        <f t="shared" si="13"/>
        <v>10500</v>
      </c>
      <c r="AM47" s="244"/>
      <c r="AN47" s="308">
        <f t="shared" si="16"/>
        <v>0</v>
      </c>
      <c r="AO47" s="308">
        <f t="shared" si="14"/>
        <v>42000</v>
      </c>
      <c r="AP47" s="308">
        <f t="shared" si="14"/>
        <v>0</v>
      </c>
      <c r="AQ47" s="308">
        <f t="shared" si="14"/>
        <v>0</v>
      </c>
      <c r="AR47" s="308">
        <f t="shared" si="14"/>
        <v>0</v>
      </c>
      <c r="AS47" s="308">
        <f t="shared" si="14"/>
        <v>42000</v>
      </c>
      <c r="AT47" s="308">
        <f t="shared" si="14"/>
        <v>0</v>
      </c>
      <c r="AU47" s="308">
        <f t="shared" si="14"/>
        <v>0</v>
      </c>
      <c r="AV47" s="308">
        <f t="shared" si="14"/>
        <v>0</v>
      </c>
      <c r="AW47" s="308">
        <f t="shared" si="14"/>
        <v>42000</v>
      </c>
      <c r="AX47" s="308">
        <f t="shared" si="14"/>
        <v>0</v>
      </c>
      <c r="AY47" s="308">
        <f t="shared" si="14"/>
        <v>0</v>
      </c>
      <c r="AZ47" s="308">
        <f>IF(AZ$42=$E47,SUM(AJ47:$AL47),0)</f>
        <v>0</v>
      </c>
      <c r="BA47" s="308">
        <f>IF(BA$42=$E47,SUM(AK47:$AL47),0)</f>
        <v>21000</v>
      </c>
      <c r="BB47" s="308">
        <f>IF(BB$42=$E47,SUM(AL47:$AL47),0)</f>
        <v>0</v>
      </c>
      <c r="BD47" s="307">
        <f t="shared" si="11"/>
        <v>0</v>
      </c>
    </row>
    <row r="48" spans="1:56" ht="15">
      <c r="A48" s="303" t="s">
        <v>173</v>
      </c>
      <c r="B48" s="262" t="str">
        <f>VLOOKUP(A48,'DFP-Com'!$A$16:$B$50,2,1)</f>
        <v xml:space="preserve">     4.1.a  Staff Compensation*</v>
      </c>
      <c r="C48" s="303" t="s">
        <v>218</v>
      </c>
      <c r="D48" s="238">
        <f t="shared" si="12"/>
        <v>89760</v>
      </c>
      <c r="E48" s="303" t="s">
        <v>225</v>
      </c>
      <c r="G48" s="310">
        <v>3960</v>
      </c>
      <c r="H48" s="326">
        <f>2200*3</f>
        <v>6600</v>
      </c>
      <c r="I48" s="310">
        <f aca="true" t="shared" si="17" ref="I48:T49">2200*3</f>
        <v>6600</v>
      </c>
      <c r="J48" s="310">
        <f t="shared" si="17"/>
        <v>6600</v>
      </c>
      <c r="K48" s="310">
        <f t="shared" si="17"/>
        <v>6600</v>
      </c>
      <c r="L48" s="310">
        <f t="shared" si="17"/>
        <v>6600</v>
      </c>
      <c r="M48" s="310">
        <f t="shared" si="17"/>
        <v>6600</v>
      </c>
      <c r="N48" s="310">
        <f t="shared" si="17"/>
        <v>6600</v>
      </c>
      <c r="O48" s="310">
        <f t="shared" si="17"/>
        <v>6600</v>
      </c>
      <c r="P48" s="310">
        <f t="shared" si="17"/>
        <v>6600</v>
      </c>
      <c r="Q48" s="310">
        <f t="shared" si="17"/>
        <v>6600</v>
      </c>
      <c r="R48" s="310">
        <f t="shared" si="17"/>
        <v>6600</v>
      </c>
      <c r="S48" s="310">
        <f t="shared" si="17"/>
        <v>6600</v>
      </c>
      <c r="T48" s="310">
        <f t="shared" si="17"/>
        <v>6600</v>
      </c>
      <c r="U48" s="310">
        <f t="shared" si="15"/>
        <v>89760</v>
      </c>
      <c r="X48" s="257">
        <f t="shared" si="13"/>
        <v>0</v>
      </c>
      <c r="Y48" s="308">
        <f t="shared" si="13"/>
        <v>3960</v>
      </c>
      <c r="Z48" s="308">
        <f t="shared" si="13"/>
        <v>6600</v>
      </c>
      <c r="AA48" s="308">
        <f t="shared" si="13"/>
        <v>6600</v>
      </c>
      <c r="AB48" s="308">
        <f t="shared" si="13"/>
        <v>6600</v>
      </c>
      <c r="AC48" s="308">
        <f t="shared" si="13"/>
        <v>6600</v>
      </c>
      <c r="AD48" s="308">
        <f t="shared" si="13"/>
        <v>6600</v>
      </c>
      <c r="AE48" s="308">
        <f t="shared" si="13"/>
        <v>6600</v>
      </c>
      <c r="AF48" s="308">
        <f t="shared" si="13"/>
        <v>6600</v>
      </c>
      <c r="AG48" s="308">
        <f t="shared" si="13"/>
        <v>6600</v>
      </c>
      <c r="AH48" s="308">
        <f t="shared" si="13"/>
        <v>6600</v>
      </c>
      <c r="AI48" s="308">
        <f t="shared" si="13"/>
        <v>6600</v>
      </c>
      <c r="AJ48" s="308">
        <f t="shared" si="13"/>
        <v>6600</v>
      </c>
      <c r="AK48" s="308">
        <f t="shared" si="13"/>
        <v>6600</v>
      </c>
      <c r="AL48" s="308">
        <f t="shared" si="13"/>
        <v>6600</v>
      </c>
      <c r="AM48" s="244"/>
      <c r="AN48" s="308">
        <f t="shared" si="16"/>
        <v>0</v>
      </c>
      <c r="AO48" s="308">
        <f t="shared" si="14"/>
        <v>23760</v>
      </c>
      <c r="AP48" s="308">
        <f t="shared" si="14"/>
        <v>0</v>
      </c>
      <c r="AQ48" s="308">
        <f t="shared" si="14"/>
        <v>0</v>
      </c>
      <c r="AR48" s="308">
        <f t="shared" si="14"/>
        <v>0</v>
      </c>
      <c r="AS48" s="308">
        <f t="shared" si="14"/>
        <v>26400</v>
      </c>
      <c r="AT48" s="308">
        <f t="shared" si="14"/>
        <v>0</v>
      </c>
      <c r="AU48" s="308">
        <f t="shared" si="14"/>
        <v>0</v>
      </c>
      <c r="AV48" s="308">
        <f t="shared" si="14"/>
        <v>0</v>
      </c>
      <c r="AW48" s="308">
        <f t="shared" si="14"/>
        <v>26400</v>
      </c>
      <c r="AX48" s="308">
        <f t="shared" si="14"/>
        <v>0</v>
      </c>
      <c r="AY48" s="308">
        <f t="shared" si="14"/>
        <v>0</v>
      </c>
      <c r="AZ48" s="308">
        <f>IF(AZ$42=$E48,SUM(AJ48:$AL48),0)</f>
        <v>0</v>
      </c>
      <c r="BA48" s="308">
        <f>IF(BA$42=$E48,SUM(AK48:$AL48),0)</f>
        <v>13200</v>
      </c>
      <c r="BB48" s="308">
        <f>IF(BB$42=$E48,SUM(AL48:$AL48),0)</f>
        <v>0</v>
      </c>
      <c r="BD48" s="307">
        <f t="shared" si="11"/>
        <v>0</v>
      </c>
    </row>
    <row r="49" spans="1:56" ht="15">
      <c r="A49" s="303" t="s">
        <v>173</v>
      </c>
      <c r="B49" s="262" t="str">
        <f>VLOOKUP(A49,'DFP-Com'!$A$16:$B$50,2,1)</f>
        <v xml:space="preserve">     4.1.a  Staff Compensation*</v>
      </c>
      <c r="C49" s="303" t="s">
        <v>219</v>
      </c>
      <c r="D49" s="238">
        <f t="shared" si="12"/>
        <v>89760</v>
      </c>
      <c r="E49" s="303" t="s">
        <v>225</v>
      </c>
      <c r="G49" s="310">
        <v>3960</v>
      </c>
      <c r="H49" s="326">
        <f>2200*3</f>
        <v>6600</v>
      </c>
      <c r="I49" s="310">
        <f t="shared" si="17"/>
        <v>6600</v>
      </c>
      <c r="J49" s="310">
        <f t="shared" si="17"/>
        <v>6600</v>
      </c>
      <c r="K49" s="310">
        <f t="shared" si="17"/>
        <v>6600</v>
      </c>
      <c r="L49" s="310">
        <f t="shared" si="17"/>
        <v>6600</v>
      </c>
      <c r="M49" s="310">
        <f t="shared" si="17"/>
        <v>6600</v>
      </c>
      <c r="N49" s="310">
        <f t="shared" si="17"/>
        <v>6600</v>
      </c>
      <c r="O49" s="310">
        <f t="shared" si="17"/>
        <v>6600</v>
      </c>
      <c r="P49" s="310">
        <f t="shared" si="17"/>
        <v>6600</v>
      </c>
      <c r="Q49" s="310">
        <f t="shared" si="17"/>
        <v>6600</v>
      </c>
      <c r="R49" s="310">
        <f t="shared" si="17"/>
        <v>6600</v>
      </c>
      <c r="S49" s="310">
        <f t="shared" si="17"/>
        <v>6600</v>
      </c>
      <c r="T49" s="310">
        <f t="shared" si="17"/>
        <v>6600</v>
      </c>
      <c r="U49" s="310">
        <f t="shared" si="15"/>
        <v>89760</v>
      </c>
      <c r="X49" s="257">
        <f t="shared" si="13"/>
        <v>0</v>
      </c>
      <c r="Y49" s="308">
        <f t="shared" si="13"/>
        <v>3960</v>
      </c>
      <c r="Z49" s="308">
        <f t="shared" si="13"/>
        <v>6600</v>
      </c>
      <c r="AA49" s="308">
        <f t="shared" si="13"/>
        <v>6600</v>
      </c>
      <c r="AB49" s="308">
        <f t="shared" si="13"/>
        <v>6600</v>
      </c>
      <c r="AC49" s="308">
        <f t="shared" si="13"/>
        <v>6600</v>
      </c>
      <c r="AD49" s="308">
        <f t="shared" si="13"/>
        <v>6600</v>
      </c>
      <c r="AE49" s="308">
        <f t="shared" si="13"/>
        <v>6600</v>
      </c>
      <c r="AF49" s="308">
        <f t="shared" si="13"/>
        <v>6600</v>
      </c>
      <c r="AG49" s="308">
        <f t="shared" si="13"/>
        <v>6600</v>
      </c>
      <c r="AH49" s="308">
        <f t="shared" si="13"/>
        <v>6600</v>
      </c>
      <c r="AI49" s="308">
        <f t="shared" si="13"/>
        <v>6600</v>
      </c>
      <c r="AJ49" s="308">
        <f t="shared" si="13"/>
        <v>6600</v>
      </c>
      <c r="AK49" s="308">
        <f t="shared" si="13"/>
        <v>6600</v>
      </c>
      <c r="AL49" s="308">
        <f t="shared" si="13"/>
        <v>6600</v>
      </c>
      <c r="AM49" s="244"/>
      <c r="AN49" s="308">
        <f t="shared" si="16"/>
        <v>0</v>
      </c>
      <c r="AO49" s="308">
        <f t="shared" si="14"/>
        <v>23760</v>
      </c>
      <c r="AP49" s="308">
        <f t="shared" si="14"/>
        <v>0</v>
      </c>
      <c r="AQ49" s="308">
        <f t="shared" si="14"/>
        <v>0</v>
      </c>
      <c r="AR49" s="308">
        <f t="shared" si="14"/>
        <v>0</v>
      </c>
      <c r="AS49" s="308">
        <f t="shared" si="14"/>
        <v>26400</v>
      </c>
      <c r="AT49" s="308">
        <f t="shared" si="14"/>
        <v>0</v>
      </c>
      <c r="AU49" s="308">
        <f t="shared" si="14"/>
        <v>0</v>
      </c>
      <c r="AV49" s="308">
        <f t="shared" si="14"/>
        <v>0</v>
      </c>
      <c r="AW49" s="308">
        <f t="shared" si="14"/>
        <v>26400</v>
      </c>
      <c r="AX49" s="308">
        <f t="shared" si="14"/>
        <v>0</v>
      </c>
      <c r="AY49" s="308">
        <f t="shared" si="14"/>
        <v>0</v>
      </c>
      <c r="AZ49" s="308">
        <f>IF(AZ$42=$E49,SUM(AJ49:$AL49),0)</f>
        <v>0</v>
      </c>
      <c r="BA49" s="308">
        <f>IF(BA$42=$E49,SUM(AK49:$AL49),0)</f>
        <v>13200</v>
      </c>
      <c r="BB49" s="308">
        <f>IF(BB$42=$E49,SUM(AL49:$AL49),0)</f>
        <v>0</v>
      </c>
      <c r="BD49" s="307">
        <f t="shared" si="11"/>
        <v>0</v>
      </c>
    </row>
    <row r="50" spans="1:56" ht="15">
      <c r="A50" s="303" t="s">
        <v>173</v>
      </c>
      <c r="B50" s="262" t="str">
        <f>VLOOKUP(A50,'DFP-Com'!$A$16:$B$50,2,1)</f>
        <v xml:space="preserve">     4.1.a  Staff Compensation*</v>
      </c>
      <c r="C50" s="303" t="s">
        <v>273</v>
      </c>
      <c r="D50" s="238">
        <f>3000*24</f>
        <v>72000</v>
      </c>
      <c r="E50" s="303" t="s">
        <v>229</v>
      </c>
      <c r="G50" s="310"/>
      <c r="H50" s="326"/>
      <c r="I50" s="310">
        <f>3000*3</f>
        <v>9000</v>
      </c>
      <c r="J50" s="310">
        <f aca="true" t="shared" si="18" ref="J50:P50">3000*3</f>
        <v>9000</v>
      </c>
      <c r="K50" s="310">
        <f t="shared" si="18"/>
        <v>9000</v>
      </c>
      <c r="L50" s="310">
        <f t="shared" si="18"/>
        <v>9000</v>
      </c>
      <c r="M50" s="310">
        <f t="shared" si="18"/>
        <v>9000</v>
      </c>
      <c r="N50" s="310">
        <f t="shared" si="18"/>
        <v>9000</v>
      </c>
      <c r="O50" s="310">
        <f t="shared" si="18"/>
        <v>9000</v>
      </c>
      <c r="P50" s="310">
        <f t="shared" si="18"/>
        <v>9000</v>
      </c>
      <c r="Q50" s="310"/>
      <c r="R50" s="310"/>
      <c r="S50" s="310"/>
      <c r="T50" s="310"/>
      <c r="U50" s="310">
        <f t="shared" si="15"/>
        <v>72000</v>
      </c>
      <c r="X50" s="257"/>
      <c r="Y50" s="308"/>
      <c r="Z50" s="308"/>
      <c r="AA50" s="308"/>
      <c r="AB50" s="308"/>
      <c r="AC50" s="308"/>
      <c r="AD50" s="308"/>
      <c r="AE50" s="308"/>
      <c r="AF50" s="308"/>
      <c r="AG50" s="308"/>
      <c r="AH50" s="308"/>
      <c r="AI50" s="308"/>
      <c r="AJ50" s="308"/>
      <c r="AK50" s="308"/>
      <c r="AL50" s="308"/>
      <c r="AM50" s="244"/>
      <c r="AN50" s="308"/>
      <c r="AO50" s="308"/>
      <c r="AP50" s="308"/>
      <c r="AQ50" s="308"/>
      <c r="AR50" s="308"/>
      <c r="AS50" s="308"/>
      <c r="AT50" s="308"/>
      <c r="AU50" s="308"/>
      <c r="AV50" s="308"/>
      <c r="AW50" s="308"/>
      <c r="AX50" s="308"/>
      <c r="AY50" s="308"/>
      <c r="AZ50" s="308"/>
      <c r="BA50" s="308"/>
      <c r="BB50" s="308"/>
      <c r="BD50" s="307"/>
    </row>
    <row r="51" spans="1:56" ht="15">
      <c r="A51" s="303" t="s">
        <v>161</v>
      </c>
      <c r="B51" s="251" t="str">
        <f>VLOOKUP(A51,'DFP-Com'!$A$16:$B$50,2,1)</f>
        <v xml:space="preserve">     1.2.a  TVET</v>
      </c>
      <c r="C51" s="303" t="s">
        <v>236</v>
      </c>
      <c r="D51" s="238">
        <f aca="true" t="shared" si="19" ref="D51">SUM(F51:T51)</f>
        <v>144000</v>
      </c>
      <c r="E51" s="303" t="s">
        <v>229</v>
      </c>
      <c r="G51" s="310"/>
      <c r="H51" s="326">
        <v>0</v>
      </c>
      <c r="I51" s="310">
        <v>12000</v>
      </c>
      <c r="J51" s="310">
        <v>12000</v>
      </c>
      <c r="K51" s="310">
        <v>12000</v>
      </c>
      <c r="L51" s="310">
        <v>12000</v>
      </c>
      <c r="M51" s="310">
        <v>12000</v>
      </c>
      <c r="N51" s="310">
        <v>12000</v>
      </c>
      <c r="O51" s="310">
        <v>12000</v>
      </c>
      <c r="P51" s="310">
        <v>12000</v>
      </c>
      <c r="Q51" s="310">
        <v>12000</v>
      </c>
      <c r="R51" s="310">
        <v>12000</v>
      </c>
      <c r="S51" s="310">
        <v>12000</v>
      </c>
      <c r="T51" s="310">
        <v>12000</v>
      </c>
      <c r="U51" s="310">
        <f t="shared" si="15"/>
        <v>144000</v>
      </c>
      <c r="X51" s="257">
        <f t="shared" si="13"/>
        <v>0</v>
      </c>
      <c r="Y51" s="308">
        <f t="shared" si="13"/>
        <v>0</v>
      </c>
      <c r="Z51" s="308">
        <f t="shared" si="13"/>
        <v>0</v>
      </c>
      <c r="AA51" s="308">
        <f t="shared" si="13"/>
        <v>12000</v>
      </c>
      <c r="AB51" s="308">
        <f t="shared" si="13"/>
        <v>12000</v>
      </c>
      <c r="AC51" s="308">
        <f t="shared" si="13"/>
        <v>12000</v>
      </c>
      <c r="AD51" s="308">
        <f t="shared" si="13"/>
        <v>12000</v>
      </c>
      <c r="AE51" s="308">
        <f t="shared" si="13"/>
        <v>12000</v>
      </c>
      <c r="AF51" s="308">
        <f t="shared" si="13"/>
        <v>12000</v>
      </c>
      <c r="AG51" s="308">
        <f t="shared" si="13"/>
        <v>12000</v>
      </c>
      <c r="AH51" s="308">
        <f t="shared" si="13"/>
        <v>12000</v>
      </c>
      <c r="AI51" s="308">
        <f t="shared" si="13"/>
        <v>12000</v>
      </c>
      <c r="AJ51" s="308">
        <f t="shared" si="13"/>
        <v>12000</v>
      </c>
      <c r="AK51" s="308">
        <f t="shared" si="13"/>
        <v>12000</v>
      </c>
      <c r="AL51" s="308">
        <f t="shared" si="13"/>
        <v>12000</v>
      </c>
      <c r="AM51" s="244"/>
      <c r="AN51" s="308">
        <f t="shared" si="16"/>
        <v>0</v>
      </c>
      <c r="AO51" s="308">
        <f t="shared" si="14"/>
        <v>0</v>
      </c>
      <c r="AP51" s="308">
        <f t="shared" si="14"/>
        <v>0</v>
      </c>
      <c r="AQ51" s="308">
        <f t="shared" si="14"/>
        <v>48000</v>
      </c>
      <c r="AR51" s="308">
        <f t="shared" si="14"/>
        <v>0</v>
      </c>
      <c r="AS51" s="308">
        <f t="shared" si="14"/>
        <v>0</v>
      </c>
      <c r="AT51" s="308">
        <f t="shared" si="14"/>
        <v>0</v>
      </c>
      <c r="AU51" s="308">
        <f t="shared" si="14"/>
        <v>48000</v>
      </c>
      <c r="AV51" s="308">
        <f t="shared" si="14"/>
        <v>0</v>
      </c>
      <c r="AW51" s="308">
        <f t="shared" si="14"/>
        <v>0</v>
      </c>
      <c r="AX51" s="308">
        <f t="shared" si="14"/>
        <v>0</v>
      </c>
      <c r="AY51" s="308">
        <f t="shared" si="14"/>
        <v>48000</v>
      </c>
      <c r="AZ51" s="308">
        <f>IF(AZ$42=$E51,SUM(AJ51:$AL51),0)</f>
        <v>0</v>
      </c>
      <c r="BA51" s="308">
        <f>IF(BA$42=$E51,SUM(AK51:$AL51),0)</f>
        <v>0</v>
      </c>
      <c r="BB51" s="308">
        <f>IF(BB$42=$E51,SUM(AL51:$AL51),0)</f>
        <v>0</v>
      </c>
      <c r="BD51" s="307">
        <f t="shared" si="11"/>
        <v>0</v>
      </c>
    </row>
    <row r="52" spans="7:56" ht="15">
      <c r="G52" s="310"/>
      <c r="H52" s="326"/>
      <c r="I52" s="310"/>
      <c r="J52" s="310"/>
      <c r="K52" s="310"/>
      <c r="L52" s="310"/>
      <c r="M52" s="310"/>
      <c r="N52" s="310"/>
      <c r="O52" s="310"/>
      <c r="P52" s="310"/>
      <c r="Q52" s="310"/>
      <c r="R52" s="310"/>
      <c r="S52" s="310"/>
      <c r="T52" s="310"/>
      <c r="U52" s="310"/>
      <c r="X52" s="243"/>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D52" s="307">
        <f t="shared" si="11"/>
        <v>0</v>
      </c>
    </row>
    <row r="53" spans="1:56" ht="15">
      <c r="A53" s="240" t="s">
        <v>221</v>
      </c>
      <c r="B53" s="240"/>
      <c r="C53" s="240"/>
      <c r="D53" s="240"/>
      <c r="E53" s="240"/>
      <c r="G53" s="310"/>
      <c r="H53" s="326"/>
      <c r="I53" s="310"/>
      <c r="J53" s="310"/>
      <c r="K53" s="310"/>
      <c r="L53" s="310"/>
      <c r="M53" s="310"/>
      <c r="N53" s="310"/>
      <c r="O53" s="310"/>
      <c r="P53" s="310"/>
      <c r="Q53" s="310"/>
      <c r="R53" s="310"/>
      <c r="S53" s="310"/>
      <c r="T53" s="310"/>
      <c r="U53" s="310"/>
      <c r="X53" s="243"/>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D53" s="307">
        <f t="shared" si="11"/>
        <v>0</v>
      </c>
    </row>
    <row r="54" spans="1:56" ht="15">
      <c r="A54" s="303" t="s">
        <v>176</v>
      </c>
      <c r="B54" s="262" t="str">
        <f>VLOOKUP(A54,'DFP-Com'!$A$16:$B$50,2,1)</f>
        <v xml:space="preserve">     4.1.d  Other</v>
      </c>
      <c r="C54" s="303" t="s">
        <v>215</v>
      </c>
      <c r="D54" s="238">
        <v>20000</v>
      </c>
      <c r="G54" s="310">
        <v>1267.82</v>
      </c>
      <c r="H54" s="326">
        <v>2000</v>
      </c>
      <c r="I54" s="310">
        <v>1400</v>
      </c>
      <c r="J54" s="310">
        <v>1400</v>
      </c>
      <c r="K54" s="310">
        <v>1400</v>
      </c>
      <c r="L54" s="310">
        <v>1400</v>
      </c>
      <c r="M54" s="310">
        <v>1400</v>
      </c>
      <c r="N54" s="310">
        <v>1400</v>
      </c>
      <c r="O54" s="310">
        <v>1400</v>
      </c>
      <c r="P54" s="310">
        <v>1400</v>
      </c>
      <c r="Q54" s="310">
        <v>1400</v>
      </c>
      <c r="R54" s="310">
        <v>1400</v>
      </c>
      <c r="S54" s="310">
        <v>1400</v>
      </c>
      <c r="T54" s="310">
        <f>1400-68</f>
        <v>1332</v>
      </c>
      <c r="U54" s="310">
        <f t="shared" si="15"/>
        <v>19999.82</v>
      </c>
      <c r="X54" s="257">
        <f aca="true" t="shared" si="20" ref="X54:AL55">F54</f>
        <v>0</v>
      </c>
      <c r="Y54" s="308">
        <f t="shared" si="20"/>
        <v>1267.82</v>
      </c>
      <c r="Z54" s="308">
        <f t="shared" si="20"/>
        <v>2000</v>
      </c>
      <c r="AA54" s="308">
        <f t="shared" si="20"/>
        <v>1400</v>
      </c>
      <c r="AB54" s="308">
        <f t="shared" si="20"/>
        <v>1400</v>
      </c>
      <c r="AC54" s="308">
        <f t="shared" si="20"/>
        <v>1400</v>
      </c>
      <c r="AD54" s="308">
        <f t="shared" si="20"/>
        <v>1400</v>
      </c>
      <c r="AE54" s="308">
        <f t="shared" si="20"/>
        <v>1400</v>
      </c>
      <c r="AF54" s="308">
        <f t="shared" si="20"/>
        <v>1400</v>
      </c>
      <c r="AG54" s="308">
        <f t="shared" si="20"/>
        <v>1400</v>
      </c>
      <c r="AH54" s="308">
        <f t="shared" si="20"/>
        <v>1400</v>
      </c>
      <c r="AI54" s="308">
        <f t="shared" si="20"/>
        <v>1400</v>
      </c>
      <c r="AJ54" s="308">
        <f t="shared" si="20"/>
        <v>1400</v>
      </c>
      <c r="AK54" s="308">
        <f t="shared" si="20"/>
        <v>1400</v>
      </c>
      <c r="AL54" s="308">
        <f t="shared" si="20"/>
        <v>1332</v>
      </c>
      <c r="AM54" s="244"/>
      <c r="AN54" s="308">
        <f>X54</f>
        <v>0</v>
      </c>
      <c r="AO54" s="308">
        <f aca="true" t="shared" si="21" ref="AO54:BB55">Y54</f>
        <v>1267.82</v>
      </c>
      <c r="AP54" s="308">
        <f t="shared" si="21"/>
        <v>2000</v>
      </c>
      <c r="AQ54" s="308">
        <f t="shared" si="21"/>
        <v>1400</v>
      </c>
      <c r="AR54" s="308">
        <f t="shared" si="21"/>
        <v>1400</v>
      </c>
      <c r="AS54" s="308">
        <f t="shared" si="21"/>
        <v>1400</v>
      </c>
      <c r="AT54" s="308">
        <f t="shared" si="21"/>
        <v>1400</v>
      </c>
      <c r="AU54" s="308">
        <f t="shared" si="21"/>
        <v>1400</v>
      </c>
      <c r="AV54" s="308">
        <f t="shared" si="21"/>
        <v>1400</v>
      </c>
      <c r="AW54" s="308">
        <f t="shared" si="21"/>
        <v>1400</v>
      </c>
      <c r="AX54" s="308">
        <f t="shared" si="21"/>
        <v>1400</v>
      </c>
      <c r="AY54" s="308">
        <f t="shared" si="21"/>
        <v>1400</v>
      </c>
      <c r="AZ54" s="308">
        <f t="shared" si="21"/>
        <v>1400</v>
      </c>
      <c r="BA54" s="308">
        <f t="shared" si="21"/>
        <v>1400</v>
      </c>
      <c r="BB54" s="308">
        <f t="shared" si="21"/>
        <v>1332</v>
      </c>
      <c r="BD54" s="307">
        <f t="shared" si="11"/>
        <v>0</v>
      </c>
    </row>
    <row r="55" spans="1:56" ht="15">
      <c r="A55" s="303" t="s">
        <v>174</v>
      </c>
      <c r="B55" s="262" t="str">
        <f>VLOOKUP(A55,'DFP-Com'!$A$16:$B$50,2,1)</f>
        <v xml:space="preserve">     4.1.b  Travel*</v>
      </c>
      <c r="C55" s="303" t="s">
        <v>216</v>
      </c>
      <c r="D55" s="238">
        <v>35000</v>
      </c>
      <c r="G55" s="310">
        <v>0</v>
      </c>
      <c r="H55" s="326">
        <v>4000</v>
      </c>
      <c r="I55" s="310">
        <v>2500</v>
      </c>
      <c r="J55" s="310">
        <v>2500</v>
      </c>
      <c r="K55" s="310">
        <v>2500</v>
      </c>
      <c r="L55" s="310">
        <v>3500</v>
      </c>
      <c r="M55" s="310">
        <v>2500</v>
      </c>
      <c r="N55" s="310">
        <v>2500</v>
      </c>
      <c r="O55" s="310">
        <v>2500</v>
      </c>
      <c r="P55" s="310">
        <v>2500</v>
      </c>
      <c r="Q55" s="310">
        <v>2500</v>
      </c>
      <c r="R55" s="310">
        <v>2500</v>
      </c>
      <c r="S55" s="310">
        <v>2500</v>
      </c>
      <c r="T55" s="310">
        <v>2500</v>
      </c>
      <c r="U55" s="310">
        <f t="shared" si="15"/>
        <v>35000</v>
      </c>
      <c r="X55" s="257">
        <f t="shared" si="20"/>
        <v>0</v>
      </c>
      <c r="Y55" s="308">
        <f t="shared" si="20"/>
        <v>0</v>
      </c>
      <c r="Z55" s="308">
        <f t="shared" si="20"/>
        <v>4000</v>
      </c>
      <c r="AA55" s="308">
        <f t="shared" si="20"/>
        <v>2500</v>
      </c>
      <c r="AB55" s="308">
        <f t="shared" si="20"/>
        <v>2500</v>
      </c>
      <c r="AC55" s="308">
        <f t="shared" si="20"/>
        <v>2500</v>
      </c>
      <c r="AD55" s="308">
        <f t="shared" si="20"/>
        <v>3500</v>
      </c>
      <c r="AE55" s="308">
        <f t="shared" si="20"/>
        <v>2500</v>
      </c>
      <c r="AF55" s="308">
        <f t="shared" si="20"/>
        <v>2500</v>
      </c>
      <c r="AG55" s="308">
        <f t="shared" si="20"/>
        <v>2500</v>
      </c>
      <c r="AH55" s="308">
        <f t="shared" si="20"/>
        <v>2500</v>
      </c>
      <c r="AI55" s="308">
        <f t="shared" si="20"/>
        <v>2500</v>
      </c>
      <c r="AJ55" s="308">
        <f t="shared" si="20"/>
        <v>2500</v>
      </c>
      <c r="AK55" s="308">
        <f t="shared" si="20"/>
        <v>2500</v>
      </c>
      <c r="AL55" s="308">
        <f t="shared" si="20"/>
        <v>2500</v>
      </c>
      <c r="AM55" s="244"/>
      <c r="AN55" s="308">
        <f>X55</f>
        <v>0</v>
      </c>
      <c r="AO55" s="308">
        <f t="shared" si="21"/>
        <v>0</v>
      </c>
      <c r="AP55" s="308">
        <f t="shared" si="21"/>
        <v>4000</v>
      </c>
      <c r="AQ55" s="308">
        <f t="shared" si="21"/>
        <v>2500</v>
      </c>
      <c r="AR55" s="308">
        <f t="shared" si="21"/>
        <v>2500</v>
      </c>
      <c r="AS55" s="308">
        <f t="shared" si="21"/>
        <v>2500</v>
      </c>
      <c r="AT55" s="308">
        <f t="shared" si="21"/>
        <v>3500</v>
      </c>
      <c r="AU55" s="308">
        <f t="shared" si="21"/>
        <v>2500</v>
      </c>
      <c r="AV55" s="308">
        <f t="shared" si="21"/>
        <v>2500</v>
      </c>
      <c r="AW55" s="308">
        <f t="shared" si="21"/>
        <v>2500</v>
      </c>
      <c r="AX55" s="308">
        <f t="shared" si="21"/>
        <v>2500</v>
      </c>
      <c r="AY55" s="308">
        <f t="shared" si="21"/>
        <v>2500</v>
      </c>
      <c r="AZ55" s="308">
        <f t="shared" si="21"/>
        <v>2500</v>
      </c>
      <c r="BA55" s="308">
        <f t="shared" si="21"/>
        <v>2500</v>
      </c>
      <c r="BB55" s="308">
        <f t="shared" si="21"/>
        <v>2500</v>
      </c>
      <c r="BD55" s="307">
        <f t="shared" si="11"/>
        <v>0</v>
      </c>
    </row>
    <row r="56" spans="1:38" s="253" customFormat="1" ht="15">
      <c r="A56" s="254"/>
      <c r="D56" s="255"/>
      <c r="H56" s="327"/>
      <c r="U56" s="256"/>
      <c r="V56" s="303"/>
      <c r="W56" s="303"/>
      <c r="X56" s="250"/>
      <c r="Y56" s="250"/>
      <c r="Z56" s="250"/>
      <c r="AA56" s="250"/>
      <c r="AB56" s="250"/>
      <c r="AC56" s="250"/>
      <c r="AD56" s="250"/>
      <c r="AE56" s="250"/>
      <c r="AF56" s="250"/>
      <c r="AG56" s="250"/>
      <c r="AH56" s="250"/>
      <c r="AI56" s="250"/>
      <c r="AJ56" s="250"/>
      <c r="AK56" s="250"/>
      <c r="AL56" s="250"/>
    </row>
    <row r="57" spans="2:24" ht="15">
      <c r="B57" s="243" t="s">
        <v>242</v>
      </c>
      <c r="D57" s="257">
        <f>SUM(D4:D55)</f>
        <v>23584570</v>
      </c>
      <c r="E57" s="243"/>
      <c r="F57" s="243"/>
      <c r="G57" s="243"/>
      <c r="H57" s="328"/>
      <c r="I57" s="243"/>
      <c r="J57" s="243"/>
      <c r="K57" s="243"/>
      <c r="L57" s="243"/>
      <c r="M57" s="243"/>
      <c r="N57" s="243"/>
      <c r="O57" s="243"/>
      <c r="P57" s="243"/>
      <c r="Q57" s="243"/>
      <c r="R57" s="243"/>
      <c r="T57" s="243"/>
      <c r="U57" s="243"/>
      <c r="X57" s="307" t="s">
        <v>134</v>
      </c>
    </row>
    <row r="58" spans="4:24" ht="15">
      <c r="D58" s="260"/>
      <c r="E58" s="261"/>
      <c r="F58" s="261"/>
      <c r="G58" s="261"/>
      <c r="H58" s="327"/>
      <c r="I58" s="261"/>
      <c r="J58" s="261"/>
      <c r="K58" s="261"/>
      <c r="L58" s="261"/>
      <c r="M58" s="261"/>
      <c r="N58" s="261"/>
      <c r="O58" s="261"/>
      <c r="P58" s="261"/>
      <c r="Q58" s="261"/>
      <c r="R58" s="261"/>
      <c r="S58" s="261"/>
      <c r="T58" s="261"/>
      <c r="U58" s="261"/>
      <c r="X58" s="307"/>
    </row>
    <row r="59" spans="1:4" ht="15">
      <c r="A59" s="303" t="s">
        <v>158</v>
      </c>
      <c r="B59" s="376" t="str">
        <f>VLOOKUP(A59,'DFP-Com'!$A$16:$B$50,2,1)</f>
        <v xml:space="preserve">     1.1.a  Education Project Implementation Contract</v>
      </c>
      <c r="C59" s="376"/>
      <c r="D59" s="238">
        <f>SUMIF($A$4:$A$56,"="&amp;A59,$D$4:$D$56)</f>
        <v>8700000</v>
      </c>
    </row>
    <row r="60" spans="1:4" ht="15">
      <c r="A60" s="303" t="s">
        <v>159</v>
      </c>
      <c r="B60" s="376" t="str">
        <f>VLOOKUP(A60,'DFP-Com'!$A$16:$B$50,2,1)</f>
        <v xml:space="preserve">     1.1.b  Grants to Universities for Teacher Training (Diplomados)</v>
      </c>
      <c r="C60" s="376"/>
      <c r="D60" s="238">
        <f>SUMIF($A$4:$A$56,"="&amp;A60,$D$4:$D$56)</f>
        <v>3000000</v>
      </c>
    </row>
    <row r="61" spans="1:4" ht="15">
      <c r="A61" s="303" t="s">
        <v>161</v>
      </c>
      <c r="B61" s="376" t="str">
        <f>VLOOKUP(A61,'DFP-Com'!$A$16:$B$50,2,1)</f>
        <v xml:space="preserve">     1.2.a  TVET</v>
      </c>
      <c r="C61" s="376"/>
      <c r="D61" s="238">
        <f>SUMIF($A$4:$A$56,"="&amp;A61,$D$4:$D$56)</f>
        <v>4144000</v>
      </c>
    </row>
    <row r="62" spans="1:4" ht="15">
      <c r="A62" s="303" t="s">
        <v>162</v>
      </c>
      <c r="B62" s="376" t="str">
        <f>VLOOKUP(A62,'DFP-Com'!$A$16:$B$50,2,1)</f>
        <v xml:space="preserve">     1.3.a  Education Project Implementation Contract</v>
      </c>
      <c r="C62" s="376"/>
      <c r="D62" s="238">
        <f>SUMIF($A$4:$A$56,"="&amp;A62,$D$4:$D$56)</f>
        <v>2500000</v>
      </c>
    </row>
    <row r="63" spans="1:4" ht="15">
      <c r="A63" s="303" t="s">
        <v>163</v>
      </c>
      <c r="B63" s="376" t="str">
        <f>VLOOKUP(A63,'DFP-Com'!$A$16:$B$50,2,1)</f>
        <v xml:space="preserve">     1.3.b  Education Project Coordination team*</v>
      </c>
      <c r="C63" s="376"/>
      <c r="D63" s="238">
        <f>SUMIF($A$4:$A$56,"="&amp;A63,$D$4:$D$56)</f>
        <v>178400</v>
      </c>
    </row>
    <row r="64" spans="2:6" ht="15">
      <c r="B64" s="312" t="s">
        <v>263</v>
      </c>
      <c r="C64" s="312"/>
      <c r="D64" s="313">
        <f>SUM(D59:D63)</f>
        <v>18522400</v>
      </c>
      <c r="E64" s="248">
        <f>'QFR - B'!G14</f>
        <v>19300000</v>
      </c>
      <c r="F64" s="307">
        <f>E64-D64</f>
        <v>777600</v>
      </c>
    </row>
    <row r="65" spans="1:4" ht="15">
      <c r="A65" s="303" t="s">
        <v>165</v>
      </c>
      <c r="B65" s="376" t="str">
        <f>VLOOKUP(A65,'DFP-Com'!$A$16:$B$50,2,1)</f>
        <v xml:space="preserve">     2.1.a  Tax and Customs</v>
      </c>
      <c r="C65" s="376"/>
      <c r="D65" s="238">
        <f>SUMIF($A$4:$A$56,"="&amp;A65,$D$4:$D$56)</f>
        <v>384000</v>
      </c>
    </row>
    <row r="66" spans="2:6" ht="15">
      <c r="B66" s="312" t="s">
        <v>264</v>
      </c>
      <c r="C66" s="312"/>
      <c r="D66" s="314">
        <f>D65</f>
        <v>384000</v>
      </c>
      <c r="E66" s="248">
        <f>'QFR - B'!G20</f>
        <v>800000</v>
      </c>
      <c r="F66" s="307">
        <f>E66-D66</f>
        <v>416000</v>
      </c>
    </row>
    <row r="67" spans="1:4" ht="15">
      <c r="A67" s="303" t="s">
        <v>166</v>
      </c>
      <c r="B67" s="376" t="str">
        <f>VLOOKUP(A67,'DFP-Com'!$A$16:$B$50,2,1)</f>
        <v xml:space="preserve">     2.2.a  Advisors</v>
      </c>
      <c r="C67" s="376"/>
      <c r="D67" s="238">
        <f>SUMIF($A$4:$A$56,"="&amp;A67,$D$4:$D$56)</f>
        <v>728750</v>
      </c>
    </row>
    <row r="68" spans="1:4" ht="15">
      <c r="A68" s="303" t="s">
        <v>167</v>
      </c>
      <c r="B68" s="376" t="str">
        <f>VLOOKUP(A68,'DFP-Com'!$A$16:$B$50,2,1)</f>
        <v xml:space="preserve">     2.2.b  Feasiblity Studies/  Transaction Advisory Services</v>
      </c>
      <c r="C68" s="376"/>
      <c r="D68" s="238">
        <f>SUMIF($A$4:$A$56,"="&amp;A68,$D$4:$D$56)</f>
        <v>1650000</v>
      </c>
    </row>
    <row r="69" spans="2:6" ht="15">
      <c r="B69" s="312" t="s">
        <v>265</v>
      </c>
      <c r="C69" s="312"/>
      <c r="D69" s="314">
        <f>SUM(D67:D68)</f>
        <v>2378750</v>
      </c>
      <c r="E69" s="248">
        <f>'QFR - B'!G21</f>
        <v>3600000</v>
      </c>
      <c r="F69" s="307">
        <f>E69-D69</f>
        <v>1221250</v>
      </c>
    </row>
    <row r="70" spans="1:4" ht="15">
      <c r="A70" s="303" t="s">
        <v>169</v>
      </c>
      <c r="B70" s="376" t="str">
        <f>VLOOKUP(A70,'DFP-Com'!$A$16:$B$50,2,1)</f>
        <v xml:space="preserve">     3.1.a  Student Assessment</v>
      </c>
      <c r="C70" s="376"/>
      <c r="D70" s="238">
        <f>SUMIF($A$4:$A$56,"="&amp;A70,$D$4:$D$56)</f>
        <v>706400</v>
      </c>
    </row>
    <row r="71" spans="1:4" ht="15">
      <c r="A71" s="303" t="s">
        <v>170</v>
      </c>
      <c r="B71" s="376" t="str">
        <f>VLOOKUP(A71,'DFP-Com'!$A$16:$B$50,2,1)</f>
        <v xml:space="preserve">     3.1.b  Teacher Evaluations</v>
      </c>
      <c r="C71" s="376"/>
      <c r="D71" s="238">
        <f>SUMIF($A$4:$A$56,"="&amp;A71,$D$4:$D$56)</f>
        <v>300000</v>
      </c>
    </row>
    <row r="72" spans="1:4" ht="15">
      <c r="A72" s="303" t="s">
        <v>171</v>
      </c>
      <c r="B72" s="376" t="str">
        <f>VLOOKUP(A72,'DFP-Com'!$A$16:$B$50,2,1)</f>
        <v xml:space="preserve">     3.1.c  Voc Ed Tracer Studies</v>
      </c>
      <c r="C72" s="376"/>
      <c r="D72" s="238">
        <f>SUMIF($A$4:$A$56,"="&amp;A72,$D$4:$D$56)</f>
        <v>300000</v>
      </c>
    </row>
    <row r="73" spans="1:4" ht="15">
      <c r="A73" s="303" t="s">
        <v>172</v>
      </c>
      <c r="B73" s="376" t="str">
        <f>VLOOKUP(A73,'DFP-Com'!$A$16:$B$50,2,1)</f>
        <v xml:space="preserve">     3.1 d Other</v>
      </c>
      <c r="C73" s="376"/>
      <c r="D73" s="238">
        <f>SUMIF($A$4:$A$56,"="&amp;A73,$D$4:$D$56)</f>
        <v>200000</v>
      </c>
    </row>
    <row r="74" spans="2:6" ht="15">
      <c r="B74" s="312" t="s">
        <v>241</v>
      </c>
      <c r="C74" s="312"/>
      <c r="D74" s="314">
        <f>SUM(D70:D73)</f>
        <v>1506400</v>
      </c>
      <c r="E74" s="248">
        <f>'QFR - B'!G24</f>
        <v>1700000</v>
      </c>
      <c r="F74" s="307">
        <f>E74-D74</f>
        <v>193600</v>
      </c>
    </row>
    <row r="75" spans="1:4" ht="15">
      <c r="A75" s="303" t="s">
        <v>173</v>
      </c>
      <c r="B75" s="376" t="str">
        <f>VLOOKUP(A75,'DFP-Com'!$A$16:$B$50,2,1)</f>
        <v xml:space="preserve">     4.1.a  Staff Compensation*</v>
      </c>
      <c r="C75" s="376"/>
      <c r="D75" s="238">
        <f>SUMIF($A$4:$A$56,"="&amp;A75,$D$4:$D$56)</f>
        <v>636520</v>
      </c>
    </row>
    <row r="76" spans="1:4" ht="15">
      <c r="A76" s="303" t="s">
        <v>174</v>
      </c>
      <c r="B76" s="376" t="str">
        <f>VLOOKUP(A76,'DFP-Com'!$A$16:$B$50,2,1)</f>
        <v xml:space="preserve">     4.1.b  Travel*</v>
      </c>
      <c r="C76" s="376"/>
      <c r="D76" s="238">
        <f>SUMIF($A$4:$A$56,"="&amp;A76,$D$4:$D$56)</f>
        <v>35000</v>
      </c>
    </row>
    <row r="77" spans="1:4" ht="15">
      <c r="A77" s="303" t="s">
        <v>175</v>
      </c>
      <c r="B77" s="376" t="str">
        <f>VLOOKUP(A77,'DFP-Com'!$A$16:$B$50,2,1)</f>
        <v xml:space="preserve">     4.1.c  Audit</v>
      </c>
      <c r="C77" s="376"/>
      <c r="D77" s="238">
        <f>SUMIF($A$4:$A$56,"="&amp;A77,$D$4:$D$56)</f>
        <v>90000</v>
      </c>
    </row>
    <row r="78" spans="1:4" ht="15">
      <c r="A78" s="303" t="s">
        <v>176</v>
      </c>
      <c r="B78" s="376" t="str">
        <f>VLOOKUP(A78,'DFP-Com'!$A$16:$B$50,2,1)</f>
        <v xml:space="preserve">     4.1.d  Other</v>
      </c>
      <c r="C78" s="376"/>
      <c r="D78" s="238">
        <f>SUMIF($A$4:$A$56,"="&amp;A78,$D$4:$D$56)</f>
        <v>31500</v>
      </c>
    </row>
    <row r="79" spans="2:6" ht="15">
      <c r="B79" s="312" t="s">
        <v>266</v>
      </c>
      <c r="C79" s="312"/>
      <c r="D79" s="314">
        <f>SUM(D75:D78)</f>
        <v>793020</v>
      </c>
      <c r="E79" s="248">
        <f>'QFR - B'!G27</f>
        <v>800000</v>
      </c>
      <c r="F79" s="307">
        <f>E79-D79</f>
        <v>6980</v>
      </c>
    </row>
  </sheetData>
  <autoFilter ref="A3:BD38"/>
  <mergeCells count="16">
    <mergeCell ref="B65:C65"/>
    <mergeCell ref="B59:C59"/>
    <mergeCell ref="B60:C60"/>
    <mergeCell ref="B61:C61"/>
    <mergeCell ref="B62:C62"/>
    <mergeCell ref="B63:C63"/>
    <mergeCell ref="B75:C75"/>
    <mergeCell ref="B76:C76"/>
    <mergeCell ref="B77:C77"/>
    <mergeCell ref="B78:C78"/>
    <mergeCell ref="B67:C67"/>
    <mergeCell ref="B68:C68"/>
    <mergeCell ref="B70:C70"/>
    <mergeCell ref="B71:C71"/>
    <mergeCell ref="B72:C72"/>
    <mergeCell ref="B73:C7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4.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2.xml><?xml version="1.0" encoding="utf-8"?>
<ds:datastoreItem xmlns:ds="http://schemas.openxmlformats.org/officeDocument/2006/customXml" ds:itemID="{138D9C3E-8C92-4208-8A5B-5D97F1107407}">
  <ds:schemaRefs>
    <ds:schemaRef ds:uri="http://schemas.microsoft.com/sharepoint/events"/>
  </ds:schemaRefs>
</ds:datastoreItem>
</file>

<file path=customXml/itemProps3.xml><?xml version="1.0" encoding="utf-8"?>
<ds:datastoreItem xmlns:ds="http://schemas.openxmlformats.org/officeDocument/2006/customXml" ds:itemID="{2A3C046C-33C0-43F6-B7B3-4A615857768F}">
  <ds:schemaRef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d3b91ed5-3f36-4885-8f16-366304d6a523"/>
    <ds:schemaRef ds:uri="c6aa829a-de30-4eeb-a917-5f1e16f11f75"/>
    <ds:schemaRef ds:uri="133de3ae-5bb8-4cbb-9752-c1040d721e37"/>
    <ds:schemaRef ds:uri="http://purl.org/dc/terms/"/>
  </ds:schemaRefs>
</ds:datastoreItem>
</file>

<file path=customXml/itemProps4.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Wingle, John F (DPE/POL-CPI)</dc:creator>
  <cp:keywords/>
  <dc:description/>
  <cp:lastModifiedBy>Josué Ricart</cp:lastModifiedBy>
  <cp:lastPrinted>2016-12-20T20:10:47Z</cp:lastPrinted>
  <dcterms:created xsi:type="dcterms:W3CDTF">2016-05-12T16:21:20Z</dcterms:created>
  <dcterms:modified xsi:type="dcterms:W3CDTF">2021-12-21T03:38:36Z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