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1"/>
  </bookViews>
  <sheets>
    <sheet name="DFP-Com" sheetId="1" r:id="rId1"/>
    <sheet name="DFP-CASH" sheetId="2" r:id="rId2"/>
    <sheet name="QFR - A" sheetId="3" r:id="rId3"/>
    <sheet name="QFR - B" sheetId="4" r:id="rId4"/>
    <sheet name="THP DR" sheetId="5" r:id="rId5"/>
    <sheet name="Contract level" sheetId="6" state="hidden" r:id="rId6"/>
    <sheet name="Error checks" sheetId="7" state="hidden" r:id="rId7"/>
  </sheets>
  <definedNames>
    <definedName name="ScheduleA">#REF!</definedName>
    <definedName name="ScheduleB">#REF!</definedName>
    <definedName name="ScheduleF">#REF!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<sst xmlns="http://schemas.openxmlformats.org/spreadsheetml/2006/main" count="591" uniqueCount="243">
  <si>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</si>
  <si>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</si>
  <si>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</si>
  <si>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</si>
  <si>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</si>
  <si>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</si>
  <si>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</si>
  <si>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</si>
  <si>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</si>
  <si>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</si>
  <si>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</si>
  <si>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</si>
  <si>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</si>
  <si>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</si>
  <si>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</si>
  <si>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</si>
  <si>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</si>
  <si>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Jul '16
Sep '16</t>
  </si>
  <si>
    <t>Oct '16
Dec '16</t>
  </si>
  <si>
    <t>Jan '17
Mar '17</t>
  </si>
  <si>
    <t>Apr '17
Jun '17</t>
  </si>
  <si>
    <t>Jul '17
Aug '17</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</si>
  <si>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</si>
  <si>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</si>
  <si>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</si>
  <si>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</si>
  <si>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</si>
  <si>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</si>
  <si>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</si>
  <si>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</si>
  <si>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</si>
  <si>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</si>
  <si>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</si>
  <si>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</si>
  <si>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</si>
  <si>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</si>
  <si>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</si>
  <si>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</si>
  <si>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 This activity is MCC-Managed</t>
  </si>
  <si>
    <t>Schedule B.  Summary of Multi-Year Financial Plan Adjustments to Date</t>
  </si>
  <si>
    <t>Amounts Expressed in US Dollars</t>
  </si>
  <si>
    <t>DISBURSEMENT REQUEST</t>
  </si>
  <si>
    <t xml:space="preserve">THRESHOLD PROGRAM GRANT AGREEMENT </t>
  </si>
  <si>
    <t>Country</t>
  </si>
  <si>
    <t>Projects</t>
  </si>
  <si>
    <t>Theshold Program / Program Administration and Monitoring and Evaluation</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</si>
  <si>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</si>
  <si>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</si>
  <si>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</si>
  <si>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</si>
  <si>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</si>
  <si>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</si>
  <si>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</si>
  <si>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</si>
  <si>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</si>
  <si>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</si>
  <si>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</si>
  <si>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</si>
  <si>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</si>
  <si>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</si>
  <si>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</si>
  <si>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</si>
  <si>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</si>
  <si>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</si>
  <si>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</si>
  <si>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</si>
  <si>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</si>
  <si>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Date:  _____________________________________________________________</t>
  </si>
  <si>
    <t xml:space="preserve">Name: </t>
  </si>
  <si>
    <t>TOTAL - Education</t>
  </si>
  <si>
    <t>TOTAL - Resource Mobilization</t>
  </si>
  <si>
    <t>Jan '18
Mar '18</t>
  </si>
  <si>
    <t>Apr '18
Jun '18</t>
  </si>
  <si>
    <t>Jul '18
Aug '18</t>
  </si>
  <si>
    <t>Oct '17
Dec '17</t>
  </si>
  <si>
    <t>Oct '18
Dec '18</t>
  </si>
  <si>
    <t>Jan '19
Mar '19</t>
  </si>
  <si>
    <t>Apr '19
Jun '19</t>
  </si>
  <si>
    <t>Signed by the  Executive Director of PRONACOM</t>
  </si>
  <si>
    <t>Guatemala</t>
  </si>
  <si>
    <t>PRONACOM</t>
  </si>
  <si>
    <t>TR14GTM15001</t>
  </si>
  <si>
    <t>Grant Quarter #3</t>
  </si>
  <si>
    <t>Grant Quarter #4</t>
  </si>
  <si>
    <t>Grant Quarter #5</t>
  </si>
  <si>
    <t>Grant Quarter #6</t>
  </si>
  <si>
    <t>Grant Quarter #7</t>
  </si>
  <si>
    <t>Grant Quarter #8</t>
  </si>
  <si>
    <t>Grant Quarter #10</t>
  </si>
  <si>
    <t>Grant Quarter #11</t>
  </si>
  <si>
    <t>Grant Quarter #12</t>
  </si>
  <si>
    <t>Grant Quarter #13</t>
  </si>
  <si>
    <t>Grant Quarter #14</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</si>
  <si>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</si>
  <si>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</si>
  <si>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</si>
  <si>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</si>
  <si>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</si>
  <si>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</si>
  <si>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</si>
  <si>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</si>
  <si>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</si>
  <si>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</si>
  <si>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</si>
  <si>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</si>
  <si>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</si>
  <si>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</si>
  <si>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Adjustment Reported/
Approved
(insert date)</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</si>
  <si>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</si>
  <si>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</si>
  <si>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</si>
  <si>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</si>
  <si>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</si>
  <si>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</si>
  <si>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</si>
  <si>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</si>
  <si>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</si>
  <si>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</si>
  <si>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</si>
  <si>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</si>
  <si>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</si>
  <si>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</si>
  <si>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</si>
  <si>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</si>
  <si>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</si>
  <si>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</si>
  <si>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</si>
  <si>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</si>
  <si>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</si>
  <si>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</si>
  <si>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</si>
  <si>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</si>
  <si>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</si>
  <si>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</si>
  <si>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</si>
  <si>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</si>
  <si>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</si>
  <si>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</si>
  <si>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</si>
  <si>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</si>
  <si>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</si>
  <si>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</si>
  <si>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</si>
  <si>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</si>
  <si>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This activity is partially MCC-Managed</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</si>
  <si>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</si>
  <si>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</si>
  <si>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</si>
  <si>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</si>
  <si>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</si>
  <si>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</si>
  <si>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</si>
  <si>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</si>
  <si>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</si>
  <si>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</si>
  <si>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</si>
  <si>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</si>
  <si>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</si>
  <si>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</si>
  <si>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</si>
  <si>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</si>
  <si>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</si>
  <si>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</si>
  <si>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</si>
  <si>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r>
      <t xml:space="preserve">F.  Definitions:  </t>
    </r>
    <r>
      <rPr>
        <sz val="10"/>
        <rFont val="Arial"/>
        <family val="2"/>
      </rPr>
      <t xml:space="preserve">Capitalized terms used herein shall have the meanings assigned to such terms in the Threshold Program Agreement by and between the Government of Honduras and the United States, acting through the Millennium Challenge Corporation, dated April 8, 2015, and entered into force on May 15, 2016. </t>
    </r>
  </si>
  <si>
    <t>Act#</t>
  </si>
  <si>
    <t>1.1.a</t>
  </si>
  <si>
    <t>1.1.b</t>
  </si>
  <si>
    <t>1.1.c</t>
  </si>
  <si>
    <t>1.2.a</t>
  </si>
  <si>
    <t>1.3.a</t>
  </si>
  <si>
    <t>1.3.b</t>
  </si>
  <si>
    <t>1.3.c</t>
  </si>
  <si>
    <t>2.1.a</t>
  </si>
  <si>
    <t>2.2.a</t>
  </si>
  <si>
    <t>2.2.b</t>
  </si>
  <si>
    <t>2.2.c</t>
  </si>
  <si>
    <t>3.1.a</t>
  </si>
  <si>
    <t>3.1.b</t>
  </si>
  <si>
    <t>3.1.c</t>
  </si>
  <si>
    <t>3.1.d</t>
  </si>
  <si>
    <t>4.1.a</t>
  </si>
  <si>
    <t>4.1.b</t>
  </si>
  <si>
    <t>4.1.c</t>
  </si>
  <si>
    <t>4.1.d</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</si>
  <si>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</si>
  <si>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</si>
  <si>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</si>
  <si>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</si>
  <si>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</si>
  <si>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</si>
  <si>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</si>
  <si>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</si>
  <si>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</si>
  <si>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</si>
  <si>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</si>
  <si>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</si>
  <si>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</si>
  <si>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</si>
  <si>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</si>
  <si>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</si>
  <si>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</si>
  <si>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</si>
  <si>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</si>
  <si>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</si>
  <si>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q6</t>
  </si>
  <si>
    <t>q7</t>
  </si>
  <si>
    <t>Recurring Expenses for which commitments will  be made in same quarter as expense.</t>
  </si>
  <si>
    <t>Salary Type Expenses</t>
  </si>
  <si>
    <t>Cash by quarter</t>
  </si>
  <si>
    <t>Committments by quarter</t>
  </si>
  <si>
    <t>q2</t>
  </si>
  <si>
    <t>q5</t>
  </si>
  <si>
    <t>q1</t>
  </si>
  <si>
    <t>q4</t>
  </si>
  <si>
    <t>check Cash=comm</t>
  </si>
  <si>
    <t>Grant Quarter #15</t>
  </si>
  <si>
    <t>Grant Quarter #16</t>
  </si>
  <si>
    <t>Jul '19
Aug '19</t>
  </si>
  <si>
    <t>Oct '19
Dec '19</t>
  </si>
  <si>
    <t>Jan '20
Mar '20</t>
  </si>
  <si>
    <t>Column 18</t>
  </si>
  <si>
    <t>Column 19</t>
  </si>
  <si>
    <t>Actual Cumulative Disbursements at Beginning of Current Period</t>
  </si>
  <si>
    <t>Projected Disbursements during Current Period</t>
  </si>
  <si>
    <t>Out of Cycle Report:  Yes [ ] | No [ x ]</t>
  </si>
  <si>
    <t>q15</t>
  </si>
  <si>
    <t>Certified by the Minister of Economy</t>
  </si>
  <si>
    <t>MCC (Acting Fiscal Agent)</t>
  </si>
  <si>
    <t>April 8, 2015/May 15, 2016</t>
  </si>
  <si>
    <t>Adjustment Reported/
Approved
(Q1 - 9/10/2016)</t>
  </si>
  <si>
    <t>July 01, 2016</t>
  </si>
  <si>
    <t>Oct '16</t>
  </si>
  <si>
    <t>Nov '16</t>
  </si>
  <si>
    <t>Dec '16</t>
  </si>
  <si>
    <t>q8</t>
  </si>
  <si>
    <t>Name: Fernando Suriano</t>
  </si>
  <si>
    <t xml:space="preserve">Date:  </t>
  </si>
  <si>
    <t>Date:  5  de octubre, 2016</t>
  </si>
  <si>
    <t>Name:  Rubén Morales Monroy</t>
  </si>
  <si>
    <t>cash before Com</t>
  </si>
  <si>
    <t xml:space="preserve"> com-cash</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</si>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</sst>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quot;$&quot;* #,##0.00_);_(&quot;$&quot;* \(#,##0.00\);_(&quot;$&quot;* &quot;-&quot;??_);_(@_)"/>
    <numFmt numFmtId="165" formatCode="_(* #,##0.00_);_(* \(#,##0.00\);_(* &quot;-&quot;??_);_(@_)"/>
    <numFmt numFmtId="166" formatCode="_(* #,##0_);_(* \(#,##0\);_(* &quot;-&quot;??_);_(@_)"/>
    <numFmt numFmtId="167" formatCode="0_);[Red]\(0\)"/>
    <numFmt numFmtId="168" formatCode="[$-409]mmmm\ d\,\ yyyy;@"/>
    <numFmt numFmtId="169" formatCode="[$-409]mmm\-yy;@"/>
    <numFmt numFmtId="170" formatCode="m/d/yy;@"/>
    <numFmt numFmtId="171" formatCode="_(&quot;$&quot;* #,##0_);_(&quot;$&quot;* \(#,##0\);_(&quot;$&quot;* &quot;-&quot;??_);_(@_)"/>
    <numFmt numFmtId="172" formatCode="0.0%"/>
    <numFmt numFmtId="173" formatCode="[$-409]dd\-mmm\-yy;@"/>
  </numFmts>
  <fonts count="29">
    <font>
      <sz val="11"/>
      <color theme="1"/>
      <name val="Calibri"/>
      <family val="2"/>
      <scheme val="minor"/>
    </font>
    <font>
      <sz val="10"/>
      <name val="Arial"/>
      <family val="2"/>
    </font>
    <font>
      <b/>
      <sz val="10"/>
      <name val="Arial Narrow"/>
      <family val="2"/>
    </font>
    <font>
      <b/>
      <sz val="10"/>
      <name val="Arial"/>
      <family val="2"/>
    </font>
    <font>
      <b/>
      <u val="single"/>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s>
  <fills count="23">
    <fill>
      <patternFill/>
    </fill>
    <fill>
      <patternFill patternType="gray125"/>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theme="9" tint="0.5999900102615356"/>
        <bgColor indexed="64"/>
      </patternFill>
    </fill>
    <fill>
      <patternFill patternType="solid">
        <fgColor indexed="8"/>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9" tint="-0.4999699890613556"/>
        <bgColor indexed="64"/>
      </patternFill>
    </fill>
    <fill>
      <patternFill patternType="solid">
        <fgColor theme="7"/>
        <bgColor indexed="64"/>
      </patternFill>
    </fill>
    <fill>
      <patternFill patternType="solid">
        <fgColor theme="8" tint="-0.4999699890613556"/>
        <bgColor indexed="64"/>
      </patternFill>
    </fill>
    <fill>
      <patternFill patternType="solid">
        <fgColor rgb="FF99CCFF"/>
        <bgColor indexed="64"/>
      </patternFill>
    </fill>
    <fill>
      <patternFill patternType="solid">
        <fgColor theme="2" tint="-0.09996999800205231"/>
        <bgColor indexed="64"/>
      </patternFill>
    </fill>
    <fill>
      <patternFill patternType="solid">
        <fgColor rgb="FFFF0000"/>
        <bgColor indexed="64"/>
      </patternFill>
    </fill>
  </fills>
  <borders count="46">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style="medium"/>
      <top/>
      <bottom style="medium"/>
    </border>
    <border>
      <left style="thin"/>
      <right style="thin"/>
      <top style="medium"/>
      <bottom style="medium"/>
    </border>
    <border>
      <left style="medium"/>
      <right style="thin"/>
      <top/>
      <bottom style="thin"/>
    </border>
    <border>
      <left/>
      <right/>
      <top/>
      <bottom style="thin"/>
    </border>
    <border>
      <left style="thin">
        <color indexed="55"/>
      </left>
      <right/>
      <top/>
      <bottom/>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thin"/>
      <top style="thin"/>
      <bottom style="medium"/>
    </border>
    <border>
      <left style="medium"/>
      <right style="thin"/>
      <top/>
      <bottom style="medium"/>
    </border>
    <border>
      <left/>
      <right/>
      <top style="thin"/>
      <bottom style="thin"/>
    </border>
    <border>
      <left style="thin"/>
      <right/>
      <top style="thin"/>
      <bottom style="thin"/>
    </border>
    <border>
      <left/>
      <right style="thin"/>
      <top style="thin"/>
      <bottom style="double"/>
    </border>
    <border>
      <left style="thin"/>
      <right/>
      <top style="medium"/>
      <bottom style="medium"/>
    </border>
    <border>
      <left/>
      <right style="thin"/>
      <top style="medium"/>
      <bottom style="mediu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365">
    <xf numFmtId="0" fontId="0" fillId="0" borderId="0" xfId="0"/>
    <xf numFmtId="166" fontId="1" fillId="0" borderId="0" xfId="21" applyNumberFormat="1"/>
    <xf numFmtId="166" fontId="2" fillId="0" borderId="1" xfId="22" applyNumberFormat="1" applyFont="1" applyBorder="1"/>
    <xf numFmtId="166" fontId="1" fillId="0" borderId="2" xfId="21" applyNumberFormat="1" applyFill="1" applyBorder="1"/>
    <xf numFmtId="166" fontId="1" fillId="0" borderId="3" xfId="21" applyNumberFormat="1" applyBorder="1"/>
    <xf numFmtId="166" fontId="1" fillId="0" borderId="0" xfId="21" applyNumberFormat="1" applyBorder="1"/>
    <xf numFmtId="167" fontId="1" fillId="0" borderId="0" xfId="21" applyNumberFormat="1"/>
    <xf numFmtId="0" fontId="1" fillId="0" borderId="0" xfId="23">
      <alignment/>
      <protection/>
    </xf>
    <xf numFmtId="166" fontId="3" fillId="0" borderId="1" xfId="21" applyNumberFormat="1" applyFont="1" applyBorder="1"/>
    <xf numFmtId="166" fontId="1" fillId="0" borderId="0" xfId="21" applyNumberFormat="1" applyFont="1"/>
    <xf numFmtId="0" fontId="1" fillId="0" borderId="0" xfId="23" applyBorder="1">
      <alignment/>
      <protection/>
    </xf>
    <xf numFmtId="166" fontId="1" fillId="0" borderId="4" xfId="21" applyNumberFormat="1" applyFill="1" applyBorder="1" applyAlignment="1">
      <alignment horizontal="right"/>
    </xf>
    <xf numFmtId="166" fontId="1" fillId="0" borderId="5" xfId="21" applyNumberFormat="1" applyFill="1" applyBorder="1"/>
    <xf numFmtId="0" fontId="0" fillId="0" borderId="6" xfId="0" applyBorder="1" applyAlignment="1">
      <alignment horizontal="left" indent="1"/>
    </xf>
    <xf numFmtId="166" fontId="1" fillId="0" borderId="7" xfId="21" applyNumberFormat="1" applyFill="1" applyBorder="1" applyAlignment="1">
      <alignment horizontal="right"/>
    </xf>
    <xf numFmtId="166" fontId="1" fillId="0" borderId="0" xfId="21" applyNumberFormat="1" applyFill="1" applyBorder="1"/>
    <xf numFmtId="0" fontId="0" fillId="0" borderId="8" xfId="0" applyBorder="1" applyAlignment="1">
      <alignment horizontal="left" indent="1"/>
    </xf>
    <xf numFmtId="166" fontId="1" fillId="0" borderId="7" xfId="21" applyNumberFormat="1" applyFont="1" applyFill="1" applyBorder="1" applyAlignment="1">
      <alignment horizontal="right"/>
    </xf>
    <xf numFmtId="168" fontId="0" fillId="0" borderId="8" xfId="0" applyNumberFormat="1" applyBorder="1" applyAlignment="1">
      <alignment horizontal="left" indent="1"/>
    </xf>
    <xf numFmtId="166" fontId="1" fillId="0" borderId="9" xfId="21" applyNumberFormat="1" applyFont="1" applyBorder="1" applyAlignment="1">
      <alignment horizontal="right"/>
    </xf>
    <xf numFmtId="166" fontId="1" fillId="0" borderId="10" xfId="21" applyNumberFormat="1" applyFill="1" applyBorder="1" applyAlignment="1">
      <alignment/>
    </xf>
    <xf numFmtId="166" fontId="1" fillId="0" borderId="0" xfId="21" applyNumberFormat="1" applyAlignment="1">
      <alignment/>
    </xf>
    <xf numFmtId="166" fontId="1" fillId="0" borderId="0" xfId="21" applyNumberFormat="1" applyFill="1" applyBorder="1" applyAlignment="1">
      <alignment horizontal="center"/>
    </xf>
    <xf numFmtId="166" fontId="1" fillId="0" borderId="0" xfId="21" applyNumberFormat="1" applyBorder="1" applyAlignment="1">
      <alignment horizontal="center"/>
    </xf>
    <xf numFmtId="166" fontId="4" fillId="0" borderId="0" xfId="21" applyNumberFormat="1" applyFont="1" applyBorder="1" applyAlignment="1">
      <alignment horizontal="left"/>
    </xf>
    <xf numFmtId="167" fontId="3" fillId="0" borderId="0" xfId="21" applyNumberFormat="1" applyFont="1" applyFill="1"/>
    <xf numFmtId="166" fontId="3" fillId="0" borderId="0" xfId="21" applyNumberFormat="1" applyFont="1" applyFill="1"/>
    <xf numFmtId="166" fontId="1" fillId="0" borderId="0" xfId="21" applyNumberFormat="1" applyFont="1" applyFill="1" applyBorder="1" applyAlignment="1">
      <alignment horizontal="left"/>
    </xf>
    <xf numFmtId="166" fontId="4" fillId="0" borderId="0" xfId="21" applyNumberFormat="1" applyFont="1" applyFill="1" applyBorder="1" applyAlignment="1">
      <alignment horizontal="left"/>
    </xf>
    <xf numFmtId="0" fontId="1" fillId="0" borderId="0" xfId="23" applyFont="1" applyFill="1" applyBorder="1" applyAlignment="1">
      <alignment horizontal="left"/>
      <protection/>
    </xf>
    <xf numFmtId="166" fontId="3" fillId="0" borderId="0" xfId="21" applyNumberFormat="1" applyFont="1" applyFill="1" applyBorder="1"/>
    <xf numFmtId="49" fontId="6" fillId="2" borderId="11" xfId="22" applyNumberFormat="1" applyFont="1" applyFill="1" applyBorder="1" applyAlignment="1">
      <alignment horizontal="center" vertical="center"/>
    </xf>
    <xf numFmtId="49" fontId="6" fillId="3" borderId="12" xfId="22" applyNumberFormat="1" applyFont="1" applyFill="1" applyBorder="1" applyAlignment="1">
      <alignment horizontal="center" vertical="center"/>
    </xf>
    <xf numFmtId="167" fontId="3" fillId="4" borderId="12" xfId="21" applyNumberFormat="1" applyFont="1" applyFill="1" applyBorder="1" applyAlignment="1">
      <alignment horizontal="center" vertical="center"/>
    </xf>
    <xf numFmtId="167" fontId="3" fillId="0" borderId="0" xfId="21" applyNumberFormat="1" applyFont="1" applyFill="1" applyBorder="1" applyAlignment="1">
      <alignment horizontal="center" vertical="center"/>
    </xf>
    <xf numFmtId="49" fontId="2" fillId="2" borderId="11" xfId="22" applyNumberFormat="1" applyFont="1" applyFill="1" applyBorder="1" applyAlignment="1">
      <alignment horizontal="center" vertical="center" wrapText="1"/>
    </xf>
    <xf numFmtId="49" fontId="2" fillId="3" borderId="12" xfId="22"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167" fontId="3" fillId="0" borderId="0" xfId="21" applyNumberFormat="1" applyFont="1" applyFill="1" applyBorder="1" applyAlignment="1">
      <alignment horizontal="center" vertical="center" wrapText="1"/>
    </xf>
    <xf numFmtId="166" fontId="1" fillId="0" borderId="11" xfId="21" applyNumberFormat="1" applyBorder="1"/>
    <xf numFmtId="166" fontId="1" fillId="0" borderId="12" xfId="21" applyNumberFormat="1" applyBorder="1"/>
    <xf numFmtId="166" fontId="8" fillId="5" borderId="12" xfId="22" applyNumberFormat="1" applyFont="1" applyFill="1" applyBorder="1" applyAlignment="1">
      <alignment horizontal="center" vertical="center"/>
    </xf>
    <xf numFmtId="49" fontId="2" fillId="2" borderId="13" xfId="22" applyNumberFormat="1" applyFont="1" applyFill="1" applyBorder="1" applyAlignment="1">
      <alignment horizontal="center" vertical="center" wrapText="1"/>
    </xf>
    <xf numFmtId="49" fontId="2" fillId="3" borderId="14" xfId="22" applyNumberFormat="1" applyFont="1" applyFill="1" applyBorder="1" applyAlignment="1">
      <alignment horizontal="center" vertical="center" wrapText="1"/>
    </xf>
    <xf numFmtId="166" fontId="3" fillId="6" borderId="12" xfId="21" applyNumberFormat="1" applyFont="1" applyFill="1" applyBorder="1"/>
    <xf numFmtId="166" fontId="3" fillId="7" borderId="12" xfId="21" applyNumberFormat="1" applyFont="1" applyFill="1" applyBorder="1" applyAlignment="1">
      <alignment horizontal="center"/>
    </xf>
    <xf numFmtId="166" fontId="3" fillId="7" borderId="11" xfId="21" applyNumberFormat="1" applyFont="1" applyFill="1" applyBorder="1" applyAlignment="1">
      <alignment horizontal="center"/>
    </xf>
    <xf numFmtId="166" fontId="9" fillId="8" borderId="12" xfId="21" applyNumberFormat="1" applyFont="1" applyFill="1" applyBorder="1" applyAlignment="1">
      <alignment wrapText="1"/>
    </xf>
    <xf numFmtId="166" fontId="3" fillId="8" borderId="11" xfId="21" applyNumberFormat="1" applyFont="1" applyFill="1" applyBorder="1" applyAlignment="1">
      <alignment horizontal="center"/>
    </xf>
    <xf numFmtId="166" fontId="3" fillId="8" borderId="12" xfId="21" applyNumberFormat="1" applyFont="1" applyFill="1" applyBorder="1" applyAlignment="1">
      <alignment horizontal="center"/>
    </xf>
    <xf numFmtId="167" fontId="3" fillId="8" borderId="12" xfId="21" applyNumberFormat="1" applyFont="1" applyFill="1" applyBorder="1" applyAlignment="1">
      <alignment horizontal="center"/>
    </xf>
    <xf numFmtId="1" fontId="1" fillId="0" borderId="0" xfId="21" applyNumberFormat="1" applyBorder="1"/>
    <xf numFmtId="166" fontId="2" fillId="6" borderId="12" xfId="21" applyNumberFormat="1" applyFont="1" applyFill="1" applyBorder="1" applyAlignment="1">
      <alignment horizontal="left" vertical="center" wrapText="1"/>
    </xf>
    <xf numFmtId="166" fontId="3" fillId="6" borderId="11" xfId="21" applyNumberFormat="1" applyFont="1" applyFill="1" applyBorder="1"/>
    <xf numFmtId="166" fontId="2" fillId="9" borderId="12" xfId="21" applyNumberFormat="1" applyFont="1" applyFill="1" applyBorder="1" applyAlignment="1">
      <alignment horizontal="left" wrapText="1"/>
    </xf>
    <xf numFmtId="166" fontId="3" fillId="9" borderId="11" xfId="21" applyNumberFormat="1" applyFont="1" applyFill="1" applyBorder="1"/>
    <xf numFmtId="166" fontId="2" fillId="0" borderId="12" xfId="21" applyNumberFormat="1" applyFont="1" applyBorder="1" applyAlignment="1">
      <alignment wrapText="1"/>
    </xf>
    <xf numFmtId="166" fontId="3" fillId="0" borderId="11" xfId="21" applyNumberFormat="1" applyFont="1" applyBorder="1"/>
    <xf numFmtId="166" fontId="3" fillId="0" borderId="12" xfId="21" applyNumberFormat="1" applyFont="1" applyBorder="1"/>
    <xf numFmtId="166" fontId="3" fillId="8" borderId="11" xfId="21" applyNumberFormat="1" applyFont="1" applyFill="1" applyBorder="1"/>
    <xf numFmtId="166" fontId="3" fillId="8" borderId="12" xfId="21" applyNumberFormat="1" applyFont="1" applyFill="1" applyBorder="1"/>
    <xf numFmtId="166" fontId="2" fillId="9" borderId="12" xfId="21" applyNumberFormat="1" applyFont="1" applyFill="1" applyBorder="1" applyAlignment="1">
      <alignment wrapText="1"/>
    </xf>
    <xf numFmtId="1" fontId="1" fillId="0" borderId="0" xfId="23" applyNumberFormat="1" applyBorder="1">
      <alignment/>
      <protection/>
    </xf>
    <xf numFmtId="0" fontId="3" fillId="8" borderId="11" xfId="23" applyFont="1" applyFill="1" applyBorder="1">
      <alignment/>
      <protection/>
    </xf>
    <xf numFmtId="0" fontId="3" fillId="8" borderId="12" xfId="23" applyFont="1" applyFill="1" applyBorder="1">
      <alignment/>
      <protection/>
    </xf>
    <xf numFmtId="0" fontId="1" fillId="0" borderId="11" xfId="23" applyBorder="1">
      <alignment/>
      <protection/>
    </xf>
    <xf numFmtId="0" fontId="1" fillId="0" borderId="12" xfId="23" applyBorder="1">
      <alignment/>
      <protection/>
    </xf>
    <xf numFmtId="0" fontId="2" fillId="6" borderId="12" xfId="21" applyNumberFormat="1" applyFont="1" applyFill="1" applyBorder="1" applyAlignment="1">
      <alignment horizontal="left" wrapText="1"/>
    </xf>
    <xf numFmtId="166" fontId="2" fillId="6" borderId="12" xfId="21" applyNumberFormat="1" applyFont="1" applyFill="1" applyBorder="1" applyAlignment="1">
      <alignment horizontal="left" wrapText="1"/>
    </xf>
    <xf numFmtId="0" fontId="2" fillId="9" borderId="12" xfId="21" applyNumberFormat="1" applyFont="1" applyFill="1" applyBorder="1" applyAlignment="1">
      <alignment horizontal="left" wrapText="1"/>
    </xf>
    <xf numFmtId="166" fontId="1" fillId="0" borderId="0" xfId="21" applyNumberFormat="1" applyFill="1"/>
    <xf numFmtId="0" fontId="1" fillId="0" borderId="0" xfId="23" applyFont="1">
      <alignment/>
      <protection/>
    </xf>
    <xf numFmtId="166" fontId="13" fillId="0" borderId="0" xfId="21" applyNumberFormat="1" applyFont="1"/>
    <xf numFmtId="167" fontId="13" fillId="0" borderId="0" xfId="21" applyNumberFormat="1" applyFont="1"/>
    <xf numFmtId="166" fontId="13" fillId="0" borderId="0" xfId="21" applyNumberFormat="1" applyFont="1" applyFill="1"/>
    <xf numFmtId="0" fontId="3" fillId="0" borderId="4" xfId="0" applyFont="1" applyBorder="1"/>
    <xf numFmtId="0" fontId="0" fillId="0" borderId="5" xfId="0" applyBorder="1"/>
    <xf numFmtId="0" fontId="0" fillId="0" borderId="6" xfId="0" applyBorder="1"/>
    <xf numFmtId="0" fontId="1"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168" fontId="0" fillId="0" borderId="0" xfId="0" applyNumberFormat="1" applyBorder="1" applyAlignment="1">
      <alignment horizontal="left" indent="1"/>
    </xf>
    <xf numFmtId="0" fontId="1" fillId="0" borderId="9" xfId="0" applyFont="1" applyBorder="1" applyAlignment="1">
      <alignment horizontal="center"/>
    </xf>
    <xf numFmtId="0" fontId="0" fillId="0" borderId="10"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166" fontId="1" fillId="0" borderId="0" xfId="20" applyNumberFormat="1" applyFont="1" applyBorder="1"/>
    <xf numFmtId="170" fontId="1" fillId="0" borderId="7" xfId="0" applyNumberFormat="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7" xfId="0" applyFont="1" applyBorder="1" applyAlignment="1">
      <alignment horizontal="left"/>
    </xf>
    <xf numFmtId="0" fontId="14" fillId="0" borderId="0" xfId="0" applyFont="1" applyBorder="1" applyAlignment="1">
      <alignment/>
    </xf>
    <xf numFmtId="0" fontId="14" fillId="0" borderId="0" xfId="0" applyFont="1" applyBorder="1"/>
    <xf numFmtId="0" fontId="14" fillId="0" borderId="8" xfId="0" applyFont="1" applyBorder="1"/>
    <xf numFmtId="166" fontId="3" fillId="0" borderId="0" xfId="20" applyNumberFormat="1" applyFont="1" applyBorder="1"/>
    <xf numFmtId="0" fontId="3" fillId="0" borderId="0" xfId="0" applyFont="1"/>
    <xf numFmtId="0" fontId="14" fillId="0" borderId="9" xfId="0" applyFont="1" applyBorder="1" applyAlignment="1">
      <alignment/>
    </xf>
    <xf numFmtId="0" fontId="0" fillId="0" borderId="10" xfId="0" applyBorder="1"/>
    <xf numFmtId="0" fontId="0" fillId="0" borderId="15" xfId="0" applyBorder="1"/>
    <xf numFmtId="0" fontId="15" fillId="0" borderId="1" xfId="0" applyFont="1" applyFill="1" applyBorder="1"/>
    <xf numFmtId="0" fontId="15" fillId="5" borderId="16" xfId="0" applyFont="1" applyFill="1" applyBorder="1" applyAlignment="1">
      <alignment horizont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17" xfId="0" applyFont="1" applyFill="1" applyBorder="1"/>
    <xf numFmtId="0" fontId="15" fillId="0" borderId="14" xfId="0" applyFont="1" applyFill="1" applyBorder="1" applyAlignment="1">
      <alignment horizontal="left"/>
    </xf>
    <xf numFmtId="0" fontId="16" fillId="0" borderId="18" xfId="0" applyFont="1" applyFill="1" applyBorder="1" applyAlignment="1">
      <alignment horizontal="center" wrapText="1"/>
    </xf>
    <xf numFmtId="0" fontId="15" fillId="0" borderId="0"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21" xfId="0" applyFont="1" applyFill="1" applyBorder="1"/>
    <xf numFmtId="0" fontId="15" fillId="0" borderId="12" xfId="0" applyFont="1" applyFill="1" applyBorder="1" applyAlignment="1">
      <alignment horizontal="center"/>
    </xf>
    <xf numFmtId="0" fontId="15" fillId="0" borderId="22"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18" fillId="0" borderId="4" xfId="24" applyFont="1" applyBorder="1">
      <alignment/>
      <protection/>
    </xf>
    <xf numFmtId="0" fontId="1" fillId="0" borderId="6" xfId="24" applyBorder="1" applyAlignment="1">
      <alignment horizontal="center"/>
      <protection/>
    </xf>
    <xf numFmtId="0" fontId="1" fillId="0" borderId="0" xfId="24">
      <alignment/>
      <protection/>
    </xf>
    <xf numFmtId="0" fontId="19" fillId="0" borderId="7" xfId="24" applyFont="1" applyBorder="1">
      <alignment/>
      <protection/>
    </xf>
    <xf numFmtId="0" fontId="1" fillId="0" borderId="8" xfId="24" applyBorder="1" applyAlignment="1">
      <alignment horizontal="center"/>
      <protection/>
    </xf>
    <xf numFmtId="0" fontId="3" fillId="0" borderId="14" xfId="24" applyFont="1" applyBorder="1">
      <alignment/>
      <protection/>
    </xf>
    <xf numFmtId="0" fontId="1" fillId="0" borderId="14" xfId="24" applyFont="1" applyBorder="1" applyAlignment="1">
      <alignment horizontal="left"/>
      <protection/>
    </xf>
    <xf numFmtId="0" fontId="3" fillId="0" borderId="12" xfId="24" applyFont="1" applyBorder="1">
      <alignment/>
      <protection/>
    </xf>
    <xf numFmtId="0" fontId="1" fillId="0" borderId="12" xfId="23" applyFont="1" applyFill="1" applyBorder="1" applyAlignment="1">
      <alignment horizontal="left" wrapText="1"/>
      <protection/>
    </xf>
    <xf numFmtId="0" fontId="1" fillId="0" borderId="0" xfId="23" applyFont="1" applyFill="1" applyBorder="1" applyAlignment="1">
      <alignment wrapText="1"/>
      <protection/>
    </xf>
    <xf numFmtId="0" fontId="3" fillId="0" borderId="12" xfId="23" applyFont="1" applyFill="1" applyBorder="1" applyAlignment="1">
      <alignment/>
      <protection/>
    </xf>
    <xf numFmtId="0" fontId="1" fillId="0" borderId="12" xfId="24" applyFont="1" applyBorder="1" applyAlignment="1">
      <alignment horizontal="left"/>
      <protection/>
    </xf>
    <xf numFmtId="0" fontId="3" fillId="0" borderId="12" xfId="23" applyFont="1" applyFill="1" applyBorder="1" applyAlignment="1">
      <alignment wrapText="1"/>
      <protection/>
    </xf>
    <xf numFmtId="0" fontId="1" fillId="0" borderId="12" xfId="24" applyFont="1" applyBorder="1" applyAlignment="1">
      <alignment horizontal="left" wrapText="1"/>
      <protection/>
    </xf>
    <xf numFmtId="168" fontId="1" fillId="0" borderId="12" xfId="24" applyNumberFormat="1" applyFont="1" applyBorder="1" applyAlignment="1">
      <alignment horizontal="left"/>
      <protection/>
    </xf>
    <xf numFmtId="0" fontId="3" fillId="0" borderId="12" xfId="24" applyFont="1" applyFill="1" applyBorder="1">
      <alignment/>
      <protection/>
    </xf>
    <xf numFmtId="0" fontId="3" fillId="0" borderId="12" xfId="24" applyFont="1" applyBorder="1" applyAlignment="1">
      <alignment wrapText="1"/>
      <protection/>
    </xf>
    <xf numFmtId="171" fontId="1" fillId="0" borderId="12" xfId="25" applyNumberFormat="1" applyFont="1" applyFill="1" applyBorder="1" applyAlignment="1">
      <alignment horizontal="center"/>
    </xf>
    <xf numFmtId="171" fontId="1" fillId="10" borderId="12" xfId="25" applyNumberFormat="1" applyFont="1" applyFill="1" applyBorder="1" applyAlignment="1">
      <alignment horizontal="center"/>
    </xf>
    <xf numFmtId="171" fontId="1" fillId="0" borderId="12" xfId="25" applyNumberFormat="1" applyFont="1" applyFill="1" applyBorder="1" applyAlignment="1">
      <alignment/>
    </xf>
    <xf numFmtId="0" fontId="16" fillId="11" borderId="12" xfId="24" applyFont="1" applyFill="1" applyBorder="1" applyAlignment="1">
      <alignment horizontal="center" vertical="center" wrapText="1"/>
      <protection/>
    </xf>
    <xf numFmtId="0" fontId="1" fillId="0" borderId="23" xfId="24" applyFont="1" applyBorder="1">
      <alignment/>
      <protection/>
    </xf>
    <xf numFmtId="0" fontId="1" fillId="0" borderId="24" xfId="24" applyFont="1" applyBorder="1" applyAlignment="1">
      <alignment horizontal="center"/>
      <protection/>
    </xf>
    <xf numFmtId="0" fontId="3" fillId="0" borderId="25" xfId="24" applyFont="1" applyBorder="1">
      <alignment/>
      <protection/>
    </xf>
    <xf numFmtId="0" fontId="1" fillId="0" borderId="26" xfId="24" applyFont="1" applyBorder="1" applyAlignment="1">
      <alignment horizontal="center"/>
      <protection/>
    </xf>
    <xf numFmtId="0" fontId="3" fillId="0" borderId="27" xfId="24" applyFont="1" applyBorder="1">
      <alignment/>
      <protection/>
    </xf>
    <xf numFmtId="0" fontId="1" fillId="0" borderId="13" xfId="24" applyFont="1" applyBorder="1" applyAlignment="1">
      <alignment horizontal="center"/>
      <protection/>
    </xf>
    <xf numFmtId="0" fontId="3" fillId="0" borderId="28" xfId="24" applyFont="1" applyBorder="1">
      <alignment/>
      <protection/>
    </xf>
    <xf numFmtId="0" fontId="1" fillId="0" borderId="27" xfId="24" applyFont="1" applyBorder="1">
      <alignment/>
      <protection/>
    </xf>
    <xf numFmtId="0" fontId="1" fillId="0" borderId="0" xfId="24" applyFont="1">
      <alignment/>
      <protection/>
    </xf>
    <xf numFmtId="0" fontId="1" fillId="0" borderId="0" xfId="24" applyFont="1" applyAlignment="1">
      <alignment horizontal="center"/>
      <protection/>
    </xf>
    <xf numFmtId="0" fontId="1" fillId="0" borderId="0" xfId="24" applyFill="1" applyBorder="1">
      <alignment/>
      <protection/>
    </xf>
    <xf numFmtId="0" fontId="1" fillId="0" borderId="0" xfId="24" applyFill="1" applyBorder="1" applyAlignment="1">
      <alignment horizontal="center"/>
      <protection/>
    </xf>
    <xf numFmtId="0" fontId="1" fillId="0" borderId="0" xfId="24" applyAlignment="1">
      <alignment horizontal="center"/>
      <protection/>
    </xf>
    <xf numFmtId="0" fontId="0" fillId="0" borderId="18" xfId="0" applyBorder="1" applyAlignment="1">
      <alignment horizontal="left" indent="1"/>
    </xf>
    <xf numFmtId="168" fontId="0" fillId="0" borderId="18" xfId="0" applyNumberFormat="1" applyBorder="1" applyAlignment="1">
      <alignment horizontal="left" indent="1"/>
    </xf>
    <xf numFmtId="0" fontId="1" fillId="0" borderId="7" xfId="0" applyFont="1" applyBorder="1" applyAlignment="1">
      <alignment/>
    </xf>
    <xf numFmtId="0" fontId="3" fillId="6" borderId="7" xfId="0" applyFont="1" applyFill="1" applyBorder="1"/>
    <xf numFmtId="0" fontId="14" fillId="0" borderId="4" xfId="0" applyFont="1" applyFill="1" applyBorder="1"/>
    <xf numFmtId="0" fontId="1" fillId="0" borderId="29" xfId="0" applyFont="1" applyFill="1" applyBorder="1"/>
    <xf numFmtId="0" fontId="3" fillId="6" borderId="17" xfId="0" applyFont="1" applyFill="1" applyBorder="1" applyAlignment="1">
      <alignment wrapText="1"/>
    </xf>
    <xf numFmtId="0" fontId="3" fillId="6" borderId="21" xfId="0" applyFont="1" applyFill="1" applyBorder="1" applyAlignment="1">
      <alignment horizontal="left" wrapText="1"/>
    </xf>
    <xf numFmtId="0" fontId="3" fillId="0" borderId="30" xfId="0" applyFont="1" applyFill="1" applyBorder="1" applyAlignment="1">
      <alignment horizontal="center"/>
    </xf>
    <xf numFmtId="4" fontId="3" fillId="6" borderId="12" xfId="0" applyNumberFormat="1" applyFont="1" applyFill="1" applyBorder="1"/>
    <xf numFmtId="165" fontId="3" fillId="6" borderId="12" xfId="0" applyNumberFormat="1" applyFont="1" applyFill="1" applyBorder="1"/>
    <xf numFmtId="4" fontId="3" fillId="6" borderId="22" xfId="0" applyNumberFormat="1" applyFont="1" applyFill="1" applyBorder="1"/>
    <xf numFmtId="4" fontId="1" fillId="11" borderId="12" xfId="0" applyNumberFormat="1" applyFont="1" applyFill="1" applyBorder="1"/>
    <xf numFmtId="4" fontId="1" fillId="11" borderId="22" xfId="0" applyNumberFormat="1" applyFont="1" applyFill="1" applyBorder="1"/>
    <xf numFmtId="4" fontId="3" fillId="11" borderId="22" xfId="0" applyNumberFormat="1" applyFont="1" applyFill="1" applyBorder="1"/>
    <xf numFmtId="0" fontId="3" fillId="12" borderId="31" xfId="0" applyFont="1" applyFill="1" applyBorder="1" applyAlignment="1">
      <alignment horizontal="center"/>
    </xf>
    <xf numFmtId="4" fontId="1" fillId="11" borderId="32" xfId="0" applyNumberFormat="1" applyFont="1" applyFill="1" applyBorder="1"/>
    <xf numFmtId="4" fontId="1" fillId="11" borderId="33" xfId="0" applyNumberFormat="1" applyFont="1" applyFill="1" applyBorder="1"/>
    <xf numFmtId="4" fontId="3" fillId="4" borderId="34" xfId="0" applyNumberFormat="1" applyFont="1" applyFill="1" applyBorder="1"/>
    <xf numFmtId="165" fontId="1" fillId="11" borderId="12" xfId="0" applyNumberFormat="1" applyFont="1" applyFill="1" applyBorder="1"/>
    <xf numFmtId="0" fontId="1" fillId="11" borderId="21" xfId="0" applyFont="1" applyFill="1" applyBorder="1" applyAlignment="1">
      <alignment horizontal="left" vertical="top" wrapText="1"/>
    </xf>
    <xf numFmtId="0" fontId="3" fillId="11" borderId="21" xfId="0" applyFont="1" applyFill="1" applyBorder="1" applyAlignment="1">
      <alignment vertical="top" wrapText="1"/>
    </xf>
    <xf numFmtId="0" fontId="3" fillId="6" borderId="21" xfId="0" applyFont="1" applyFill="1" applyBorder="1" applyAlignment="1">
      <alignment vertical="top" wrapText="1"/>
    </xf>
    <xf numFmtId="0" fontId="3" fillId="6" borderId="21" xfId="0" applyFont="1" applyFill="1" applyBorder="1" applyAlignment="1">
      <alignment horizontal="left" vertical="top" wrapText="1"/>
    </xf>
    <xf numFmtId="0" fontId="3" fillId="11" borderId="35" xfId="0" applyFont="1" applyFill="1" applyBorder="1" applyAlignment="1">
      <alignment vertical="top" wrapText="1"/>
    </xf>
    <xf numFmtId="0" fontId="3" fillId="4" borderId="36" xfId="0" applyFont="1" applyFill="1" applyBorder="1" applyAlignment="1">
      <alignment wrapText="1"/>
    </xf>
    <xf numFmtId="0" fontId="1" fillId="11" borderId="21" xfId="0" applyFont="1" applyFill="1" applyBorder="1" applyAlignment="1">
      <alignment horizontal="left" wrapText="1"/>
    </xf>
    <xf numFmtId="0" fontId="0" fillId="0" borderId="37" xfId="0" applyBorder="1" applyAlignment="1">
      <alignment horizontal="left" indent="1"/>
    </xf>
    <xf numFmtId="168" fontId="0" fillId="0" borderId="37" xfId="0" applyNumberFormat="1" applyBorder="1" applyAlignment="1">
      <alignment horizontal="left" indent="1"/>
    </xf>
    <xf numFmtId="165" fontId="3" fillId="6" borderId="14" xfId="0" applyNumberFormat="1" applyFont="1" applyFill="1" applyBorder="1"/>
    <xf numFmtId="165" fontId="1" fillId="9" borderId="12" xfId="0" applyNumberFormat="1" applyFont="1" applyFill="1" applyBorder="1"/>
    <xf numFmtId="165" fontId="1" fillId="11" borderId="10" xfId="0" applyNumberFormat="1" applyFont="1" applyFill="1" applyBorder="1"/>
    <xf numFmtId="165" fontId="3" fillId="5" borderId="32" xfId="0" applyNumberFormat="1" applyFont="1" applyFill="1" applyBorder="1" applyAlignment="1">
      <alignment/>
    </xf>
    <xf numFmtId="165" fontId="3" fillId="6" borderId="20" xfId="0" applyNumberFormat="1" applyFont="1" applyFill="1" applyBorder="1"/>
    <xf numFmtId="165" fontId="1" fillId="11" borderId="22" xfId="0" applyNumberFormat="1" applyFont="1" applyFill="1" applyBorder="1"/>
    <xf numFmtId="165" fontId="3" fillId="6" borderId="22" xfId="0" applyNumberFormat="1" applyFont="1" applyFill="1" applyBorder="1"/>
    <xf numFmtId="165" fontId="3" fillId="11" borderId="22" xfId="0" applyNumberFormat="1" applyFont="1" applyFill="1" applyBorder="1"/>
    <xf numFmtId="165" fontId="1" fillId="11" borderId="15" xfId="0" applyNumberFormat="1" applyFont="1" applyFill="1" applyBorder="1"/>
    <xf numFmtId="165" fontId="3" fillId="5" borderId="33" xfId="0" applyNumberFormat="1" applyFont="1" applyFill="1" applyBorder="1" applyAlignment="1">
      <alignment/>
    </xf>
    <xf numFmtId="166" fontId="2" fillId="13" borderId="12" xfId="20" applyNumberFormat="1" applyFont="1" applyFill="1" applyBorder="1" applyAlignment="1">
      <alignment horizontal="center"/>
    </xf>
    <xf numFmtId="49" fontId="1" fillId="0" borderId="15" xfId="21" applyNumberFormat="1" applyFont="1" applyBorder="1" applyAlignment="1">
      <alignment horizontal="center"/>
    </xf>
    <xf numFmtId="0" fontId="1" fillId="0" borderId="15" xfId="21" applyNumberFormat="1" applyFont="1" applyBorder="1" applyAlignment="1">
      <alignment horizontal="center"/>
    </xf>
    <xf numFmtId="166" fontId="1" fillId="0" borderId="0" xfId="21" applyNumberFormat="1" applyAlignment="1">
      <alignment vertical="top"/>
    </xf>
    <xf numFmtId="166" fontId="1" fillId="0" borderId="0" xfId="21" applyNumberFormat="1" applyFont="1" applyAlignment="1">
      <alignment vertical="top"/>
    </xf>
    <xf numFmtId="0" fontId="1" fillId="0" borderId="0" xfId="23" applyAlignment="1">
      <alignment vertical="top"/>
      <protection/>
    </xf>
    <xf numFmtId="167" fontId="3" fillId="4" borderId="12" xfId="21" applyNumberFormat="1" applyFont="1" applyFill="1" applyBorder="1" applyAlignment="1">
      <alignment horizontal="center" vertical="top"/>
    </xf>
    <xf numFmtId="166" fontId="2" fillId="13" borderId="12" xfId="20" applyNumberFormat="1" applyFont="1" applyFill="1" applyBorder="1" applyAlignment="1">
      <alignment horizontal="center" vertical="top"/>
    </xf>
    <xf numFmtId="166" fontId="3" fillId="8" borderId="12" xfId="21" applyNumberFormat="1" applyFont="1" applyFill="1" applyBorder="1" applyAlignment="1">
      <alignment horizontal="center" vertical="top"/>
    </xf>
    <xf numFmtId="49" fontId="3" fillId="5" borderId="12" xfId="0" applyNumberFormat="1" applyFont="1" applyFill="1" applyBorder="1" applyAlignment="1">
      <alignment horizontal="center" vertical="center" wrapText="1"/>
    </xf>
    <xf numFmtId="165" fontId="3" fillId="6" borderId="11" xfId="21" applyNumberFormat="1" applyFont="1" applyFill="1" applyBorder="1"/>
    <xf numFmtId="165" fontId="3" fillId="9" borderId="11" xfId="21" applyNumberFormat="1" applyFont="1" applyFill="1" applyBorder="1"/>
    <xf numFmtId="165" fontId="3" fillId="6" borderId="12" xfId="21" applyNumberFormat="1" applyFont="1" applyFill="1" applyBorder="1" applyAlignment="1">
      <alignment vertical="top"/>
    </xf>
    <xf numFmtId="165" fontId="3" fillId="9" borderId="12" xfId="21" applyNumberFormat="1" applyFont="1" applyFill="1" applyBorder="1" applyAlignment="1">
      <alignment vertical="top"/>
    </xf>
    <xf numFmtId="166" fontId="21" fillId="14" borderId="12" xfId="21" applyNumberFormat="1" applyFont="1" applyFill="1" applyBorder="1" applyAlignment="1">
      <alignment horizontal="left" vertical="center" wrapText="1"/>
    </xf>
    <xf numFmtId="165" fontId="1" fillId="14" borderId="11" xfId="21" applyNumberFormat="1" applyFont="1" applyFill="1" applyBorder="1"/>
    <xf numFmtId="165" fontId="1" fillId="14" borderId="12" xfId="21" applyNumberFormat="1" applyFont="1" applyFill="1" applyBorder="1"/>
    <xf numFmtId="165" fontId="1" fillId="14" borderId="12" xfId="21" applyNumberFormat="1" applyFont="1" applyFill="1" applyBorder="1" applyAlignment="1">
      <alignment vertical="top"/>
    </xf>
    <xf numFmtId="1" fontId="1" fillId="0" borderId="0" xfId="21" applyNumberFormat="1" applyFont="1" applyBorder="1"/>
    <xf numFmtId="166" fontId="1" fillId="0" borderId="0" xfId="21" applyNumberFormat="1" applyFont="1" applyBorder="1"/>
    <xf numFmtId="166" fontId="1" fillId="0" borderId="11" xfId="21" applyNumberFormat="1" applyFont="1" applyBorder="1"/>
    <xf numFmtId="166" fontId="1" fillId="0" borderId="12" xfId="21" applyNumberFormat="1" applyFont="1" applyBorder="1"/>
    <xf numFmtId="166" fontId="1" fillId="14" borderId="11" xfId="21" applyNumberFormat="1" applyFont="1" applyFill="1" applyBorder="1"/>
    <xf numFmtId="166" fontId="1" fillId="14" borderId="12" xfId="21" applyNumberFormat="1" applyFont="1" applyFill="1" applyBorder="1"/>
    <xf numFmtId="1" fontId="1" fillId="0" borderId="0" xfId="23" applyNumberFormat="1" applyFont="1" applyBorder="1">
      <alignment/>
      <protection/>
    </xf>
    <xf numFmtId="0" fontId="21" fillId="14" borderId="12" xfId="21" applyNumberFormat="1" applyFont="1" applyFill="1" applyBorder="1" applyAlignment="1">
      <alignment horizontal="left" wrapText="1"/>
    </xf>
    <xf numFmtId="0" fontId="1" fillId="0" borderId="0" xfId="23" applyFont="1" applyBorder="1">
      <alignment/>
      <protection/>
    </xf>
    <xf numFmtId="0" fontId="1" fillId="0" borderId="11" xfId="23" applyFont="1" applyBorder="1">
      <alignment/>
      <protection/>
    </xf>
    <xf numFmtId="0" fontId="1" fillId="0" borderId="12" xfId="23" applyFont="1" applyBorder="1">
      <alignment/>
      <protection/>
    </xf>
    <xf numFmtId="166" fontId="21" fillId="14" borderId="12" xfId="21" applyNumberFormat="1" applyFont="1" applyFill="1" applyBorder="1" applyAlignment="1">
      <alignment horizontal="left" wrapText="1"/>
    </xf>
    <xf numFmtId="165" fontId="3" fillId="0" borderId="12" xfId="21" applyNumberFormat="1" applyFont="1" applyBorder="1"/>
    <xf numFmtId="165" fontId="3" fillId="8" borderId="12" xfId="21" applyNumberFormat="1" applyFont="1" applyFill="1" applyBorder="1"/>
    <xf numFmtId="165" fontId="3" fillId="0" borderId="12" xfId="21" applyNumberFormat="1" applyFont="1" applyFill="1" applyBorder="1"/>
    <xf numFmtId="165" fontId="3" fillId="6" borderId="12" xfId="21" applyNumberFormat="1" applyFont="1" applyFill="1" applyBorder="1"/>
    <xf numFmtId="0" fontId="0" fillId="0" borderId="38" xfId="0" applyBorder="1"/>
    <xf numFmtId="0" fontId="0" fillId="0" borderId="37" xfId="0" applyBorder="1"/>
    <xf numFmtId="0" fontId="0" fillId="0" borderId="11" xfId="0" applyBorder="1"/>
    <xf numFmtId="0" fontId="10" fillId="0" borderId="0" xfId="23" applyFont="1" applyBorder="1" applyAlignment="1">
      <alignment horizontal="center" vertical="center"/>
      <protection/>
    </xf>
    <xf numFmtId="166" fontId="12" fillId="13" borderId="39" xfId="21" applyNumberFormat="1" applyFont="1" applyFill="1" applyBorder="1" applyAlignment="1">
      <alignment horizontal="center" vertical="center"/>
    </xf>
    <xf numFmtId="165" fontId="12" fillId="13" borderId="39" xfId="21" applyNumberFormat="1" applyFont="1" applyFill="1" applyBorder="1" applyAlignment="1">
      <alignment horizontal="center" vertical="center"/>
    </xf>
    <xf numFmtId="0" fontId="10" fillId="0" borderId="11" xfId="23" applyFont="1" applyBorder="1" applyAlignment="1">
      <alignment horizontal="center" vertical="center"/>
      <protection/>
    </xf>
    <xf numFmtId="0" fontId="10" fillId="0" borderId="12" xfId="23" applyFont="1" applyBorder="1" applyAlignment="1">
      <alignment horizontal="center" vertical="center"/>
      <protection/>
    </xf>
    <xf numFmtId="0" fontId="11" fillId="13" borderId="12" xfId="21" applyNumberFormat="1" applyFont="1" applyFill="1" applyBorder="1" applyAlignment="1">
      <alignment horizontal="left" vertical="center" wrapText="1"/>
    </xf>
    <xf numFmtId="0" fontId="1" fillId="0" borderId="0" xfId="24" applyFill="1">
      <alignment/>
      <protection/>
    </xf>
    <xf numFmtId="166" fontId="3" fillId="4" borderId="37" xfId="21" applyNumberFormat="1" applyFont="1" applyFill="1" applyBorder="1" applyAlignment="1">
      <alignment horizontal="center" vertical="center"/>
    </xf>
    <xf numFmtId="0" fontId="3" fillId="5" borderId="12" xfId="23" applyFont="1" applyFill="1" applyBorder="1" applyAlignment="1">
      <alignment horizontal="center" vertical="center" wrapText="1"/>
      <protection/>
    </xf>
    <xf numFmtId="169" fontId="0" fillId="0" borderId="0" xfId="0" applyNumberFormat="1"/>
    <xf numFmtId="9" fontId="0" fillId="0" borderId="0" xfId="0" applyNumberFormat="1"/>
    <xf numFmtId="172" fontId="0" fillId="0" borderId="0" xfId="0" applyNumberFormat="1"/>
    <xf numFmtId="171" fontId="0" fillId="0" borderId="0" xfId="31" applyNumberFormat="1" applyFont="1"/>
    <xf numFmtId="171" fontId="0" fillId="0" borderId="0" xfId="0" applyNumberFormat="1"/>
    <xf numFmtId="0" fontId="0" fillId="15" borderId="0" xfId="0" applyFill="1"/>
    <xf numFmtId="0" fontId="0" fillId="16" borderId="0" xfId="0" applyFill="1"/>
    <xf numFmtId="10" fontId="0" fillId="0" borderId="0" xfId="0" applyNumberFormat="1"/>
    <xf numFmtId="0" fontId="22" fillId="4" borderId="0" xfId="0" applyFont="1" applyFill="1"/>
    <xf numFmtId="0" fontId="0" fillId="4" borderId="0" xfId="0" applyFill="1"/>
    <xf numFmtId="169" fontId="22" fillId="4" borderId="0" xfId="0" applyNumberFormat="1" applyFont="1" applyFill="1"/>
    <xf numFmtId="171" fontId="0" fillId="4" borderId="0" xfId="0" applyNumberFormat="1" applyFill="1"/>
    <xf numFmtId="165" fontId="1" fillId="0" borderId="0" xfId="23" applyNumberFormat="1" applyAlignment="1">
      <alignment horizontal="center" vertical="center"/>
      <protection/>
    </xf>
    <xf numFmtId="4" fontId="0" fillId="0" borderId="0" xfId="0" applyNumberFormat="1"/>
    <xf numFmtId="171" fontId="24" fillId="17" borderId="0" xfId="31" applyNumberFormat="1" applyFont="1" applyFill="1"/>
    <xf numFmtId="171" fontId="0" fillId="0" borderId="0" xfId="0" applyNumberFormat="1" applyFill="1"/>
    <xf numFmtId="0" fontId="0" fillId="18" borderId="0" xfId="0" applyFill="1"/>
    <xf numFmtId="165" fontId="3" fillId="0" borderId="0" xfId="0" applyNumberFormat="1" applyFont="1"/>
    <xf numFmtId="171" fontId="24" fillId="17" borderId="0" xfId="0" applyNumberFormat="1" applyFont="1" applyFill="1"/>
    <xf numFmtId="0" fontId="0" fillId="0" borderId="0" xfId="0" applyFill="1"/>
    <xf numFmtId="0" fontId="24" fillId="0" borderId="0" xfId="0" applyFont="1" applyFill="1"/>
    <xf numFmtId="165" fontId="24" fillId="0" borderId="0" xfId="20" applyFont="1" applyFill="1"/>
    <xf numFmtId="165" fontId="24" fillId="0" borderId="0" xfId="0" applyNumberFormat="1" applyFont="1" applyFill="1"/>
    <xf numFmtId="171" fontId="22" fillId="4" borderId="0" xfId="0" applyNumberFormat="1" applyFont="1" applyFill="1"/>
    <xf numFmtId="165" fontId="0" fillId="0" borderId="0" xfId="0" applyNumberFormat="1"/>
    <xf numFmtId="43" fontId="0" fillId="0" borderId="0" xfId="0" applyNumberFormat="1"/>
    <xf numFmtId="171" fontId="22" fillId="0" borderId="0" xfId="0" applyNumberFormat="1" applyFont="1" applyFill="1"/>
    <xf numFmtId="0" fontId="22" fillId="0" borderId="0" xfId="0" applyFont="1" applyFill="1"/>
    <xf numFmtId="0" fontId="24" fillId="19" borderId="0" xfId="0" applyFont="1" applyFill="1"/>
    <xf numFmtId="171" fontId="22" fillId="0" borderId="0" xfId="31" applyNumberFormat="1" applyFont="1" applyFill="1"/>
    <xf numFmtId="171" fontId="22" fillId="0" borderId="0" xfId="31" applyNumberFormat="1" applyFont="1"/>
    <xf numFmtId="0" fontId="3" fillId="5" borderId="12" xfId="23" applyFont="1" applyFill="1" applyBorder="1" applyAlignment="1">
      <alignment horizontal="center" vertical="center" wrapText="1"/>
      <protection/>
    </xf>
    <xf numFmtId="4" fontId="1" fillId="0" borderId="0" xfId="21" applyNumberFormat="1" applyBorder="1"/>
    <xf numFmtId="4" fontId="2" fillId="6" borderId="12" xfId="0" applyNumberFormat="1" applyFont="1" applyFill="1" applyBorder="1" applyAlignment="1">
      <alignment horizontal="center" vertical="center" wrapText="1"/>
    </xf>
    <xf numFmtId="4" fontId="3" fillId="7" borderId="12" xfId="21" applyNumberFormat="1" applyFont="1" applyFill="1" applyBorder="1" applyAlignment="1">
      <alignment horizontal="center"/>
    </xf>
    <xf numFmtId="4" fontId="3" fillId="8" borderId="12" xfId="21" applyNumberFormat="1" applyFont="1" applyFill="1" applyBorder="1" applyAlignment="1">
      <alignment horizontal="center"/>
    </xf>
    <xf numFmtId="4" fontId="1" fillId="0" borderId="0" xfId="21" applyNumberFormat="1"/>
    <xf numFmtId="4" fontId="3" fillId="0" borderId="0" xfId="21" applyNumberFormat="1" applyFont="1" applyFill="1" applyBorder="1"/>
    <xf numFmtId="4" fontId="3" fillId="20" borderId="12" xfId="23" applyNumberFormat="1" applyFont="1" applyFill="1" applyBorder="1" applyAlignment="1">
      <alignment horizontal="center" vertical="center" wrapText="1"/>
      <protection/>
    </xf>
    <xf numFmtId="4" fontId="2" fillId="13" borderId="12" xfId="20" applyNumberFormat="1" applyFont="1" applyFill="1" applyBorder="1" applyAlignment="1">
      <alignment horizontal="center"/>
    </xf>
    <xf numFmtId="165" fontId="1" fillId="0" borderId="0" xfId="21" applyNumberFormat="1" applyBorder="1"/>
    <xf numFmtId="165" fontId="1" fillId="0" borderId="0" xfId="21" applyNumberFormat="1" applyFont="1" applyBorder="1" applyAlignment="1">
      <alignment horizontal="center"/>
    </xf>
    <xf numFmtId="165" fontId="1" fillId="0" borderId="0" xfId="21" applyNumberFormat="1" applyBorder="1" applyAlignment="1">
      <alignment horizontal="center"/>
    </xf>
    <xf numFmtId="165" fontId="4" fillId="0" borderId="0" xfId="21" applyNumberFormat="1" applyFont="1" applyBorder="1" applyAlignment="1">
      <alignment horizontal="left"/>
    </xf>
    <xf numFmtId="165" fontId="4" fillId="0" borderId="0" xfId="21" applyNumberFormat="1" applyFont="1" applyFill="1" applyBorder="1" applyAlignment="1">
      <alignment horizontal="left"/>
    </xf>
    <xf numFmtId="165" fontId="2" fillId="13" borderId="12" xfId="20" applyNumberFormat="1" applyFont="1" applyFill="1" applyBorder="1" applyAlignment="1">
      <alignment horizontal="center"/>
    </xf>
    <xf numFmtId="165" fontId="3" fillId="7" borderId="12" xfId="21" applyNumberFormat="1" applyFont="1" applyFill="1" applyBorder="1" applyAlignment="1">
      <alignment horizontal="center"/>
    </xf>
    <xf numFmtId="165" fontId="3" fillId="8" borderId="12" xfId="21" applyNumberFormat="1" applyFont="1" applyFill="1" applyBorder="1" applyAlignment="1">
      <alignment horizontal="center"/>
    </xf>
    <xf numFmtId="165" fontId="3" fillId="8" borderId="12" xfId="23" applyNumberFormat="1" applyFont="1" applyFill="1" applyBorder="1">
      <alignment/>
      <protection/>
    </xf>
    <xf numFmtId="165" fontId="1" fillId="0" borderId="0" xfId="21" applyNumberFormat="1"/>
    <xf numFmtId="14" fontId="2" fillId="6" borderId="12" xfId="0" applyNumberFormat="1" applyFont="1" applyFill="1" applyBorder="1" applyAlignment="1">
      <alignment horizontal="center" vertical="center" wrapText="1"/>
    </xf>
    <xf numFmtId="165" fontId="3" fillId="0" borderId="12" xfId="21" applyNumberFormat="1" applyFont="1" applyFill="1" applyBorder="1" applyAlignment="1">
      <alignment vertical="top"/>
    </xf>
    <xf numFmtId="165" fontId="3" fillId="8" borderId="12" xfId="21" applyNumberFormat="1" applyFont="1" applyFill="1" applyBorder="1" applyAlignment="1">
      <alignment vertical="top"/>
    </xf>
    <xf numFmtId="165" fontId="1" fillId="14" borderId="11" xfId="21" applyNumberFormat="1" applyFont="1" applyFill="1" applyBorder="1" applyAlignment="1">
      <alignment vertical="top"/>
    </xf>
    <xf numFmtId="165" fontId="3" fillId="9" borderId="11" xfId="21" applyNumberFormat="1" applyFont="1" applyFill="1" applyBorder="1" applyAlignment="1">
      <alignment vertical="top"/>
    </xf>
    <xf numFmtId="165" fontId="3" fillId="0" borderId="11" xfId="21" applyNumberFormat="1" applyFont="1" applyBorder="1"/>
    <xf numFmtId="165" fontId="3" fillId="8" borderId="11" xfId="21" applyNumberFormat="1" applyFont="1" applyFill="1" applyBorder="1"/>
    <xf numFmtId="165" fontId="3" fillId="8" borderId="11" xfId="23" applyNumberFormat="1" applyFont="1" applyFill="1" applyBorder="1">
      <alignment/>
      <protection/>
    </xf>
    <xf numFmtId="165" fontId="1" fillId="0" borderId="0" xfId="21" applyNumberFormat="1" applyFill="1"/>
    <xf numFmtId="165" fontId="1" fillId="0" borderId="0" xfId="21" applyNumberFormat="1" applyAlignment="1">
      <alignment vertical="top"/>
    </xf>
    <xf numFmtId="40" fontId="3" fillId="6" borderId="12" xfId="0" applyNumberFormat="1" applyFont="1" applyFill="1" applyBorder="1"/>
    <xf numFmtId="40" fontId="1" fillId="11" borderId="12" xfId="0" applyNumberFormat="1" applyFont="1" applyFill="1" applyBorder="1"/>
    <xf numFmtId="40" fontId="1" fillId="0" borderId="12" xfId="0" applyNumberFormat="1" applyFont="1" applyFill="1" applyBorder="1"/>
    <xf numFmtId="40" fontId="1" fillId="11" borderId="32" xfId="0" applyNumberFormat="1" applyFont="1" applyFill="1" applyBorder="1"/>
    <xf numFmtId="40" fontId="1" fillId="0" borderId="32" xfId="0" applyNumberFormat="1" applyFont="1" applyFill="1" applyBorder="1"/>
    <xf numFmtId="40" fontId="3" fillId="4" borderId="34" xfId="0" applyNumberFormat="1" applyFont="1" applyFill="1" applyBorder="1"/>
    <xf numFmtId="40" fontId="3" fillId="6" borderId="12" xfId="21" applyNumberFormat="1" applyFont="1" applyFill="1" applyBorder="1"/>
    <xf numFmtId="40" fontId="1" fillId="14" borderId="12" xfId="21" applyNumberFormat="1" applyFont="1" applyFill="1" applyBorder="1"/>
    <xf numFmtId="40" fontId="3" fillId="9" borderId="12" xfId="21" applyNumberFormat="1" applyFont="1" applyFill="1" applyBorder="1"/>
    <xf numFmtId="40" fontId="3" fillId="0" borderId="12" xfId="21" applyNumberFormat="1" applyFont="1" applyBorder="1"/>
    <xf numFmtId="40" fontId="3" fillId="8" borderId="12" xfId="21" applyNumberFormat="1" applyFont="1" applyFill="1" applyBorder="1"/>
    <xf numFmtId="40" fontId="1" fillId="14" borderId="11" xfId="21" applyNumberFormat="1" applyFont="1" applyFill="1" applyBorder="1"/>
    <xf numFmtId="40" fontId="3" fillId="9" borderId="11" xfId="21" applyNumberFormat="1" applyFont="1" applyFill="1" applyBorder="1"/>
    <xf numFmtId="40" fontId="3" fillId="0" borderId="12" xfId="21" applyNumberFormat="1" applyFont="1" applyFill="1" applyBorder="1"/>
    <xf numFmtId="40" fontId="12" fillId="13" borderId="39" xfId="21" applyNumberFormat="1" applyFont="1" applyFill="1" applyBorder="1" applyAlignment="1">
      <alignment horizontal="center" vertical="center"/>
    </xf>
    <xf numFmtId="40" fontId="1" fillId="0" borderId="0" xfId="23" applyNumberFormat="1" applyFont="1">
      <alignment/>
      <protection/>
    </xf>
    <xf numFmtId="40" fontId="1" fillId="0" borderId="0" xfId="23" applyNumberFormat="1">
      <alignment/>
      <protection/>
    </xf>
    <xf numFmtId="40" fontId="3" fillId="7" borderId="12" xfId="21" applyNumberFormat="1" applyFont="1" applyFill="1" applyBorder="1" applyAlignment="1">
      <alignment horizontal="center"/>
    </xf>
    <xf numFmtId="40" fontId="3" fillId="8" borderId="12" xfId="21" applyNumberFormat="1" applyFont="1" applyFill="1" applyBorder="1" applyAlignment="1">
      <alignment horizontal="center"/>
    </xf>
    <xf numFmtId="171" fontId="25" fillId="0" borderId="0" xfId="31" applyNumberFormat="1" applyFont="1" applyFill="1"/>
    <xf numFmtId="0" fontId="0" fillId="0" borderId="0" xfId="0"/>
    <xf numFmtId="165" fontId="1" fillId="14" borderId="11" xfId="21" applyNumberFormat="1" applyFont="1" applyFill="1" applyBorder="1"/>
    <xf numFmtId="165" fontId="1" fillId="14" borderId="12" xfId="21" applyNumberFormat="1" applyFont="1" applyFill="1" applyBorder="1"/>
    <xf numFmtId="9" fontId="0" fillId="0" borderId="0" xfId="0" applyNumberFormat="1"/>
    <xf numFmtId="171" fontId="0" fillId="0" borderId="0" xfId="0" applyNumberFormat="1"/>
    <xf numFmtId="171" fontId="0" fillId="4" borderId="0" xfId="0" applyNumberFormat="1" applyFill="1"/>
    <xf numFmtId="171" fontId="24" fillId="17" borderId="0" xfId="31" applyNumberFormat="1" applyFont="1" applyFill="1"/>
    <xf numFmtId="171" fontId="20" fillId="0" borderId="0" xfId="31" applyNumberFormat="1" applyFont="1"/>
    <xf numFmtId="173" fontId="0" fillId="0" borderId="8" xfId="0" applyNumberFormat="1" applyBorder="1" applyAlignment="1">
      <alignment horizontal="left" indent="1"/>
    </xf>
    <xf numFmtId="0" fontId="28" fillId="21" borderId="0" xfId="0" applyFont="1" applyFill="1" applyAlignment="1">
      <alignment horizontal="left"/>
    </xf>
    <xf numFmtId="171" fontId="22" fillId="21" borderId="0" xfId="31" applyNumberFormat="1" applyFont="1" applyFill="1" applyAlignment="1">
      <alignment horizontal="left"/>
    </xf>
    <xf numFmtId="171" fontId="22" fillId="21" borderId="0" xfId="31" applyNumberFormat="1" applyFont="1" applyFill="1"/>
    <xf numFmtId="0" fontId="27" fillId="22" borderId="0" xfId="0" applyFont="1" applyFill="1"/>
    <xf numFmtId="171" fontId="27" fillId="22" borderId="0" xfId="0" applyNumberFormat="1" applyFont="1" applyFill="1"/>
    <xf numFmtId="167" fontId="3" fillId="5" borderId="12" xfId="21" applyNumberFormat="1" applyFont="1" applyFill="1" applyBorder="1" applyAlignment="1">
      <alignment horizontal="center" vertical="top" wrapText="1"/>
    </xf>
    <xf numFmtId="166" fontId="5" fillId="8" borderId="12" xfId="22" applyNumberFormat="1" applyFont="1" applyFill="1" applyBorder="1" applyAlignment="1">
      <alignment horizontal="center" vertical="center" wrapText="1"/>
    </xf>
    <xf numFmtId="4" fontId="2" fillId="6" borderId="38" xfId="0" applyNumberFormat="1" applyFont="1" applyFill="1" applyBorder="1" applyAlignment="1">
      <alignment horizontal="center" vertical="center" wrapText="1"/>
    </xf>
    <xf numFmtId="4" fontId="2" fillId="6" borderId="37" xfId="0" applyNumberFormat="1" applyFont="1" applyFill="1" applyBorder="1" applyAlignment="1">
      <alignment horizontal="center" vertical="center" wrapText="1"/>
    </xf>
    <xf numFmtId="166" fontId="3" fillId="4" borderId="37" xfId="21" applyNumberFormat="1" applyFont="1" applyFill="1" applyBorder="1" applyAlignment="1">
      <alignment horizontal="center" vertical="center"/>
    </xf>
    <xf numFmtId="165" fontId="2" fillId="6" borderId="38" xfId="0" applyNumberFormat="1" applyFont="1" applyFill="1" applyBorder="1" applyAlignment="1">
      <alignment horizontal="center" vertical="center" wrapText="1"/>
    </xf>
    <xf numFmtId="165" fontId="2" fillId="6" borderId="37" xfId="0" applyNumberFormat="1" applyFont="1" applyFill="1" applyBorder="1" applyAlignment="1">
      <alignment horizontal="center" vertical="center" wrapText="1"/>
    </xf>
    <xf numFmtId="165" fontId="2" fillId="6" borderId="11" xfId="0" applyNumberFormat="1" applyFont="1" applyFill="1" applyBorder="1" applyAlignment="1">
      <alignment horizontal="center" vertical="center" wrapText="1"/>
    </xf>
    <xf numFmtId="0" fontId="3" fillId="5" borderId="12" xfId="23" applyFont="1" applyFill="1" applyBorder="1" applyAlignment="1">
      <alignment horizontal="center" vertical="top" wrapText="1"/>
      <protection/>
    </xf>
    <xf numFmtId="167" fontId="3" fillId="5" borderId="12" xfId="21" applyNumberFormat="1" applyFont="1" applyFill="1" applyBorder="1" applyAlignment="1">
      <alignment horizontal="center" vertical="center" wrapText="1"/>
    </xf>
    <xf numFmtId="49" fontId="2" fillId="6" borderId="38" xfId="0" applyNumberFormat="1" applyFont="1" applyFill="1" applyBorder="1" applyAlignment="1">
      <alignment horizontal="center" vertical="center" wrapText="1"/>
    </xf>
    <xf numFmtId="49" fontId="2" fillId="6" borderId="37"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0" fontId="15" fillId="5" borderId="40" xfId="0" applyFont="1" applyFill="1" applyBorder="1" applyAlignment="1">
      <alignment horizontal="center" vertical="center" wrapText="1"/>
    </xf>
    <xf numFmtId="0" fontId="15" fillId="5" borderId="41" xfId="0" applyFont="1" applyFill="1" applyBorder="1" applyAlignment="1">
      <alignment horizontal="center" vertical="center"/>
    </xf>
    <xf numFmtId="0" fontId="17" fillId="5" borderId="29" xfId="0" applyFont="1" applyFill="1" applyBorder="1" applyAlignment="1">
      <alignment vertical="center" wrapText="1"/>
    </xf>
    <xf numFmtId="0" fontId="0" fillId="5" borderId="42" xfId="0" applyFill="1" applyBorder="1" applyAlignment="1">
      <alignment/>
    </xf>
    <xf numFmtId="0" fontId="0" fillId="5" borderId="43" xfId="0" applyFill="1" applyBorder="1" applyAlignment="1">
      <alignment/>
    </xf>
    <xf numFmtId="0" fontId="3" fillId="5" borderId="44" xfId="0" applyFont="1" applyFill="1" applyBorder="1" applyAlignment="1">
      <alignment horizontal="center" vertical="center" wrapText="1"/>
    </xf>
    <xf numFmtId="0" fontId="20" fillId="0" borderId="45" xfId="0" applyFont="1" applyBorder="1" applyAlignment="1">
      <alignment horizontal="center" vertical="center"/>
    </xf>
    <xf numFmtId="0" fontId="3" fillId="0" borderId="25" xfId="24" applyFont="1" applyBorder="1">
      <alignment/>
      <protection/>
    </xf>
    <xf numFmtId="0" fontId="3" fillId="0" borderId="26" xfId="24" applyFont="1" applyBorder="1">
      <alignment/>
      <protection/>
    </xf>
    <xf numFmtId="0" fontId="3" fillId="0" borderId="23" xfId="24" applyFont="1" applyFill="1" applyBorder="1" applyAlignment="1">
      <alignment/>
      <protection/>
    </xf>
    <xf numFmtId="0" fontId="3" fillId="0" borderId="24" xfId="24" applyFont="1" applyFill="1" applyBorder="1" applyAlignment="1">
      <alignment/>
      <protection/>
    </xf>
    <xf numFmtId="0" fontId="18" fillId="0" borderId="9" xfId="24" applyFont="1" applyFill="1" applyBorder="1" applyAlignment="1">
      <alignment horizontal="center"/>
      <protection/>
    </xf>
    <xf numFmtId="0" fontId="18" fillId="0" borderId="15" xfId="24" applyFont="1" applyFill="1" applyBorder="1" applyAlignment="1">
      <alignment horizontal="center"/>
      <protection/>
    </xf>
    <xf numFmtId="0" fontId="3" fillId="5" borderId="38" xfId="24" applyFont="1" applyFill="1" applyBorder="1" applyAlignment="1">
      <alignment wrapText="1"/>
      <protection/>
    </xf>
    <xf numFmtId="0" fontId="3" fillId="5" borderId="11" xfId="24" applyFont="1" applyFill="1" applyBorder="1" applyAlignment="1">
      <alignment wrapText="1"/>
      <protection/>
    </xf>
    <xf numFmtId="0" fontId="3" fillId="5" borderId="12" xfId="24" applyFont="1" applyFill="1" applyBorder="1" applyAlignment="1">
      <alignment vertical="center" wrapText="1"/>
      <protection/>
    </xf>
    <xf numFmtId="0" fontId="1" fillId="5" borderId="12" xfId="24" applyFill="1" applyBorder="1" applyAlignment="1">
      <alignment vertical="center" wrapText="1"/>
      <protection/>
    </xf>
    <xf numFmtId="0" fontId="24" fillId="19" borderId="0" xfId="0" applyFont="1" applyFill="1" applyAlignment="1">
      <alignment horizontal="left"/>
    </xf>
  </cellXfs>
  <cellStyles count="24">
    <cellStyle name="Normal" xfId="0"/>
    <cellStyle name="Percent" xfId="15"/>
    <cellStyle name="Currency" xfId="16"/>
    <cellStyle name="Currency [0]" xfId="17"/>
    <cellStyle name="Comma" xfId="18"/>
    <cellStyle name="Comma [0]" xfId="19"/>
    <cellStyle name="Millares" xfId="20"/>
    <cellStyle name="Comma_Formatos Nuevos 6ta Desemb. MCA Oct-Dic 10_09_07" xfId="21"/>
    <cellStyle name="Millares 5" xfId="22"/>
    <cellStyle name="Normal 2" xfId="23"/>
    <cellStyle name="Normal 2 2" xfId="24"/>
    <cellStyle name="Moneda 4" xfId="25"/>
    <cellStyle name="Normal 3" xfId="26"/>
    <cellStyle name="Comma 4" xfId="27"/>
    <cellStyle name="Comma 2" xfId="28"/>
    <cellStyle name="Comma 3" xfId="29"/>
    <cellStyle name="Currency 2" xfId="30"/>
    <cellStyle name="Moneda" xfId="31"/>
    <cellStyle name="Normal 4" xfId="32"/>
    <cellStyle name="Comma 5" xfId="33"/>
    <cellStyle name="Normal 3 2" xfId="34"/>
    <cellStyle name="Comma 4 2" xfId="35"/>
    <cellStyle name="Comma 2 2" xfId="36"/>
    <cellStyle name="Currency 2 2" xfId="37"/>
  </cellStyles>
  <dxfs count="6">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topLeftCell="B11">
      <pane xSplit="1" ySplit="4" topLeftCell="C15" activePane="bottomRight" state="frozen"/>
      <selection pane="topLeft" activeCell="B11" sqref="B11"/>
      <selection pane="topRight" activeCell="C11" sqref="C11"/>
      <selection pane="bottomLeft" activeCell="B15" sqref="B15"/>
      <selection pane="bottomRight" activeCell="D48" sqref="D48"/>
    </sheetView>
  </sheetViews>
  <sheetFormatPr defaultColWidth="0" defaultRowHeight="15" outlineLevelRow="1" outlineLevelCol="1"/>
  <cols>
    <col min="1" max="1" width="9.140625" style="1" customWidth="1"/>
    <col min="2" max="2" width="50.421875" style="1" customWidth="1"/>
    <col min="3" max="3" width="17.28125" style="70" customWidth="1" outlineLevel="1"/>
    <col min="4" max="4" width="19.140625" style="1" bestFit="1" customWidth="1"/>
    <col min="5" max="7" width="17.28125" style="288" customWidth="1" outlineLevel="1"/>
    <col min="8" max="8" width="17.28125" style="275" customWidth="1"/>
    <col min="9" max="21" width="17.28125" style="1" customWidth="1"/>
    <col min="22" max="22" width="17.28125" style="6" customWidth="1"/>
    <col min="23" max="23" width="17.28125" style="196" customWidth="1"/>
    <col min="24" max="24" width="17.28125" style="7" customWidth="1"/>
    <col min="25" max="16384" width="0" style="1" hidden="1" customWidth="1"/>
  </cols>
  <sheetData>
    <row r="1" spans="2:7" ht="13.5" outlineLevel="1" thickBot="1">
      <c r="B1" s="2" t="s">
        <v>0</v>
      </c>
      <c r="C1" s="3"/>
      <c r="D1" s="4"/>
      <c r="E1" s="279"/>
      <c r="F1" s="279"/>
      <c r="G1" s="279"/>
    </row>
    <row r="2" spans="2:23" ht="13.5" outlineLevel="1" thickBot="1">
      <c r="B2" s="8"/>
      <c r="C2" s="3"/>
      <c r="D2" s="4"/>
      <c r="E2" s="279"/>
      <c r="F2" s="279"/>
      <c r="G2" s="279"/>
      <c r="W2" s="197"/>
    </row>
    <row r="3" spans="2:7" ht="12.75" customHeight="1" outlineLevel="1">
      <c r="B3" s="11" t="s">
        <v>1</v>
      </c>
      <c r="C3" s="12"/>
      <c r="D3" s="13" t="s">
        <v>79</v>
      </c>
      <c r="E3" s="280"/>
      <c r="F3" s="280"/>
      <c r="G3" s="280"/>
    </row>
    <row r="4" spans="2:7" ht="12.75" customHeight="1" outlineLevel="1">
      <c r="B4" s="14" t="s">
        <v>2</v>
      </c>
      <c r="C4" s="15"/>
      <c r="D4" s="16" t="s">
        <v>80</v>
      </c>
      <c r="E4" s="280"/>
      <c r="F4" s="280"/>
      <c r="G4" s="280"/>
    </row>
    <row r="5" spans="2:7" ht="12.75" customHeight="1" outlineLevel="1">
      <c r="B5" s="17" t="s">
        <v>3</v>
      </c>
      <c r="C5" s="15"/>
      <c r="D5" s="16" t="str">
        <f>'THP DR'!B7</f>
        <v>TR14GTM15001</v>
      </c>
      <c r="E5" s="280"/>
      <c r="F5" s="280"/>
      <c r="G5" s="280"/>
    </row>
    <row r="6" spans="2:23" ht="12.75" customHeight="1" outlineLevel="1">
      <c r="B6" s="14" t="s">
        <v>4</v>
      </c>
      <c r="C6" s="15"/>
      <c r="D6" s="327">
        <f>'THP DR'!B10</f>
        <v>42623</v>
      </c>
      <c r="E6" s="280"/>
      <c r="F6" s="280"/>
      <c r="G6" s="280"/>
      <c r="W6" s="198"/>
    </row>
    <row r="7" spans="2:7" ht="13.5" customHeight="1" outlineLevel="1" thickBot="1">
      <c r="B7" s="19" t="s">
        <v>5</v>
      </c>
      <c r="C7" s="20"/>
      <c r="D7" s="194">
        <f>'THP DR'!B13</f>
        <v>2</v>
      </c>
      <c r="E7" s="280"/>
      <c r="F7" s="280"/>
      <c r="G7" s="280"/>
    </row>
    <row r="8" spans="2:8" ht="12.75" customHeight="1" outlineLevel="1">
      <c r="B8" s="5"/>
      <c r="C8" s="22"/>
      <c r="D8" s="23"/>
      <c r="E8" s="281"/>
      <c r="F8" s="281"/>
      <c r="G8" s="281"/>
      <c r="H8" s="271"/>
    </row>
    <row r="9" spans="2:22" ht="12.75" customHeight="1" outlineLevel="1">
      <c r="B9" s="24"/>
      <c r="C9" s="24"/>
      <c r="D9" s="24"/>
      <c r="E9" s="282"/>
      <c r="F9" s="282"/>
      <c r="G9" s="282"/>
      <c r="H9" s="271"/>
      <c r="V9" s="25"/>
    </row>
    <row r="10" spans="2:24" s="26" customFormat="1" ht="13.5" customHeight="1" outlineLevel="1">
      <c r="B10" s="27"/>
      <c r="C10" s="28"/>
      <c r="D10" s="29"/>
      <c r="E10" s="283"/>
      <c r="F10" s="283"/>
      <c r="G10" s="283"/>
      <c r="H10" s="276"/>
      <c r="V10" s="25"/>
      <c r="W10" s="196"/>
      <c r="X10" s="7"/>
    </row>
    <row r="11" spans="1:24" ht="15.75" outlineLevel="1">
      <c r="A11" s="5"/>
      <c r="B11" s="334" t="s">
        <v>6</v>
      </c>
      <c r="C11" s="31" t="s">
        <v>7</v>
      </c>
      <c r="D11" s="32" t="s">
        <v>8</v>
      </c>
      <c r="E11" s="335" t="s">
        <v>9</v>
      </c>
      <c r="F11" s="336"/>
      <c r="G11" s="336"/>
      <c r="H11" s="336"/>
      <c r="I11" s="337"/>
      <c r="J11" s="337"/>
      <c r="K11" s="337"/>
      <c r="L11" s="337"/>
      <c r="M11" s="337"/>
      <c r="N11" s="337"/>
      <c r="O11" s="337"/>
      <c r="P11" s="337"/>
      <c r="Q11" s="337"/>
      <c r="R11" s="337"/>
      <c r="S11" s="237"/>
      <c r="T11" s="237"/>
      <c r="U11" s="237"/>
      <c r="V11" s="33" t="s">
        <v>10</v>
      </c>
      <c r="W11" s="199" t="s">
        <v>10</v>
      </c>
      <c r="X11" s="33" t="s">
        <v>11</v>
      </c>
    </row>
    <row r="12" spans="1:25" s="40" customFormat="1" ht="72.75" customHeight="1">
      <c r="A12" s="5"/>
      <c r="B12" s="334"/>
      <c r="C12" s="35" t="s">
        <v>12</v>
      </c>
      <c r="D12" s="36" t="s">
        <v>13</v>
      </c>
      <c r="E12" s="338" t="str">
        <f>"Grant Quarter #"&amp;$D$7</f>
        <v>Grant Quarter #2</v>
      </c>
      <c r="F12" s="339"/>
      <c r="G12" s="340"/>
      <c r="H12" s="277" t="str">
        <f>"Grant Quarter #"&amp;$D$7</f>
        <v>Grant Quarter #2</v>
      </c>
      <c r="I12" s="37" t="s">
        <v>82</v>
      </c>
      <c r="J12" s="37" t="s">
        <v>83</v>
      </c>
      <c r="K12" s="37" t="s">
        <v>84</v>
      </c>
      <c r="L12" s="37" t="s">
        <v>85</v>
      </c>
      <c r="M12" s="37" t="s">
        <v>86</v>
      </c>
      <c r="N12" s="37" t="s">
        <v>87</v>
      </c>
      <c r="O12" s="37" t="s">
        <v>88</v>
      </c>
      <c r="P12" s="37" t="s">
        <v>89</v>
      </c>
      <c r="Q12" s="37" t="s">
        <v>90</v>
      </c>
      <c r="R12" s="37" t="s">
        <v>91</v>
      </c>
      <c r="S12" s="238" t="s">
        <v>92</v>
      </c>
      <c r="T12" s="238" t="s">
        <v>216</v>
      </c>
      <c r="U12" s="238" t="s">
        <v>217</v>
      </c>
      <c r="V12" s="202" t="s">
        <v>14</v>
      </c>
      <c r="W12" s="341" t="s">
        <v>155</v>
      </c>
      <c r="X12" s="333" t="s">
        <v>15</v>
      </c>
      <c r="Y12" s="39"/>
    </row>
    <row r="13" spans="1:25" s="40" customFormat="1" ht="25.5">
      <c r="A13" s="5"/>
      <c r="B13" s="41" t="s">
        <v>16</v>
      </c>
      <c r="C13" s="42" t="s">
        <v>231</v>
      </c>
      <c r="D13" s="43" t="s">
        <v>17</v>
      </c>
      <c r="E13" s="289" t="s">
        <v>232</v>
      </c>
      <c r="F13" s="289" t="s">
        <v>233</v>
      </c>
      <c r="G13" s="289" t="s">
        <v>234</v>
      </c>
      <c r="H13" s="272" t="s">
        <v>18</v>
      </c>
      <c r="I13" s="238" t="s">
        <v>19</v>
      </c>
      <c r="J13" s="238" t="s">
        <v>20</v>
      </c>
      <c r="K13" s="238" t="s">
        <v>21</v>
      </c>
      <c r="L13" s="238" t="s">
        <v>74</v>
      </c>
      <c r="M13" s="238" t="s">
        <v>71</v>
      </c>
      <c r="N13" s="238" t="s">
        <v>72</v>
      </c>
      <c r="O13" s="238" t="s">
        <v>73</v>
      </c>
      <c r="P13" s="238" t="s">
        <v>75</v>
      </c>
      <c r="Q13" s="238" t="s">
        <v>76</v>
      </c>
      <c r="R13" s="238" t="s">
        <v>77</v>
      </c>
      <c r="S13" s="238" t="s">
        <v>218</v>
      </c>
      <c r="T13" s="238" t="s">
        <v>219</v>
      </c>
      <c r="U13" s="238" t="s">
        <v>220</v>
      </c>
      <c r="V13" s="202"/>
      <c r="W13" s="341"/>
      <c r="X13" s="333"/>
      <c r="Y13" s="39"/>
    </row>
    <row r="14" spans="2:24" ht="15">
      <c r="B14" s="193" t="s">
        <v>113</v>
      </c>
      <c r="C14" s="193" t="s">
        <v>114</v>
      </c>
      <c r="D14" s="193" t="s">
        <v>115</v>
      </c>
      <c r="E14" s="284" t="s">
        <v>116</v>
      </c>
      <c r="F14" s="284" t="s">
        <v>117</v>
      </c>
      <c r="G14" s="278" t="s">
        <v>118</v>
      </c>
      <c r="H14" s="193" t="s">
        <v>119</v>
      </c>
      <c r="I14" s="193" t="s">
        <v>120</v>
      </c>
      <c r="J14" s="193" t="s">
        <v>121</v>
      </c>
      <c r="K14" s="193" t="s">
        <v>122</v>
      </c>
      <c r="L14" s="193" t="s">
        <v>123</v>
      </c>
      <c r="M14" s="193" t="s">
        <v>124</v>
      </c>
      <c r="N14" s="193" t="s">
        <v>125</v>
      </c>
      <c r="O14" s="193" t="s">
        <v>126</v>
      </c>
      <c r="P14" s="193" t="s">
        <v>127</v>
      </c>
      <c r="Q14" s="193" t="s">
        <v>128</v>
      </c>
      <c r="R14" s="193" t="s">
        <v>129</v>
      </c>
      <c r="S14" s="193" t="s">
        <v>130</v>
      </c>
      <c r="T14" s="193" t="s">
        <v>221</v>
      </c>
      <c r="U14" s="193" t="s">
        <v>222</v>
      </c>
      <c r="V14" s="193" t="s">
        <v>131</v>
      </c>
      <c r="W14" s="200" t="s">
        <v>132</v>
      </c>
      <c r="X14" s="193" t="s">
        <v>133</v>
      </c>
    </row>
    <row r="15" spans="1:25" s="40" customFormat="1" ht="15">
      <c r="A15" s="5"/>
      <c r="B15" s="45"/>
      <c r="C15" s="46"/>
      <c r="D15" s="45"/>
      <c r="E15" s="285"/>
      <c r="F15" s="285"/>
      <c r="G15" s="285"/>
      <c r="H15" s="273"/>
      <c r="I15" s="45"/>
      <c r="J15" s="45"/>
      <c r="K15" s="45"/>
      <c r="L15" s="45"/>
      <c r="M15" s="45"/>
      <c r="N15" s="45"/>
      <c r="O15" s="45"/>
      <c r="P15" s="45"/>
      <c r="Q15" s="45"/>
      <c r="R15" s="45"/>
      <c r="S15" s="45"/>
      <c r="T15" s="45"/>
      <c r="U15" s="45"/>
      <c r="V15" s="45"/>
      <c r="W15" s="45"/>
      <c r="X15" s="45"/>
      <c r="Y15" s="39"/>
    </row>
    <row r="16" spans="1:25" s="40" customFormat="1" ht="15">
      <c r="A16" s="5"/>
      <c r="B16" s="47" t="s">
        <v>94</v>
      </c>
      <c r="C16" s="48"/>
      <c r="D16" s="49"/>
      <c r="E16" s="286"/>
      <c r="F16" s="286"/>
      <c r="G16" s="286"/>
      <c r="H16" s="274"/>
      <c r="I16" s="49"/>
      <c r="J16" s="49"/>
      <c r="K16" s="49"/>
      <c r="L16" s="49"/>
      <c r="M16" s="49"/>
      <c r="N16" s="49"/>
      <c r="O16" s="49"/>
      <c r="P16" s="49"/>
      <c r="Q16" s="49"/>
      <c r="R16" s="49"/>
      <c r="S16" s="49"/>
      <c r="T16" s="49"/>
      <c r="U16" s="49"/>
      <c r="V16" s="50"/>
      <c r="W16" s="201"/>
      <c r="X16" s="50"/>
      <c r="Y16" s="39"/>
    </row>
    <row r="17" spans="1:25" s="214" customFormat="1" ht="15" outlineLevel="1">
      <c r="A17" s="211" t="str">
        <f>LEFT(B17,4)</f>
        <v xml:space="preserve">1.1 </v>
      </c>
      <c r="B17" s="52" t="s">
        <v>95</v>
      </c>
      <c r="C17" s="203">
        <f>SUM(C18:C20)</f>
        <v>0</v>
      </c>
      <c r="D17" s="203">
        <f>SUM(D18:D20)</f>
        <v>0</v>
      </c>
      <c r="E17" s="203">
        <f aca="true" t="shared" si="0" ref="E17:Q17">SUM(E18:E20)</f>
        <v>0</v>
      </c>
      <c r="F17" s="203">
        <f t="shared" si="0"/>
        <v>0</v>
      </c>
      <c r="G17" s="203">
        <f t="shared" si="0"/>
        <v>0</v>
      </c>
      <c r="H17" s="203">
        <f t="shared" si="0"/>
        <v>0</v>
      </c>
      <c r="I17" s="203">
        <f t="shared" si="0"/>
        <v>8500000</v>
      </c>
      <c r="J17" s="203">
        <f t="shared" si="0"/>
        <v>0</v>
      </c>
      <c r="K17" s="203">
        <f t="shared" si="0"/>
        <v>0</v>
      </c>
      <c r="L17" s="203">
        <f t="shared" si="0"/>
        <v>3000000</v>
      </c>
      <c r="M17" s="203">
        <f t="shared" si="0"/>
        <v>200000</v>
      </c>
      <c r="N17" s="203">
        <f t="shared" si="0"/>
        <v>0</v>
      </c>
      <c r="O17" s="203">
        <f t="shared" si="0"/>
        <v>0</v>
      </c>
      <c r="P17" s="203">
        <f t="shared" si="0"/>
        <v>0</v>
      </c>
      <c r="Q17" s="203">
        <f t="shared" si="0"/>
        <v>0</v>
      </c>
      <c r="R17" s="203">
        <f aca="true" t="shared" si="1" ref="R17:U17">SUM(R18:R20)</f>
        <v>0</v>
      </c>
      <c r="S17" s="203">
        <f t="shared" si="1"/>
        <v>0</v>
      </c>
      <c r="T17" s="203">
        <f t="shared" si="1"/>
        <v>0</v>
      </c>
      <c r="U17" s="203">
        <f t="shared" si="1"/>
        <v>0</v>
      </c>
      <c r="V17" s="203">
        <f>SUM(V18:V20)</f>
        <v>11700000</v>
      </c>
      <c r="W17" s="205">
        <f>'QFR - B'!G15</f>
        <v>12000000</v>
      </c>
      <c r="X17" s="305">
        <f>W17-V17</f>
        <v>300000</v>
      </c>
      <c r="Y17" s="213"/>
    </row>
    <row r="18" spans="1:25" s="214" customFormat="1" ht="15" outlineLevel="1">
      <c r="A18" s="211" t="s">
        <v>166</v>
      </c>
      <c r="B18" s="207" t="s">
        <v>134</v>
      </c>
      <c r="C18" s="208"/>
      <c r="D18" s="209">
        <f>SUMIF('Contract level'!$A:$A,"="&amp;'DFP-Com'!$A18,'Contract level'!AN:AN)</f>
        <v>0</v>
      </c>
      <c r="E18" s="209"/>
      <c r="F18" s="209"/>
      <c r="G18" s="209"/>
      <c r="H18" s="209">
        <f>SUMIF('Contract level'!$A:$A,"="&amp;'DFP-Com'!$A18,'Contract level'!AO:AO)</f>
        <v>0</v>
      </c>
      <c r="I18" s="209">
        <f>SUMIF('Contract level'!$A:$A,"="&amp;'DFP-Com'!$A18,'Contract level'!AP:AP)</f>
        <v>8500000</v>
      </c>
      <c r="J18" s="209">
        <f>SUMIF('Contract level'!$A:$A,"="&amp;'DFP-Com'!$A18,'Contract level'!AQ:AQ)</f>
        <v>0</v>
      </c>
      <c r="K18" s="209">
        <f>SUMIF('Contract level'!$A:$A,"="&amp;'DFP-Com'!$A18,'Contract level'!AR:AR)</f>
        <v>0</v>
      </c>
      <c r="L18" s="209">
        <f>SUMIF('Contract level'!$A:$A,"="&amp;'DFP-Com'!$A18,'Contract level'!AS:AS)</f>
        <v>0</v>
      </c>
      <c r="M18" s="209">
        <f>SUMIF('Contract level'!$A:$A,"="&amp;'DFP-Com'!$A18,'Contract level'!AT:AT)</f>
        <v>200000</v>
      </c>
      <c r="N18" s="209">
        <f>SUMIF('Contract level'!$A:$A,"="&amp;'DFP-Com'!$A18,'Contract level'!AU:AU)</f>
        <v>0</v>
      </c>
      <c r="O18" s="209">
        <f>SUMIF('Contract level'!$A:$A,"="&amp;'DFP-Com'!$A18,'Contract level'!AV:AV)</f>
        <v>0</v>
      </c>
      <c r="P18" s="209">
        <f>SUMIF('Contract level'!$A:$A,"="&amp;'DFP-Com'!$A18,'Contract level'!AW:AW)</f>
        <v>0</v>
      </c>
      <c r="Q18" s="209">
        <f>SUMIF('Contract level'!$A:$A,"="&amp;'DFP-Com'!$A18,'Contract level'!AX:AX)</f>
        <v>0</v>
      </c>
      <c r="R18" s="209">
        <f>SUMIF('Contract level'!$A:$A,"="&amp;'DFP-Com'!$A18,'Contract level'!AY:AY)</f>
        <v>0</v>
      </c>
      <c r="S18" s="209">
        <f>SUMIF('Contract level'!$A:$A,"="&amp;'DFP-Com'!$A18,'Contract level'!AZ:AZ)</f>
        <v>0</v>
      </c>
      <c r="T18" s="209">
        <f>SUMIF('Contract level'!$A:$A,"="&amp;'DFP-Com'!$A18,'Contract level'!BA:BA)</f>
        <v>0</v>
      </c>
      <c r="U18" s="209">
        <f>SUMIF('Contract level'!$A:$A,"="&amp;'DFP-Com'!$A18,'Contract level'!BB:BB)</f>
        <v>0</v>
      </c>
      <c r="V18" s="209">
        <f>SUM(H18:U18)+D18+C18</f>
        <v>8700000</v>
      </c>
      <c r="W18" s="210" t="s">
        <v>140</v>
      </c>
      <c r="X18" s="306"/>
      <c r="Y18" s="213"/>
    </row>
    <row r="19" spans="1:25" s="214" customFormat="1" ht="15" outlineLevel="1">
      <c r="A19" s="211" t="s">
        <v>167</v>
      </c>
      <c r="B19" s="207" t="s">
        <v>135</v>
      </c>
      <c r="C19" s="208"/>
      <c r="D19" s="209">
        <f>SUMIF('Contract level'!$A:$A,"="&amp;'DFP-Com'!$A19,'Contract level'!AN:AN)</f>
        <v>0</v>
      </c>
      <c r="E19" s="209"/>
      <c r="F19" s="209"/>
      <c r="G19" s="209"/>
      <c r="H19" s="209">
        <f>SUMIF('Contract level'!$A:$A,"="&amp;'DFP-Com'!$A19,'Contract level'!AO:AO)</f>
        <v>0</v>
      </c>
      <c r="I19" s="209">
        <f>SUMIF('Contract level'!$A:$A,"="&amp;'DFP-Com'!$A19,'Contract level'!AP:AP)</f>
        <v>0</v>
      </c>
      <c r="J19" s="209">
        <f>SUMIF('Contract level'!$A:$A,"="&amp;'DFP-Com'!$A19,'Contract level'!AQ:AQ)</f>
        <v>0</v>
      </c>
      <c r="K19" s="209">
        <f>SUMIF('Contract level'!$A:$A,"="&amp;'DFP-Com'!$A19,'Contract level'!AR:AR)</f>
        <v>0</v>
      </c>
      <c r="L19" s="209">
        <f>SUMIF('Contract level'!$A:$A,"="&amp;'DFP-Com'!$A19,'Contract level'!AS:AS)</f>
        <v>3000000</v>
      </c>
      <c r="M19" s="209">
        <f>SUMIF('Contract level'!$A:$A,"="&amp;'DFP-Com'!$A19,'Contract level'!AT:AT)</f>
        <v>0</v>
      </c>
      <c r="N19" s="209">
        <f>SUMIF('Contract level'!$A:$A,"="&amp;'DFP-Com'!$A19,'Contract level'!AU:AU)</f>
        <v>0</v>
      </c>
      <c r="O19" s="209">
        <f>SUMIF('Contract level'!$A:$A,"="&amp;'DFP-Com'!$A19,'Contract level'!AV:AV)</f>
        <v>0</v>
      </c>
      <c r="P19" s="209">
        <f>SUMIF('Contract level'!$A:$A,"="&amp;'DFP-Com'!$A19,'Contract level'!AW:AW)</f>
        <v>0</v>
      </c>
      <c r="Q19" s="209">
        <f>SUMIF('Contract level'!$A:$A,"="&amp;'DFP-Com'!$A19,'Contract level'!AX:AX)</f>
        <v>0</v>
      </c>
      <c r="R19" s="209">
        <f>SUMIF('Contract level'!$A:$A,"="&amp;'DFP-Com'!$A19,'Contract level'!AY:AY)</f>
        <v>0</v>
      </c>
      <c r="S19" s="209">
        <f>SUMIF('Contract level'!$A:$A,"="&amp;'DFP-Com'!$A19,'Contract level'!AZ:AZ)</f>
        <v>0</v>
      </c>
      <c r="T19" s="209">
        <f>SUMIF('Contract level'!$A:$A,"="&amp;'DFP-Com'!$A19,'Contract level'!BA:BA)</f>
        <v>0</v>
      </c>
      <c r="U19" s="209">
        <f>SUMIF('Contract level'!$A:$A,"="&amp;'DFP-Com'!$A19,'Contract level'!BB:BB)</f>
        <v>0</v>
      </c>
      <c r="V19" s="209">
        <f>SUM(H19:U19)+D19+C19</f>
        <v>3000000</v>
      </c>
      <c r="W19" s="210"/>
      <c r="X19" s="306"/>
      <c r="Y19" s="213"/>
    </row>
    <row r="20" spans="1:25" s="214" customFormat="1" ht="15" outlineLevel="1">
      <c r="A20" s="211" t="s">
        <v>168</v>
      </c>
      <c r="B20" s="207" t="s">
        <v>142</v>
      </c>
      <c r="C20" s="208"/>
      <c r="D20" s="209">
        <f>SUMIF('Contract level'!$A:$A,"="&amp;'DFP-Com'!$A20,'Contract level'!AN:AN)</f>
        <v>0</v>
      </c>
      <c r="E20" s="209"/>
      <c r="F20" s="209"/>
      <c r="G20" s="209"/>
      <c r="H20" s="209">
        <f>SUMIF('Contract level'!$A:$A,"="&amp;'DFP-Com'!$A20,'Contract level'!AO:AO)</f>
        <v>0</v>
      </c>
      <c r="I20" s="209">
        <f>SUMIF('Contract level'!$A:$A,"="&amp;'DFP-Com'!$A20,'Contract level'!AP:AP)</f>
        <v>0</v>
      </c>
      <c r="J20" s="209">
        <f>SUMIF('Contract level'!$A:$A,"="&amp;'DFP-Com'!$A20,'Contract level'!AQ:AQ)</f>
        <v>0</v>
      </c>
      <c r="K20" s="209">
        <f>SUMIF('Contract level'!$A:$A,"="&amp;'DFP-Com'!$A20,'Contract level'!AR:AR)</f>
        <v>0</v>
      </c>
      <c r="L20" s="209">
        <f>SUMIF('Contract level'!$A:$A,"="&amp;'DFP-Com'!$A20,'Contract level'!AS:AS)</f>
        <v>0</v>
      </c>
      <c r="M20" s="209">
        <f>SUMIF('Contract level'!$A:$A,"="&amp;'DFP-Com'!$A20,'Contract level'!AT:AT)</f>
        <v>0</v>
      </c>
      <c r="N20" s="209">
        <f>SUMIF('Contract level'!$A:$A,"="&amp;'DFP-Com'!$A20,'Contract level'!AU:AU)</f>
        <v>0</v>
      </c>
      <c r="O20" s="209">
        <f>SUMIF('Contract level'!$A:$A,"="&amp;'DFP-Com'!$A20,'Contract level'!AV:AV)</f>
        <v>0</v>
      </c>
      <c r="P20" s="209">
        <f>SUMIF('Contract level'!$A:$A,"="&amp;'DFP-Com'!$A20,'Contract level'!AW:AW)</f>
        <v>0</v>
      </c>
      <c r="Q20" s="209">
        <f>SUMIF('Contract level'!$A:$A,"="&amp;'DFP-Com'!$A20,'Contract level'!AX:AX)</f>
        <v>0</v>
      </c>
      <c r="R20" s="209">
        <f>SUMIF('Contract level'!$A:$A,"="&amp;'DFP-Com'!$A20,'Contract level'!AY:AY)</f>
        <v>0</v>
      </c>
      <c r="S20" s="209">
        <f>SUMIF('Contract level'!$A:$A,"="&amp;'DFP-Com'!$A20,'Contract level'!AZ:AZ)</f>
        <v>0</v>
      </c>
      <c r="T20" s="209">
        <f>SUMIF('Contract level'!$A:$A,"="&amp;'DFP-Com'!$A20,'Contract level'!BA:BA)</f>
        <v>0</v>
      </c>
      <c r="U20" s="209">
        <f>SUMIF('Contract level'!$A:$A,"="&amp;'DFP-Com'!$A20,'Contract level'!BB:BB)</f>
        <v>0</v>
      </c>
      <c r="V20" s="209">
        <f>SUM(H20:U20)+D20+C20</f>
        <v>0</v>
      </c>
      <c r="W20" s="210"/>
      <c r="X20" s="306"/>
      <c r="Y20" s="213"/>
    </row>
    <row r="21" spans="1:25" s="214" customFormat="1" ht="12.95" customHeight="1" outlineLevel="1">
      <c r="A21" s="211" t="str">
        <f aca="true" t="shared" si="2" ref="A21:A39">LEFT(B21,4)</f>
        <v xml:space="preserve">1.2 </v>
      </c>
      <c r="B21" s="52" t="s">
        <v>96</v>
      </c>
      <c r="C21" s="203">
        <f>C22</f>
        <v>0</v>
      </c>
      <c r="D21" s="203">
        <f>D22</f>
        <v>0</v>
      </c>
      <c r="E21" s="203">
        <f aca="true" t="shared" si="3" ref="E21:V21">E22</f>
        <v>0</v>
      </c>
      <c r="F21" s="203">
        <f t="shared" si="3"/>
        <v>0</v>
      </c>
      <c r="G21" s="203">
        <f t="shared" si="3"/>
        <v>0</v>
      </c>
      <c r="H21" s="203">
        <f t="shared" si="3"/>
        <v>0</v>
      </c>
      <c r="I21" s="203">
        <f t="shared" si="3"/>
        <v>48000</v>
      </c>
      <c r="J21" s="203">
        <f t="shared" si="3"/>
        <v>0</v>
      </c>
      <c r="K21" s="203">
        <f t="shared" si="3"/>
        <v>4000000</v>
      </c>
      <c r="L21" s="203">
        <f t="shared" si="3"/>
        <v>0</v>
      </c>
      <c r="M21" s="203">
        <f t="shared" si="3"/>
        <v>48000</v>
      </c>
      <c r="N21" s="203">
        <f t="shared" si="3"/>
        <v>0</v>
      </c>
      <c r="O21" s="203">
        <f t="shared" si="3"/>
        <v>0</v>
      </c>
      <c r="P21" s="203">
        <f t="shared" si="3"/>
        <v>0</v>
      </c>
      <c r="Q21" s="203">
        <f t="shared" si="3"/>
        <v>48000</v>
      </c>
      <c r="R21" s="203">
        <f t="shared" si="3"/>
        <v>0</v>
      </c>
      <c r="S21" s="203">
        <f t="shared" si="3"/>
        <v>0</v>
      </c>
      <c r="T21" s="203">
        <f t="shared" si="3"/>
        <v>0</v>
      </c>
      <c r="U21" s="203">
        <f t="shared" si="3"/>
        <v>12000</v>
      </c>
      <c r="V21" s="203">
        <f t="shared" si="3"/>
        <v>4156000</v>
      </c>
      <c r="W21" s="205">
        <f>'QFR - B'!G16</f>
        <v>4300000</v>
      </c>
      <c r="X21" s="305">
        <f>W21-V21</f>
        <v>144000</v>
      </c>
      <c r="Y21" s="213"/>
    </row>
    <row r="22" spans="1:25" s="214" customFormat="1" ht="12.95" customHeight="1" outlineLevel="1">
      <c r="A22" s="211" t="s">
        <v>169</v>
      </c>
      <c r="B22" s="207" t="s">
        <v>143</v>
      </c>
      <c r="C22" s="208"/>
      <c r="D22" s="209">
        <f>SUMIF('Contract level'!$A:$A,"="&amp;'DFP-Com'!$A22,'Contract level'!AN:AN)</f>
        <v>0</v>
      </c>
      <c r="E22" s="209"/>
      <c r="F22" s="209"/>
      <c r="G22" s="209">
        <f>+H22</f>
        <v>0</v>
      </c>
      <c r="H22" s="209">
        <f>SUMIF('Contract level'!$A:$A,"="&amp;'DFP-Com'!$A22,'Contract level'!AO:AO)</f>
        <v>0</v>
      </c>
      <c r="I22" s="209">
        <f>SUMIF('Contract level'!$A:$A,"="&amp;'DFP-Com'!$A22,'Contract level'!AP:AP)</f>
        <v>48000</v>
      </c>
      <c r="J22" s="209">
        <f>SUMIF('Contract level'!$A:$A,"="&amp;'DFP-Com'!$A22,'Contract level'!AQ:AQ)</f>
        <v>0</v>
      </c>
      <c r="K22" s="209">
        <f>SUMIF('Contract level'!$A:$A,"="&amp;'DFP-Com'!$A22,'Contract level'!AR:AR)</f>
        <v>4000000</v>
      </c>
      <c r="L22" s="209">
        <f>SUMIF('Contract level'!$A:$A,"="&amp;'DFP-Com'!$A22,'Contract level'!AS:AS)</f>
        <v>0</v>
      </c>
      <c r="M22" s="209">
        <f>SUMIF('Contract level'!$A:$A,"="&amp;'DFP-Com'!$A22,'Contract level'!AT:AT)</f>
        <v>48000</v>
      </c>
      <c r="N22" s="209">
        <f>SUMIF('Contract level'!$A:$A,"="&amp;'DFP-Com'!$A22,'Contract level'!AU:AU)</f>
        <v>0</v>
      </c>
      <c r="O22" s="209">
        <f>SUMIF('Contract level'!$A:$A,"="&amp;'DFP-Com'!$A22,'Contract level'!AV:AV)</f>
        <v>0</v>
      </c>
      <c r="P22" s="209">
        <f>SUMIF('Contract level'!$A:$A,"="&amp;'DFP-Com'!$A22,'Contract level'!AW:AW)</f>
        <v>0</v>
      </c>
      <c r="Q22" s="209">
        <f>SUMIF('Contract level'!$A:$A,"="&amp;'DFP-Com'!$A22,'Contract level'!AX:AX)</f>
        <v>48000</v>
      </c>
      <c r="R22" s="209">
        <f>SUMIF('Contract level'!$A:$A,"="&amp;'DFP-Com'!$A22,'Contract level'!AY:AY)</f>
        <v>0</v>
      </c>
      <c r="S22" s="209">
        <f>SUMIF('Contract level'!$A:$A,"="&amp;'DFP-Com'!$A22,'Contract level'!AZ:AZ)</f>
        <v>0</v>
      </c>
      <c r="T22" s="209">
        <f>SUMIF('Contract level'!$A:$A,"="&amp;'DFP-Com'!$A22,'Contract level'!BA:BA)</f>
        <v>0</v>
      </c>
      <c r="U22" s="209">
        <f>SUMIF('Contract level'!$A:$A,"="&amp;'DFP-Com'!$A22,'Contract level'!BB:BB)</f>
        <v>12000</v>
      </c>
      <c r="V22" s="209">
        <f>SUM(H22:U22)+D22+C22</f>
        <v>4156000</v>
      </c>
      <c r="W22" s="210"/>
      <c r="X22" s="306"/>
      <c r="Y22" s="213"/>
    </row>
    <row r="23" spans="1:25" s="214" customFormat="1" ht="15" outlineLevel="1">
      <c r="A23" s="211">
        <v>1.3</v>
      </c>
      <c r="B23" s="52" t="s">
        <v>97</v>
      </c>
      <c r="C23" s="203">
        <f>SUM(C24:C26)</f>
        <v>0</v>
      </c>
      <c r="D23" s="203">
        <f aca="true" t="shared" si="4" ref="D23:V23">SUM(D24:D26)</f>
        <v>0</v>
      </c>
      <c r="E23" s="203">
        <f t="shared" si="4"/>
        <v>0</v>
      </c>
      <c r="F23" s="203">
        <f t="shared" si="4"/>
        <v>24000</v>
      </c>
      <c r="G23" s="203">
        <f t="shared" si="4"/>
        <v>0</v>
      </c>
      <c r="H23" s="203">
        <f t="shared" si="4"/>
        <v>24000</v>
      </c>
      <c r="I23" s="203">
        <f t="shared" si="4"/>
        <v>2560000</v>
      </c>
      <c r="J23" s="203">
        <f t="shared" si="4"/>
        <v>0</v>
      </c>
      <c r="K23" s="203">
        <f t="shared" si="4"/>
        <v>0</v>
      </c>
      <c r="L23" s="203">
        <f t="shared" si="4"/>
        <v>24000</v>
      </c>
      <c r="M23" s="203">
        <f t="shared" si="4"/>
        <v>60000</v>
      </c>
      <c r="N23" s="203">
        <f t="shared" si="4"/>
        <v>0</v>
      </c>
      <c r="O23" s="203">
        <f t="shared" si="4"/>
        <v>0</v>
      </c>
      <c r="P23" s="203">
        <f t="shared" si="4"/>
        <v>24000</v>
      </c>
      <c r="Q23" s="203">
        <f t="shared" si="4"/>
        <v>60000</v>
      </c>
      <c r="R23" s="203">
        <f aca="true" t="shared" si="5" ref="R23:U23">SUM(R24:R26)</f>
        <v>0</v>
      </c>
      <c r="S23" s="203">
        <f t="shared" si="5"/>
        <v>0</v>
      </c>
      <c r="T23" s="203">
        <f t="shared" si="5"/>
        <v>12000</v>
      </c>
      <c r="U23" s="203">
        <f t="shared" si="5"/>
        <v>15000</v>
      </c>
      <c r="V23" s="203">
        <f t="shared" si="4"/>
        <v>2779000</v>
      </c>
      <c r="W23" s="205">
        <f>'QFR - B'!G17</f>
        <v>3000000</v>
      </c>
      <c r="X23" s="305">
        <f>W23-V23</f>
        <v>221000</v>
      </c>
      <c r="Y23" s="213"/>
    </row>
    <row r="24" spans="1:25" s="214" customFormat="1" ht="12.95" customHeight="1" outlineLevel="1">
      <c r="A24" s="211" t="s">
        <v>170</v>
      </c>
      <c r="B24" s="207" t="s">
        <v>136</v>
      </c>
      <c r="C24" s="208"/>
      <c r="D24" s="209">
        <f>SUMIF('Contract level'!$A:$A,"="&amp;'DFP-Com'!$A24,'Contract level'!AN:AN)</f>
        <v>0</v>
      </c>
      <c r="E24" s="209"/>
      <c r="F24" s="209"/>
      <c r="G24" s="209"/>
      <c r="H24" s="209">
        <f>SUMIF('Contract level'!$A:$A,"="&amp;'DFP-Com'!$A24,'Contract level'!AO:AO)</f>
        <v>0</v>
      </c>
      <c r="I24" s="209">
        <f>SUMIF('Contract level'!$A:$A,"="&amp;'DFP-Com'!$A24,'Contract level'!AP:AP)</f>
        <v>2500000</v>
      </c>
      <c r="J24" s="209">
        <f>SUMIF('Contract level'!$A:$A,"="&amp;'DFP-Com'!$A24,'Contract level'!AQ:AQ)</f>
        <v>0</v>
      </c>
      <c r="K24" s="209">
        <f>SUMIF('Contract level'!$A:$A,"="&amp;'DFP-Com'!$A24,'Contract level'!AR:AR)</f>
        <v>0</v>
      </c>
      <c r="L24" s="209">
        <f>SUMIF('Contract level'!$A:$A,"="&amp;'DFP-Com'!$A24,'Contract level'!AS:AS)</f>
        <v>0</v>
      </c>
      <c r="M24" s="209">
        <f>SUMIF('Contract level'!$A:$A,"="&amp;'DFP-Com'!$A24,'Contract level'!AT:AT)</f>
        <v>0</v>
      </c>
      <c r="N24" s="209">
        <f>SUMIF('Contract level'!$A:$A,"="&amp;'DFP-Com'!$A24,'Contract level'!AU:AU)</f>
        <v>0</v>
      </c>
      <c r="O24" s="209">
        <f>SUMIF('Contract level'!$A:$A,"="&amp;'DFP-Com'!$A24,'Contract level'!AV:AV)</f>
        <v>0</v>
      </c>
      <c r="P24" s="209">
        <f>SUMIF('Contract level'!$A:$A,"="&amp;'DFP-Com'!$A24,'Contract level'!AW:AW)</f>
        <v>0</v>
      </c>
      <c r="Q24" s="209">
        <f>SUMIF('Contract level'!$A:$A,"="&amp;'DFP-Com'!$A24,'Contract level'!AX:AX)</f>
        <v>0</v>
      </c>
      <c r="R24" s="209">
        <f>SUMIF('Contract level'!$A:$A,"="&amp;'DFP-Com'!$A24,'Contract level'!AY:AY)</f>
        <v>0</v>
      </c>
      <c r="S24" s="209">
        <f>SUMIF('Contract level'!$A:$A,"="&amp;'DFP-Com'!$A24,'Contract level'!AZ:AZ)</f>
        <v>0</v>
      </c>
      <c r="T24" s="209">
        <f>SUMIF('Contract level'!$A:$A,"="&amp;'DFP-Com'!$A24,'Contract level'!BA:BA)</f>
        <v>0</v>
      </c>
      <c r="U24" s="209">
        <f>SUMIF('Contract level'!$A:$A,"="&amp;'DFP-Com'!$A24,'Contract level'!BB:BB)</f>
        <v>0</v>
      </c>
      <c r="V24" s="209">
        <f>SUM(H24:U24)+D24+C24</f>
        <v>2500000</v>
      </c>
      <c r="W24" s="210"/>
      <c r="X24" s="306"/>
      <c r="Y24" s="213"/>
    </row>
    <row r="25" spans="1:25" s="214" customFormat="1" ht="12.95" customHeight="1" outlineLevel="1">
      <c r="A25" s="211" t="s">
        <v>171</v>
      </c>
      <c r="B25" s="207" t="s">
        <v>153</v>
      </c>
      <c r="C25" s="208"/>
      <c r="D25" s="209">
        <f>SUMIF('Contract level'!$A:$A,"="&amp;'DFP-Com'!$A25,'Contract level'!AN:AN)</f>
        <v>0</v>
      </c>
      <c r="E25" s="209"/>
      <c r="F25" s="209">
        <f>H25</f>
        <v>24000</v>
      </c>
      <c r="G25" s="209"/>
      <c r="H25" s="209">
        <f>SUMIF('Contract level'!$A:$A,"="&amp;'DFP-Com'!$A25,'Contract level'!AO:AO)</f>
        <v>24000</v>
      </c>
      <c r="I25" s="209">
        <f>SUMIF('Contract level'!$A:$A,"="&amp;'DFP-Com'!$A25,'Contract level'!AP:AP)</f>
        <v>60000</v>
      </c>
      <c r="J25" s="209">
        <f>SUMIF('Contract level'!$A:$A,"="&amp;'DFP-Com'!$A25,'Contract level'!AQ:AQ)</f>
        <v>0</v>
      </c>
      <c r="K25" s="209">
        <f>SUMIF('Contract level'!$A:$A,"="&amp;'DFP-Com'!$A25,'Contract level'!AR:AR)</f>
        <v>0</v>
      </c>
      <c r="L25" s="209">
        <f>SUMIF('Contract level'!$A:$A,"="&amp;'DFP-Com'!$A25,'Contract level'!AS:AS)</f>
        <v>24000</v>
      </c>
      <c r="M25" s="209">
        <f>SUMIF('Contract level'!$A:$A,"="&amp;'DFP-Com'!$A25,'Contract level'!AT:AT)</f>
        <v>60000</v>
      </c>
      <c r="N25" s="209">
        <f>SUMIF('Contract level'!$A:$A,"="&amp;'DFP-Com'!$A25,'Contract level'!AU:AU)</f>
        <v>0</v>
      </c>
      <c r="O25" s="209">
        <f>SUMIF('Contract level'!$A:$A,"="&amp;'DFP-Com'!$A25,'Contract level'!AV:AV)</f>
        <v>0</v>
      </c>
      <c r="P25" s="209">
        <f>SUMIF('Contract level'!$A:$A,"="&amp;'DFP-Com'!$A25,'Contract level'!AW:AW)</f>
        <v>24000</v>
      </c>
      <c r="Q25" s="209">
        <f>SUMIF('Contract level'!$A:$A,"="&amp;'DFP-Com'!$A25,'Contract level'!AX:AX)</f>
        <v>60000</v>
      </c>
      <c r="R25" s="209">
        <f>SUMIF('Contract level'!$A:$A,"="&amp;'DFP-Com'!$A25,'Contract level'!AY:AY)</f>
        <v>0</v>
      </c>
      <c r="S25" s="209">
        <f>SUMIF('Contract level'!$A:$A,"="&amp;'DFP-Com'!$A25,'Contract level'!AZ:AZ)</f>
        <v>0</v>
      </c>
      <c r="T25" s="209">
        <f>SUMIF('Contract level'!$A:$A,"="&amp;'DFP-Com'!$A25,'Contract level'!BA:BA)</f>
        <v>12000</v>
      </c>
      <c r="U25" s="209">
        <f>SUMIF('Contract level'!$A:$A,"="&amp;'DFP-Com'!$A25,'Contract level'!BB:BB)</f>
        <v>15000</v>
      </c>
      <c r="V25" s="209">
        <f>SUM(H25:U25)+D25+C25</f>
        <v>279000</v>
      </c>
      <c r="W25" s="210"/>
      <c r="X25" s="306"/>
      <c r="Y25" s="213"/>
    </row>
    <row r="26" spans="1:25" s="214" customFormat="1" ht="15" outlineLevel="1">
      <c r="A26" s="211" t="s">
        <v>172</v>
      </c>
      <c r="B26" s="207" t="s">
        <v>152</v>
      </c>
      <c r="C26" s="208"/>
      <c r="D26" s="209">
        <f>SUMIF('Contract level'!$A:$A,"="&amp;'DFP-Com'!$A26,'Contract level'!AN:AN)</f>
        <v>0</v>
      </c>
      <c r="E26" s="209"/>
      <c r="F26" s="209"/>
      <c r="G26" s="209"/>
      <c r="H26" s="209">
        <f>SUMIF('Contract level'!$A:$A,"="&amp;'DFP-Com'!$A26,'Contract level'!AO:AO)</f>
        <v>0</v>
      </c>
      <c r="I26" s="209">
        <f>SUMIF('Contract level'!$A:$A,"="&amp;'DFP-Com'!$A26,'Contract level'!AP:AP)</f>
        <v>0</v>
      </c>
      <c r="J26" s="209">
        <f>SUMIF('Contract level'!$A:$A,"="&amp;'DFP-Com'!$A26,'Contract level'!AQ:AQ)</f>
        <v>0</v>
      </c>
      <c r="K26" s="209">
        <f>SUMIF('Contract level'!$A:$A,"="&amp;'DFP-Com'!$A26,'Contract level'!AR:AR)</f>
        <v>0</v>
      </c>
      <c r="L26" s="209">
        <f>SUMIF('Contract level'!$A:$A,"="&amp;'DFP-Com'!$A26,'Contract level'!AS:AS)</f>
        <v>0</v>
      </c>
      <c r="M26" s="209">
        <f>SUMIF('Contract level'!$A:$A,"="&amp;'DFP-Com'!$A26,'Contract level'!AT:AT)</f>
        <v>0</v>
      </c>
      <c r="N26" s="209">
        <f>SUMIF('Contract level'!$A:$A,"="&amp;'DFP-Com'!$A26,'Contract level'!AU:AU)</f>
        <v>0</v>
      </c>
      <c r="O26" s="209">
        <f>SUMIF('Contract level'!$A:$A,"="&amp;'DFP-Com'!$A26,'Contract level'!AV:AV)</f>
        <v>0</v>
      </c>
      <c r="P26" s="209">
        <f>SUMIF('Contract level'!$A:$A,"="&amp;'DFP-Com'!$A26,'Contract level'!AW:AW)</f>
        <v>0</v>
      </c>
      <c r="Q26" s="209">
        <f>SUMIF('Contract level'!$A:$A,"="&amp;'DFP-Com'!$A26,'Contract level'!AX:AX)</f>
        <v>0</v>
      </c>
      <c r="R26" s="209">
        <f>SUMIF('Contract level'!$A:$A,"="&amp;'DFP-Com'!$A26,'Contract level'!AY:AY)</f>
        <v>0</v>
      </c>
      <c r="S26" s="209">
        <f>SUMIF('Contract level'!$A:$A,"="&amp;'DFP-Com'!$A26,'Contract level'!AZ:AZ)</f>
        <v>0</v>
      </c>
      <c r="T26" s="209">
        <f>SUMIF('Contract level'!$A:$A,"="&amp;'DFP-Com'!$A26,'Contract level'!BA:BA)</f>
        <v>0</v>
      </c>
      <c r="U26" s="209">
        <f>SUMIF('Contract level'!$A:$A,"="&amp;'DFP-Com'!$A26,'Contract level'!BB:BB)</f>
        <v>0</v>
      </c>
      <c r="V26" s="209">
        <f>SUM(H26:U26)+D26+C26</f>
        <v>0</v>
      </c>
      <c r="W26" s="210"/>
      <c r="X26" s="306"/>
      <c r="Y26" s="213"/>
    </row>
    <row r="27" spans="1:25" s="214" customFormat="1" ht="15">
      <c r="A27" s="211" t="str">
        <f t="shared" si="2"/>
        <v>TOTA</v>
      </c>
      <c r="B27" s="54" t="s">
        <v>69</v>
      </c>
      <c r="C27" s="204">
        <f>C23+C21+C17</f>
        <v>0</v>
      </c>
      <c r="D27" s="204">
        <f aca="true" t="shared" si="6" ref="D27:V27">D23+D21+D17</f>
        <v>0</v>
      </c>
      <c r="E27" s="204">
        <f t="shared" si="6"/>
        <v>0</v>
      </c>
      <c r="F27" s="204">
        <f t="shared" si="6"/>
        <v>24000</v>
      </c>
      <c r="G27" s="204">
        <f t="shared" si="6"/>
        <v>0</v>
      </c>
      <c r="H27" s="204">
        <f t="shared" si="6"/>
        <v>24000</v>
      </c>
      <c r="I27" s="204">
        <f t="shared" si="6"/>
        <v>11108000</v>
      </c>
      <c r="J27" s="204">
        <f t="shared" si="6"/>
        <v>0</v>
      </c>
      <c r="K27" s="204">
        <f t="shared" si="6"/>
        <v>4000000</v>
      </c>
      <c r="L27" s="204">
        <f t="shared" si="6"/>
        <v>3024000</v>
      </c>
      <c r="M27" s="204">
        <f t="shared" si="6"/>
        <v>308000</v>
      </c>
      <c r="N27" s="204">
        <f t="shared" si="6"/>
        <v>0</v>
      </c>
      <c r="O27" s="204">
        <f t="shared" si="6"/>
        <v>0</v>
      </c>
      <c r="P27" s="204">
        <f t="shared" si="6"/>
        <v>24000</v>
      </c>
      <c r="Q27" s="204">
        <f t="shared" si="6"/>
        <v>108000</v>
      </c>
      <c r="R27" s="204">
        <f aca="true" t="shared" si="7" ref="R27:U27">R23+R21+R17</f>
        <v>0</v>
      </c>
      <c r="S27" s="204">
        <f t="shared" si="7"/>
        <v>0</v>
      </c>
      <c r="T27" s="204">
        <f t="shared" si="7"/>
        <v>12000</v>
      </c>
      <c r="U27" s="204">
        <f t="shared" si="7"/>
        <v>27000</v>
      </c>
      <c r="V27" s="204">
        <f t="shared" si="6"/>
        <v>18635000</v>
      </c>
      <c r="W27" s="206">
        <f>W17+W21+W23</f>
        <v>19300000</v>
      </c>
      <c r="X27" s="307">
        <f>X17+X21+X23</f>
        <v>665000</v>
      </c>
      <c r="Y27" s="213"/>
    </row>
    <row r="28" spans="1:25" s="40" customFormat="1" ht="15">
      <c r="A28" s="211" t="str">
        <f t="shared" si="2"/>
        <v/>
      </c>
      <c r="B28" s="56"/>
      <c r="C28" s="294"/>
      <c r="D28" s="223"/>
      <c r="E28" s="223"/>
      <c r="F28" s="223"/>
      <c r="G28" s="223"/>
      <c r="H28" s="223"/>
      <c r="I28" s="223"/>
      <c r="J28" s="223"/>
      <c r="K28" s="223"/>
      <c r="L28" s="223"/>
      <c r="M28" s="223"/>
      <c r="N28" s="223"/>
      <c r="O28" s="223"/>
      <c r="P28" s="223"/>
      <c r="Q28" s="223"/>
      <c r="R28" s="223"/>
      <c r="S28" s="223"/>
      <c r="T28" s="223"/>
      <c r="U28" s="223"/>
      <c r="V28" s="223"/>
      <c r="W28" s="290"/>
      <c r="X28" s="308"/>
      <c r="Y28" s="39"/>
    </row>
    <row r="29" spans="1:25" s="40" customFormat="1" ht="15">
      <c r="A29" s="211" t="str">
        <f t="shared" si="2"/>
        <v>2. R</v>
      </c>
      <c r="B29" s="47" t="s">
        <v>100</v>
      </c>
      <c r="C29" s="295"/>
      <c r="D29" s="224"/>
      <c r="E29" s="224"/>
      <c r="F29" s="224"/>
      <c r="G29" s="224"/>
      <c r="H29" s="224"/>
      <c r="I29" s="224"/>
      <c r="J29" s="224"/>
      <c r="K29" s="224"/>
      <c r="L29" s="224"/>
      <c r="M29" s="224"/>
      <c r="N29" s="224"/>
      <c r="O29" s="224"/>
      <c r="P29" s="224"/>
      <c r="Q29" s="224"/>
      <c r="R29" s="224"/>
      <c r="S29" s="224"/>
      <c r="T29" s="224"/>
      <c r="U29" s="224"/>
      <c r="V29" s="224"/>
      <c r="W29" s="291"/>
      <c r="X29" s="309"/>
      <c r="Y29" s="39"/>
    </row>
    <row r="30" spans="1:25" s="40" customFormat="1" ht="15" outlineLevel="1">
      <c r="A30" s="211">
        <v>2.1</v>
      </c>
      <c r="B30" s="52" t="s">
        <v>154</v>
      </c>
      <c r="C30" s="226">
        <f aca="true" t="shared" si="8" ref="C30:V30">SUM(C31:C31)</f>
        <v>0</v>
      </c>
      <c r="D30" s="226">
        <f t="shared" si="8"/>
        <v>0</v>
      </c>
      <c r="E30" s="226">
        <f t="shared" si="8"/>
        <v>0</v>
      </c>
      <c r="F30" s="226">
        <f t="shared" si="8"/>
        <v>0</v>
      </c>
      <c r="G30" s="226">
        <f t="shared" si="8"/>
        <v>104000</v>
      </c>
      <c r="H30" s="226">
        <f t="shared" si="8"/>
        <v>104000</v>
      </c>
      <c r="I30" s="226">
        <f t="shared" si="8"/>
        <v>140000</v>
      </c>
      <c r="J30" s="226">
        <f t="shared" si="8"/>
        <v>0</v>
      </c>
      <c r="K30" s="226">
        <f t="shared" si="8"/>
        <v>0</v>
      </c>
      <c r="L30" s="226">
        <f t="shared" si="8"/>
        <v>0</v>
      </c>
      <c r="M30" s="226">
        <f t="shared" si="8"/>
        <v>140000</v>
      </c>
      <c r="N30" s="226">
        <f t="shared" si="8"/>
        <v>0</v>
      </c>
      <c r="O30" s="226">
        <f t="shared" si="8"/>
        <v>0</v>
      </c>
      <c r="P30" s="226">
        <f t="shared" si="8"/>
        <v>0</v>
      </c>
      <c r="Q30" s="226">
        <f t="shared" si="8"/>
        <v>0</v>
      </c>
      <c r="R30" s="226">
        <f t="shared" si="8"/>
        <v>0</v>
      </c>
      <c r="S30" s="226">
        <f t="shared" si="8"/>
        <v>0</v>
      </c>
      <c r="T30" s="226">
        <f t="shared" si="8"/>
        <v>0</v>
      </c>
      <c r="U30" s="226">
        <f t="shared" si="8"/>
        <v>0</v>
      </c>
      <c r="V30" s="226">
        <f t="shared" si="8"/>
        <v>384000</v>
      </c>
      <c r="W30" s="205">
        <f>'QFR - B'!G20</f>
        <v>800000</v>
      </c>
      <c r="X30" s="305">
        <f>W30-V30</f>
        <v>416000</v>
      </c>
      <c r="Y30" s="39"/>
    </row>
    <row r="31" spans="1:25" s="214" customFormat="1" ht="15" outlineLevel="1">
      <c r="A31" s="211" t="s">
        <v>173</v>
      </c>
      <c r="B31" s="207" t="s">
        <v>147</v>
      </c>
      <c r="C31" s="208"/>
      <c r="D31" s="209">
        <f>SUMIF('Contract level'!$A:$A,"="&amp;'DFP-Com'!$A31,'Contract level'!AN:AN)</f>
        <v>0</v>
      </c>
      <c r="E31" s="209"/>
      <c r="F31" s="209"/>
      <c r="G31" s="209">
        <f>+H31</f>
        <v>104000</v>
      </c>
      <c r="H31" s="209">
        <f>SUMIF('Contract level'!$A:$A,"="&amp;'DFP-Com'!$A31,'Contract level'!AO:AO)</f>
        <v>104000</v>
      </c>
      <c r="I31" s="209">
        <f>SUMIF('Contract level'!$A:$A,"="&amp;'DFP-Com'!$A31,'Contract level'!AP:AP)</f>
        <v>140000</v>
      </c>
      <c r="J31" s="209">
        <f>SUMIF('Contract level'!$A:$A,"="&amp;'DFP-Com'!$A31,'Contract level'!AQ:AQ)</f>
        <v>0</v>
      </c>
      <c r="K31" s="209">
        <f>SUMIF('Contract level'!$A:$A,"="&amp;'DFP-Com'!$A31,'Contract level'!AR:AR)</f>
        <v>0</v>
      </c>
      <c r="L31" s="209">
        <f>SUMIF('Contract level'!$A:$A,"="&amp;'DFP-Com'!$A31,'Contract level'!AS:AS)</f>
        <v>0</v>
      </c>
      <c r="M31" s="209">
        <f>SUMIF('Contract level'!$A:$A,"="&amp;'DFP-Com'!$A31,'Contract level'!AT:AT)</f>
        <v>140000</v>
      </c>
      <c r="N31" s="209">
        <f>SUMIF('Contract level'!$A:$A,"="&amp;'DFP-Com'!$A31,'Contract level'!AU:AU)</f>
        <v>0</v>
      </c>
      <c r="O31" s="209">
        <f>SUMIF('Contract level'!$A:$A,"="&amp;'DFP-Com'!$A31,'Contract level'!AV:AV)</f>
        <v>0</v>
      </c>
      <c r="P31" s="209">
        <f>SUMIF('Contract level'!$A:$A,"="&amp;'DFP-Com'!$A31,'Contract level'!AW:AW)</f>
        <v>0</v>
      </c>
      <c r="Q31" s="209">
        <f>SUMIF('Contract level'!$A:$A,"="&amp;'DFP-Com'!$A31,'Contract level'!AX:AX)</f>
        <v>0</v>
      </c>
      <c r="R31" s="209">
        <f>SUMIF('Contract level'!$A:$A,"="&amp;'DFP-Com'!$A31,'Contract level'!AY:AY)</f>
        <v>0</v>
      </c>
      <c r="S31" s="209">
        <f>SUMIF('Contract level'!$A:$A,"="&amp;'DFP-Com'!$A31,'Contract level'!AZ:AZ)</f>
        <v>0</v>
      </c>
      <c r="T31" s="209">
        <f>SUMIF('Contract level'!$A:$A,"="&amp;'DFP-Com'!$A31,'Contract level'!BA:BA)</f>
        <v>0</v>
      </c>
      <c r="U31" s="209">
        <f>SUMIF('Contract level'!$A:$A,"="&amp;'DFP-Com'!$A31,'Contract level'!BB:BB)</f>
        <v>0</v>
      </c>
      <c r="V31" s="209">
        <f>SUM(H31:U31)+D31+C31</f>
        <v>384000</v>
      </c>
      <c r="W31" s="210"/>
      <c r="X31" s="306"/>
      <c r="Y31" s="213"/>
    </row>
    <row r="32" spans="1:25" s="40" customFormat="1" ht="15" outlineLevel="1">
      <c r="A32" s="211">
        <v>2.2</v>
      </c>
      <c r="B32" s="52" t="s">
        <v>104</v>
      </c>
      <c r="C32" s="203">
        <f>SUM(C33:C35)</f>
        <v>0</v>
      </c>
      <c r="D32" s="203">
        <f aca="true" t="shared" si="9" ref="D32:Q32">SUM(D33:D35)</f>
        <v>223500</v>
      </c>
      <c r="E32" s="203">
        <f t="shared" si="9"/>
        <v>0</v>
      </c>
      <c r="F32" s="203">
        <f t="shared" si="9"/>
        <v>0</v>
      </c>
      <c r="G32" s="203">
        <f t="shared" si="9"/>
        <v>120000</v>
      </c>
      <c r="H32" s="203">
        <f t="shared" si="9"/>
        <v>120000</v>
      </c>
      <c r="I32" s="203">
        <f t="shared" si="9"/>
        <v>850000</v>
      </c>
      <c r="J32" s="203">
        <f t="shared" si="9"/>
        <v>347000</v>
      </c>
      <c r="K32" s="203">
        <f t="shared" si="9"/>
        <v>400000</v>
      </c>
      <c r="L32" s="203">
        <f t="shared" si="9"/>
        <v>0</v>
      </c>
      <c r="M32" s="203">
        <f t="shared" si="9"/>
        <v>0</v>
      </c>
      <c r="N32" s="203">
        <f t="shared" si="9"/>
        <v>147000</v>
      </c>
      <c r="O32" s="203">
        <f t="shared" si="9"/>
        <v>0</v>
      </c>
      <c r="P32" s="203">
        <f t="shared" si="9"/>
        <v>0</v>
      </c>
      <c r="Q32" s="203">
        <f t="shared" si="9"/>
        <v>0</v>
      </c>
      <c r="R32" s="203">
        <f aca="true" t="shared" si="10" ref="R32:U32">SUM(R33:R35)</f>
        <v>0</v>
      </c>
      <c r="S32" s="203">
        <f t="shared" si="10"/>
        <v>0</v>
      </c>
      <c r="T32" s="203">
        <f t="shared" si="10"/>
        <v>0</v>
      </c>
      <c r="U32" s="203">
        <f t="shared" si="10"/>
        <v>0</v>
      </c>
      <c r="V32" s="203">
        <f>SUM(V33:V35)</f>
        <v>2087500</v>
      </c>
      <c r="W32" s="205">
        <f>'QFR - B'!G21</f>
        <v>3600000</v>
      </c>
      <c r="X32" s="305">
        <f>W32-V32</f>
        <v>1512500</v>
      </c>
      <c r="Y32" s="39"/>
    </row>
    <row r="33" spans="1:25" s="214" customFormat="1" ht="15" outlineLevel="1">
      <c r="A33" s="211" t="s">
        <v>174</v>
      </c>
      <c r="B33" s="207" t="s">
        <v>148</v>
      </c>
      <c r="C33" s="208"/>
      <c r="D33" s="209">
        <f>SUMIF('Contract level'!$A:$A,"="&amp;'DFP-Com'!$A33,'Contract level'!AN:AN)</f>
        <v>223500</v>
      </c>
      <c r="E33" s="209"/>
      <c r="F33" s="209"/>
      <c r="G33" s="209">
        <f>+H33</f>
        <v>120000</v>
      </c>
      <c r="H33" s="209">
        <f>SUMIF('Contract level'!$A:$A,"="&amp;'DFP-Com'!$A33,'Contract level'!AO:AO)</f>
        <v>120000</v>
      </c>
      <c r="I33" s="209">
        <f>SUMIF('Contract level'!$A:$A,"="&amp;'DFP-Com'!$A33,'Contract level'!AP:AP)</f>
        <v>0</v>
      </c>
      <c r="J33" s="209">
        <f>SUMIF('Contract level'!$A:$A,"="&amp;'DFP-Com'!$A33,'Contract level'!AQ:AQ)</f>
        <v>147000</v>
      </c>
      <c r="K33" s="209">
        <f>SUMIF('Contract level'!$A:$A,"="&amp;'DFP-Com'!$A33,'Contract level'!AR:AR)</f>
        <v>150000</v>
      </c>
      <c r="L33" s="209">
        <f>SUMIF('Contract level'!$A:$A,"="&amp;'DFP-Com'!$A33,'Contract level'!AS:AS)</f>
        <v>0</v>
      </c>
      <c r="M33" s="209">
        <f>SUMIF('Contract level'!$A:$A,"="&amp;'DFP-Com'!$A33,'Contract level'!AT:AT)</f>
        <v>0</v>
      </c>
      <c r="N33" s="209">
        <f>SUMIF('Contract level'!$A:$A,"="&amp;'DFP-Com'!$A33,'Contract level'!AU:AU)</f>
        <v>147000</v>
      </c>
      <c r="O33" s="209">
        <f>SUMIF('Contract level'!$A:$A,"="&amp;'DFP-Com'!$A33,'Contract level'!AV:AV)</f>
        <v>0</v>
      </c>
      <c r="P33" s="209">
        <f>SUMIF('Contract level'!$A:$A,"="&amp;'DFP-Com'!$A33,'Contract level'!AW:AW)</f>
        <v>0</v>
      </c>
      <c r="Q33" s="209">
        <f>SUMIF('Contract level'!$A:$A,"="&amp;'DFP-Com'!$A33,'Contract level'!AX:AX)</f>
        <v>0</v>
      </c>
      <c r="R33" s="209">
        <f>SUMIF('Contract level'!$A:$A,"="&amp;'DFP-Com'!$A33,'Contract level'!AY:AY)</f>
        <v>0</v>
      </c>
      <c r="S33" s="209">
        <f>SUMIF('Contract level'!$A:$A,"="&amp;'DFP-Com'!$A33,'Contract level'!AZ:AZ)</f>
        <v>0</v>
      </c>
      <c r="T33" s="209">
        <f>SUMIF('Contract level'!$A:$A,"="&amp;'DFP-Com'!$A33,'Contract level'!BA:BA)</f>
        <v>0</v>
      </c>
      <c r="U33" s="209">
        <f>SUMIF('Contract level'!$A:$A,"="&amp;'DFP-Com'!$A33,'Contract level'!BB:BB)</f>
        <v>0</v>
      </c>
      <c r="V33" s="209">
        <f>SUM(H33:U33)+D33+C33</f>
        <v>787500</v>
      </c>
      <c r="W33" s="210"/>
      <c r="X33" s="306"/>
      <c r="Y33" s="213"/>
    </row>
    <row r="34" spans="1:25" s="214" customFormat="1" ht="15" outlineLevel="1">
      <c r="A34" s="211" t="s">
        <v>175</v>
      </c>
      <c r="B34" s="207" t="s">
        <v>149</v>
      </c>
      <c r="C34" s="208"/>
      <c r="D34" s="209">
        <f>SUMIF('Contract level'!$A:$A,"="&amp;'DFP-Com'!$A34,'Contract level'!AN:AN)</f>
        <v>0</v>
      </c>
      <c r="E34" s="209"/>
      <c r="F34" s="209"/>
      <c r="G34" s="209"/>
      <c r="H34" s="209">
        <f>SUMIF('Contract level'!$A:$A,"="&amp;'DFP-Com'!$A34,'Contract level'!AO:AO)</f>
        <v>0</v>
      </c>
      <c r="I34" s="209">
        <f>SUMIF('Contract level'!$A:$A,"="&amp;'DFP-Com'!$A34,'Contract level'!AP:AP)</f>
        <v>850000</v>
      </c>
      <c r="J34" s="209">
        <f>SUMIF('Contract level'!$A:$A,"="&amp;'DFP-Com'!$A34,'Contract level'!AQ:AQ)</f>
        <v>200000</v>
      </c>
      <c r="K34" s="209">
        <f>SUMIF('Contract level'!$A:$A,"="&amp;'DFP-Com'!$A34,'Contract level'!AR:AR)</f>
        <v>250000</v>
      </c>
      <c r="L34" s="209">
        <f>SUMIF('Contract level'!$A:$A,"="&amp;'DFP-Com'!$A34,'Contract level'!AS:AS)</f>
        <v>0</v>
      </c>
      <c r="M34" s="209">
        <f>SUMIF('Contract level'!$A:$A,"="&amp;'DFP-Com'!$A34,'Contract level'!AT:AT)</f>
        <v>0</v>
      </c>
      <c r="N34" s="209">
        <f>SUMIF('Contract level'!$A:$A,"="&amp;'DFP-Com'!$A34,'Contract level'!AU:AU)</f>
        <v>0</v>
      </c>
      <c r="O34" s="209">
        <f>SUMIF('Contract level'!$A:$A,"="&amp;'DFP-Com'!$A34,'Contract level'!AV:AV)</f>
        <v>0</v>
      </c>
      <c r="P34" s="209">
        <f>SUMIF('Contract level'!$A:$A,"="&amp;'DFP-Com'!$A34,'Contract level'!AW:AW)</f>
        <v>0</v>
      </c>
      <c r="Q34" s="209">
        <f>SUMIF('Contract level'!$A:$A,"="&amp;'DFP-Com'!$A34,'Contract level'!AX:AX)</f>
        <v>0</v>
      </c>
      <c r="R34" s="209">
        <f>SUMIF('Contract level'!$A:$A,"="&amp;'DFP-Com'!$A34,'Contract level'!AY:AY)</f>
        <v>0</v>
      </c>
      <c r="S34" s="209">
        <f>SUMIF('Contract level'!$A:$A,"="&amp;'DFP-Com'!$A34,'Contract level'!AZ:AZ)</f>
        <v>0</v>
      </c>
      <c r="T34" s="209">
        <f>SUMIF('Contract level'!$A:$A,"="&amp;'DFP-Com'!$A34,'Contract level'!BA:BA)</f>
        <v>0</v>
      </c>
      <c r="U34" s="209">
        <f>SUMIF('Contract level'!$A:$A,"="&amp;'DFP-Com'!$A34,'Contract level'!BB:BB)</f>
        <v>0</v>
      </c>
      <c r="V34" s="209">
        <f>SUM(H34:U34)+D34+C34</f>
        <v>1300000</v>
      </c>
      <c r="W34" s="210"/>
      <c r="X34" s="306"/>
      <c r="Y34" s="213"/>
    </row>
    <row r="35" spans="1:25" s="214" customFormat="1" ht="15" outlineLevel="1">
      <c r="A35" s="211" t="s">
        <v>176</v>
      </c>
      <c r="B35" s="207" t="s">
        <v>151</v>
      </c>
      <c r="C35" s="208"/>
      <c r="D35" s="209">
        <f>SUMIF('Contract level'!$A:$A,"="&amp;'DFP-Com'!$A35,'Contract level'!AN:AN)</f>
        <v>0</v>
      </c>
      <c r="E35" s="209"/>
      <c r="F35" s="209"/>
      <c r="G35" s="209"/>
      <c r="H35" s="209">
        <f>SUMIF('Contract level'!$A:$A,"="&amp;'DFP-Com'!$A35,'Contract level'!AO:AO)</f>
        <v>0</v>
      </c>
      <c r="I35" s="209">
        <f>SUMIF('Contract level'!$A:$A,"="&amp;'DFP-Com'!$A35,'Contract level'!AP:AP)</f>
        <v>0</v>
      </c>
      <c r="J35" s="209">
        <f>SUMIF('Contract level'!$A:$A,"="&amp;'DFP-Com'!$A35,'Contract level'!AQ:AQ)</f>
        <v>0</v>
      </c>
      <c r="K35" s="209">
        <f>SUMIF('Contract level'!$A:$A,"="&amp;'DFP-Com'!$A35,'Contract level'!AR:AR)</f>
        <v>0</v>
      </c>
      <c r="L35" s="209">
        <f>SUMIF('Contract level'!$A:$A,"="&amp;'DFP-Com'!$A35,'Contract level'!AS:AS)</f>
        <v>0</v>
      </c>
      <c r="M35" s="209">
        <f>SUMIF('Contract level'!$A:$A,"="&amp;'DFP-Com'!$A35,'Contract level'!AT:AT)</f>
        <v>0</v>
      </c>
      <c r="N35" s="209">
        <f>SUMIF('Contract level'!$A:$A,"="&amp;'DFP-Com'!$A35,'Contract level'!AU:AU)</f>
        <v>0</v>
      </c>
      <c r="O35" s="209">
        <f>SUMIF('Contract level'!$A:$A,"="&amp;'DFP-Com'!$A35,'Contract level'!AV:AV)</f>
        <v>0</v>
      </c>
      <c r="P35" s="209">
        <f>SUMIF('Contract level'!$A:$A,"="&amp;'DFP-Com'!$A35,'Contract level'!AW:AW)</f>
        <v>0</v>
      </c>
      <c r="Q35" s="209">
        <f>SUMIF('Contract level'!$A:$A,"="&amp;'DFP-Com'!$A35,'Contract level'!AX:AX)</f>
        <v>0</v>
      </c>
      <c r="R35" s="209">
        <f>SUMIF('Contract level'!$A:$A,"="&amp;'DFP-Com'!$A35,'Contract level'!AY:AY)</f>
        <v>0</v>
      </c>
      <c r="S35" s="209">
        <f>SUMIF('Contract level'!$A:$A,"="&amp;'DFP-Com'!$A35,'Contract level'!AZ:AZ)</f>
        <v>0</v>
      </c>
      <c r="T35" s="209">
        <f>SUMIF('Contract level'!$A:$A,"="&amp;'DFP-Com'!$A35,'Contract level'!BA:BA)</f>
        <v>0</v>
      </c>
      <c r="U35" s="209">
        <f>SUMIF('Contract level'!$A:$A,"="&amp;'DFP-Com'!$A35,'Contract level'!BB:BB)</f>
        <v>0</v>
      </c>
      <c r="V35" s="209">
        <f>SUM(H35:U35)+D35+C35</f>
        <v>0</v>
      </c>
      <c r="W35" s="210"/>
      <c r="X35" s="306"/>
      <c r="Y35" s="213"/>
    </row>
    <row r="36" spans="1:25" s="40" customFormat="1" ht="15">
      <c r="A36" s="211" t="str">
        <f t="shared" si="2"/>
        <v>TOTA</v>
      </c>
      <c r="B36" s="61" t="s">
        <v>70</v>
      </c>
      <c r="C36" s="204">
        <f>C32</f>
        <v>0</v>
      </c>
      <c r="D36" s="204">
        <f>D32+D30</f>
        <v>223500</v>
      </c>
      <c r="E36" s="204">
        <f aca="true" t="shared" si="11" ref="E36:F36">E32</f>
        <v>0</v>
      </c>
      <c r="F36" s="204">
        <f t="shared" si="11"/>
        <v>0</v>
      </c>
      <c r="G36" s="204">
        <f>G32+G30</f>
        <v>224000</v>
      </c>
      <c r="H36" s="204">
        <f>H32+H30</f>
        <v>224000</v>
      </c>
      <c r="I36" s="204">
        <f aca="true" t="shared" si="12" ref="I36:U36">I32+I30</f>
        <v>990000</v>
      </c>
      <c r="J36" s="204">
        <f t="shared" si="12"/>
        <v>347000</v>
      </c>
      <c r="K36" s="204">
        <f t="shared" si="12"/>
        <v>400000</v>
      </c>
      <c r="L36" s="204">
        <f t="shared" si="12"/>
        <v>0</v>
      </c>
      <c r="M36" s="204">
        <f t="shared" si="12"/>
        <v>140000</v>
      </c>
      <c r="N36" s="204">
        <f t="shared" si="12"/>
        <v>147000</v>
      </c>
      <c r="O36" s="204">
        <f t="shared" si="12"/>
        <v>0</v>
      </c>
      <c r="P36" s="204">
        <f t="shared" si="12"/>
        <v>0</v>
      </c>
      <c r="Q36" s="204">
        <f t="shared" si="12"/>
        <v>0</v>
      </c>
      <c r="R36" s="204">
        <f t="shared" si="12"/>
        <v>0</v>
      </c>
      <c r="S36" s="204">
        <f t="shared" si="12"/>
        <v>0</v>
      </c>
      <c r="T36" s="204">
        <f t="shared" si="12"/>
        <v>0</v>
      </c>
      <c r="U36" s="204">
        <f t="shared" si="12"/>
        <v>0</v>
      </c>
      <c r="V36" s="204">
        <f>V30+V32</f>
        <v>2471500</v>
      </c>
      <c r="W36" s="293">
        <f>SUM(W30:W35)</f>
        <v>4400000</v>
      </c>
      <c r="X36" s="307">
        <f>SUM(X29:X35)</f>
        <v>1928500</v>
      </c>
      <c r="Y36" s="39"/>
    </row>
    <row r="37" spans="1:25" s="40" customFormat="1" ht="15">
      <c r="A37" s="211" t="str">
        <f t="shared" si="2"/>
        <v/>
      </c>
      <c r="B37" s="56"/>
      <c r="C37" s="294"/>
      <c r="D37" s="223"/>
      <c r="E37" s="223"/>
      <c r="F37" s="223"/>
      <c r="G37" s="223"/>
      <c r="H37" s="223"/>
      <c r="I37" s="223"/>
      <c r="J37" s="223"/>
      <c r="K37" s="223"/>
      <c r="L37" s="223"/>
      <c r="M37" s="223"/>
      <c r="N37" s="223"/>
      <c r="O37" s="223"/>
      <c r="P37" s="223"/>
      <c r="Q37" s="223"/>
      <c r="R37" s="223"/>
      <c r="S37" s="223"/>
      <c r="T37" s="223"/>
      <c r="U37" s="223"/>
      <c r="V37" s="223"/>
      <c r="W37" s="290"/>
      <c r="X37" s="308"/>
      <c r="Y37" s="39"/>
    </row>
    <row r="38" spans="1:25" s="66" customFormat="1" ht="15">
      <c r="A38" s="211" t="str">
        <f t="shared" si="2"/>
        <v>3. M</v>
      </c>
      <c r="B38" s="47" t="s">
        <v>109</v>
      </c>
      <c r="C38" s="296"/>
      <c r="D38" s="287"/>
      <c r="E38" s="287"/>
      <c r="F38" s="287"/>
      <c r="G38" s="287"/>
      <c r="H38" s="287"/>
      <c r="I38" s="287"/>
      <c r="J38" s="287"/>
      <c r="K38" s="287"/>
      <c r="L38" s="287"/>
      <c r="M38" s="287"/>
      <c r="N38" s="287"/>
      <c r="O38" s="287"/>
      <c r="P38" s="287"/>
      <c r="Q38" s="287"/>
      <c r="R38" s="287"/>
      <c r="S38" s="287"/>
      <c r="T38" s="287"/>
      <c r="U38" s="287"/>
      <c r="V38" s="224"/>
      <c r="W38" s="291"/>
      <c r="X38" s="309"/>
      <c r="Y38" s="65"/>
    </row>
    <row r="39" spans="1:25" s="66" customFormat="1" ht="15" outlineLevel="1">
      <c r="A39" s="211" t="str">
        <f t="shared" si="2"/>
        <v xml:space="preserve">   M</v>
      </c>
      <c r="B39" s="67" t="s">
        <v>110</v>
      </c>
      <c r="C39" s="203">
        <f>SUM(C40:C42)</f>
        <v>0</v>
      </c>
      <c r="D39" s="203">
        <f aca="true" t="shared" si="13" ref="D39:Q39">SUM(D40:D42)</f>
        <v>0</v>
      </c>
      <c r="E39" s="203">
        <f t="shared" si="13"/>
        <v>0</v>
      </c>
      <c r="F39" s="203">
        <f t="shared" si="13"/>
        <v>0</v>
      </c>
      <c r="G39" s="203">
        <f t="shared" si="13"/>
        <v>106400</v>
      </c>
      <c r="H39" s="203">
        <f t="shared" si="13"/>
        <v>106400</v>
      </c>
      <c r="I39" s="203">
        <f t="shared" si="13"/>
        <v>100000</v>
      </c>
      <c r="J39" s="203">
        <f t="shared" si="13"/>
        <v>0</v>
      </c>
      <c r="K39" s="203">
        <f t="shared" si="13"/>
        <v>0</v>
      </c>
      <c r="L39" s="203">
        <f t="shared" si="13"/>
        <v>0</v>
      </c>
      <c r="M39" s="203">
        <f t="shared" si="13"/>
        <v>200000</v>
      </c>
      <c r="N39" s="203">
        <f t="shared" si="13"/>
        <v>0</v>
      </c>
      <c r="O39" s="203">
        <f t="shared" si="13"/>
        <v>0</v>
      </c>
      <c r="P39" s="203">
        <f t="shared" si="13"/>
        <v>0</v>
      </c>
      <c r="Q39" s="203">
        <f t="shared" si="13"/>
        <v>0</v>
      </c>
      <c r="R39" s="203">
        <f aca="true" t="shared" si="14" ref="R39:U39">SUM(R40:R42)</f>
        <v>0</v>
      </c>
      <c r="S39" s="203">
        <f t="shared" si="14"/>
        <v>0</v>
      </c>
      <c r="T39" s="203">
        <f t="shared" si="14"/>
        <v>0</v>
      </c>
      <c r="U39" s="203">
        <f t="shared" si="14"/>
        <v>900000</v>
      </c>
      <c r="V39" s="226">
        <f>SUM(V40:V42)</f>
        <v>1306400</v>
      </c>
      <c r="W39" s="205">
        <f>'QFR - B'!G24</f>
        <v>1700000</v>
      </c>
      <c r="X39" s="305">
        <f>W39-V39</f>
        <v>393600</v>
      </c>
      <c r="Y39" s="65"/>
    </row>
    <row r="40" spans="1:25" s="221" customFormat="1" ht="15" outlineLevel="1">
      <c r="A40" s="211" t="s">
        <v>177</v>
      </c>
      <c r="B40" s="218" t="s">
        <v>137</v>
      </c>
      <c r="C40" s="208"/>
      <c r="D40" s="209">
        <f>SUMIF('Contract level'!$A:$A,"="&amp;'DFP-Com'!$A40,'Contract level'!AN:AN)</f>
        <v>0</v>
      </c>
      <c r="E40" s="208"/>
      <c r="F40" s="208"/>
      <c r="G40" s="208">
        <f>H40</f>
        <v>106400</v>
      </c>
      <c r="H40" s="209">
        <f>SUMIF('Contract level'!$A:$A,"="&amp;'DFP-Com'!$A40,'Contract level'!AO:AO)</f>
        <v>106400</v>
      </c>
      <c r="I40" s="209">
        <f>SUMIF('Contract level'!$A:$A,"="&amp;'DFP-Com'!$A40,'Contract level'!AP:AP)</f>
        <v>0</v>
      </c>
      <c r="J40" s="209">
        <f>SUMIF('Contract level'!$A:$A,"="&amp;'DFP-Com'!$A40,'Contract level'!AQ:AQ)</f>
        <v>0</v>
      </c>
      <c r="K40" s="209">
        <f>SUMIF('Contract level'!$A:$A,"="&amp;'DFP-Com'!$A40,'Contract level'!AR:AR)</f>
        <v>0</v>
      </c>
      <c r="L40" s="209">
        <f>SUMIF('Contract level'!$A:$A,"="&amp;'DFP-Com'!$A40,'Contract level'!AS:AS)</f>
        <v>0</v>
      </c>
      <c r="M40" s="209">
        <f>SUMIF('Contract level'!$A:$A,"="&amp;'DFP-Com'!$A40,'Contract level'!AT:AT)</f>
        <v>100000</v>
      </c>
      <c r="N40" s="209">
        <f>SUMIF('Contract level'!$A:$A,"="&amp;'DFP-Com'!$A40,'Contract level'!AU:AU)</f>
        <v>0</v>
      </c>
      <c r="O40" s="209">
        <f>SUMIF('Contract level'!$A:$A,"="&amp;'DFP-Com'!$A40,'Contract level'!AV:AV)</f>
        <v>0</v>
      </c>
      <c r="P40" s="209">
        <f>SUMIF('Contract level'!$A:$A,"="&amp;'DFP-Com'!$A40,'Contract level'!AW:AW)</f>
        <v>0</v>
      </c>
      <c r="Q40" s="209">
        <f>SUMIF('Contract level'!$A:$A,"="&amp;'DFP-Com'!$A40,'Contract level'!AX:AX)</f>
        <v>0</v>
      </c>
      <c r="R40" s="209">
        <f>SUMIF('Contract level'!$A:$A,"="&amp;'DFP-Com'!$A40,'Contract level'!AY:AY)</f>
        <v>0</v>
      </c>
      <c r="S40" s="209">
        <f>SUMIF('Contract level'!$A:$A,"="&amp;'DFP-Com'!$A40,'Contract level'!AZ:AZ)</f>
        <v>0</v>
      </c>
      <c r="T40" s="209">
        <f>SUMIF('Contract level'!$A:$A,"="&amp;'DFP-Com'!$A40,'Contract level'!BA:BA)</f>
        <v>0</v>
      </c>
      <c r="U40" s="209">
        <f>SUMIF('Contract level'!$A:$A,"="&amp;'DFP-Com'!$A40,'Contract level'!BB:BB)</f>
        <v>500000</v>
      </c>
      <c r="V40" s="209">
        <f>SUM(H40:U40)+D40+C40</f>
        <v>706400</v>
      </c>
      <c r="W40" s="292"/>
      <c r="X40" s="310"/>
      <c r="Y40" s="220"/>
    </row>
    <row r="41" spans="1:25" s="221" customFormat="1" ht="15" outlineLevel="1">
      <c r="A41" s="211" t="s">
        <v>178</v>
      </c>
      <c r="B41" s="218" t="s">
        <v>138</v>
      </c>
      <c r="C41" s="208"/>
      <c r="D41" s="209">
        <f>SUMIF('Contract level'!$A:$A,"="&amp;'DFP-Com'!$A41,'Contract level'!AN:AN)</f>
        <v>0</v>
      </c>
      <c r="E41" s="208"/>
      <c r="F41" s="208"/>
      <c r="G41" s="208"/>
      <c r="H41" s="209">
        <f>SUMIF('Contract level'!$A:$A,"="&amp;'DFP-Com'!$A41,'Contract level'!AO:AO)</f>
        <v>0</v>
      </c>
      <c r="I41" s="209">
        <f>SUMIF('Contract level'!$A:$A,"="&amp;'DFP-Com'!$A41,'Contract level'!AP:AP)</f>
        <v>100000</v>
      </c>
      <c r="J41" s="209">
        <f>SUMIF('Contract level'!$A:$A,"="&amp;'DFP-Com'!$A41,'Contract level'!AQ:AQ)</f>
        <v>0</v>
      </c>
      <c r="K41" s="209">
        <f>SUMIF('Contract level'!$A:$A,"="&amp;'DFP-Com'!$A41,'Contract level'!AR:AR)</f>
        <v>0</v>
      </c>
      <c r="L41" s="209">
        <f>SUMIF('Contract level'!$A:$A,"="&amp;'DFP-Com'!$A41,'Contract level'!AS:AS)</f>
        <v>0</v>
      </c>
      <c r="M41" s="209">
        <f>SUMIF('Contract level'!$A:$A,"="&amp;'DFP-Com'!$A41,'Contract level'!AT:AT)</f>
        <v>0</v>
      </c>
      <c r="N41" s="209">
        <f>SUMIF('Contract level'!$A:$A,"="&amp;'DFP-Com'!$A41,'Contract level'!AU:AU)</f>
        <v>0</v>
      </c>
      <c r="O41" s="209">
        <f>SUMIF('Contract level'!$A:$A,"="&amp;'DFP-Com'!$A41,'Contract level'!AV:AV)</f>
        <v>0</v>
      </c>
      <c r="P41" s="209">
        <f>SUMIF('Contract level'!$A:$A,"="&amp;'DFP-Com'!$A41,'Contract level'!AW:AW)</f>
        <v>0</v>
      </c>
      <c r="Q41" s="209">
        <f>SUMIF('Contract level'!$A:$A,"="&amp;'DFP-Com'!$A41,'Contract level'!AX:AX)</f>
        <v>0</v>
      </c>
      <c r="R41" s="209">
        <f>SUMIF('Contract level'!$A:$A,"="&amp;'DFP-Com'!$A41,'Contract level'!AY:AY)</f>
        <v>0</v>
      </c>
      <c r="S41" s="209">
        <f>SUMIF('Contract level'!$A:$A,"="&amp;'DFP-Com'!$A41,'Contract level'!AZ:AZ)</f>
        <v>0</v>
      </c>
      <c r="T41" s="209">
        <f>SUMIF('Contract level'!$A:$A,"="&amp;'DFP-Com'!$A41,'Contract level'!BA:BA)</f>
        <v>0</v>
      </c>
      <c r="U41" s="209">
        <f>SUMIF('Contract level'!$A:$A,"="&amp;'DFP-Com'!$A41,'Contract level'!BB:BB)</f>
        <v>200000</v>
      </c>
      <c r="V41" s="209">
        <f>SUM(H41:U41)+D41+C41</f>
        <v>300000</v>
      </c>
      <c r="W41" s="292"/>
      <c r="X41" s="310"/>
      <c r="Y41" s="220"/>
    </row>
    <row r="42" spans="1:25" s="221" customFormat="1" ht="15" outlineLevel="1">
      <c r="A42" s="211" t="s">
        <v>179</v>
      </c>
      <c r="B42" s="218" t="s">
        <v>139</v>
      </c>
      <c r="C42" s="208"/>
      <c r="D42" s="209">
        <f>SUMIF('Contract level'!$A:$A,"="&amp;'DFP-Com'!$A42,'Contract level'!AN:AN)</f>
        <v>0</v>
      </c>
      <c r="E42" s="208"/>
      <c r="F42" s="208"/>
      <c r="G42" s="208"/>
      <c r="H42" s="209">
        <f>SUMIF('Contract level'!$A:$A,"="&amp;'DFP-Com'!$A42,'Contract level'!AO:AO)</f>
        <v>0</v>
      </c>
      <c r="I42" s="209">
        <f>SUMIF('Contract level'!$A:$A,"="&amp;'DFP-Com'!$A42,'Contract level'!AP:AP)</f>
        <v>0</v>
      </c>
      <c r="J42" s="209">
        <f>SUMIF('Contract level'!$A:$A,"="&amp;'DFP-Com'!$A42,'Contract level'!AQ:AQ)</f>
        <v>0</v>
      </c>
      <c r="K42" s="209">
        <f>SUMIF('Contract level'!$A:$A,"="&amp;'DFP-Com'!$A42,'Contract level'!AR:AR)</f>
        <v>0</v>
      </c>
      <c r="L42" s="209">
        <f>SUMIF('Contract level'!$A:$A,"="&amp;'DFP-Com'!$A42,'Contract level'!AS:AS)</f>
        <v>0</v>
      </c>
      <c r="M42" s="209">
        <f>SUMIF('Contract level'!$A:$A,"="&amp;'DFP-Com'!$A42,'Contract level'!AT:AT)</f>
        <v>100000</v>
      </c>
      <c r="N42" s="209">
        <f>SUMIF('Contract level'!$A:$A,"="&amp;'DFP-Com'!$A42,'Contract level'!AU:AU)</f>
        <v>0</v>
      </c>
      <c r="O42" s="209">
        <f>SUMIF('Contract level'!$A:$A,"="&amp;'DFP-Com'!$A42,'Contract level'!AV:AV)</f>
        <v>0</v>
      </c>
      <c r="P42" s="209">
        <f>SUMIF('Contract level'!$A:$A,"="&amp;'DFP-Com'!$A42,'Contract level'!AW:AW)</f>
        <v>0</v>
      </c>
      <c r="Q42" s="209">
        <f>SUMIF('Contract level'!$A:$A,"="&amp;'DFP-Com'!$A42,'Contract level'!AX:AX)</f>
        <v>0</v>
      </c>
      <c r="R42" s="209">
        <f>SUMIF('Contract level'!$A:$A,"="&amp;'DFP-Com'!$A42,'Contract level'!AY:AY)</f>
        <v>0</v>
      </c>
      <c r="S42" s="209">
        <f>SUMIF('Contract level'!$A:$A,"="&amp;'DFP-Com'!$A42,'Contract level'!AZ:AZ)</f>
        <v>0</v>
      </c>
      <c r="T42" s="209">
        <f>SUMIF('Contract level'!$A:$A,"="&amp;'DFP-Com'!$A42,'Contract level'!BA:BA)</f>
        <v>0</v>
      </c>
      <c r="U42" s="209">
        <f>SUMIF('Contract level'!$A:$A,"="&amp;'DFP-Com'!$A42,'Contract level'!BB:BB)</f>
        <v>200000</v>
      </c>
      <c r="V42" s="209">
        <f>SUM(H42:U42)+D42+C42</f>
        <v>300000</v>
      </c>
      <c r="W42" s="292"/>
      <c r="X42" s="310"/>
      <c r="Y42" s="220"/>
    </row>
    <row r="43" spans="1:25" s="221" customFormat="1" ht="15" outlineLevel="1">
      <c r="A43" s="211" t="s">
        <v>180</v>
      </c>
      <c r="B43" s="218" t="s">
        <v>150</v>
      </c>
      <c r="C43" s="208"/>
      <c r="D43" s="209">
        <f>SUMIF('Contract level'!$A:$A,"="&amp;'DFP-Com'!$A43,'Contract level'!AN:AN)</f>
        <v>0</v>
      </c>
      <c r="E43" s="208"/>
      <c r="F43" s="208"/>
      <c r="G43" s="208"/>
      <c r="H43" s="209">
        <f>SUMIF('Contract level'!$A:$A,"="&amp;'DFP-Com'!$A43,'Contract level'!AO:AO)</f>
        <v>0</v>
      </c>
      <c r="I43" s="209">
        <f>SUMIF('Contract level'!$A:$A,"="&amp;'DFP-Com'!$A43,'Contract level'!AP:AP)</f>
        <v>0</v>
      </c>
      <c r="J43" s="209">
        <f>SUMIF('Contract level'!$A:$A,"="&amp;'DFP-Com'!$A43,'Contract level'!AQ:AQ)</f>
        <v>0</v>
      </c>
      <c r="K43" s="209">
        <f>SUMIF('Contract level'!$A:$A,"="&amp;'DFP-Com'!$A43,'Contract level'!AR:AR)</f>
        <v>0</v>
      </c>
      <c r="L43" s="209">
        <f>SUMIF('Contract level'!$A:$A,"="&amp;'DFP-Com'!$A43,'Contract level'!AS:AS)</f>
        <v>0</v>
      </c>
      <c r="M43" s="209">
        <f>SUMIF('Contract level'!$A:$A,"="&amp;'DFP-Com'!$A43,'Contract level'!AT:AT)</f>
        <v>0</v>
      </c>
      <c r="N43" s="209">
        <f>SUMIF('Contract level'!$A:$A,"="&amp;'DFP-Com'!$A43,'Contract level'!AU:AU)</f>
        <v>0</v>
      </c>
      <c r="O43" s="209">
        <f>SUMIF('Contract level'!$A:$A,"="&amp;'DFP-Com'!$A43,'Contract level'!AV:AV)</f>
        <v>0</v>
      </c>
      <c r="P43" s="209">
        <f>SUMIF('Contract level'!$A:$A,"="&amp;'DFP-Com'!$A43,'Contract level'!AW:AW)</f>
        <v>0</v>
      </c>
      <c r="Q43" s="209">
        <f>SUMIF('Contract level'!$A:$A,"="&amp;'DFP-Com'!$A43,'Contract level'!AX:AX)</f>
        <v>0</v>
      </c>
      <c r="R43" s="209">
        <f>SUMIF('Contract level'!$A:$A,"="&amp;'DFP-Com'!$A43,'Contract level'!AY:AY)</f>
        <v>0</v>
      </c>
      <c r="S43" s="209">
        <f>SUMIF('Contract level'!$A:$A,"="&amp;'DFP-Com'!$A43,'Contract level'!AZ:AZ)</f>
        <v>0</v>
      </c>
      <c r="T43" s="209">
        <f>SUMIF('Contract level'!$A:$A,"="&amp;'DFP-Com'!$A43,'Contract level'!BA:BA)</f>
        <v>0</v>
      </c>
      <c r="U43" s="209">
        <f>SUMIF('Contract level'!$A:$A,"="&amp;'DFP-Com'!$A43,'Contract level'!BB:BB)</f>
        <v>200000</v>
      </c>
      <c r="V43" s="209">
        <f>SUM(H43:U43)+D43+C43</f>
        <v>200000</v>
      </c>
      <c r="W43" s="292"/>
      <c r="X43" s="310"/>
      <c r="Y43" s="220"/>
    </row>
    <row r="44" spans="1:25" s="40" customFormat="1" ht="15">
      <c r="A44" s="211"/>
      <c r="B44" s="61" t="s">
        <v>22</v>
      </c>
      <c r="C44" s="204">
        <f>C39</f>
        <v>0</v>
      </c>
      <c r="D44" s="204">
        <f aca="true" t="shared" si="15" ref="D44:X44">D39</f>
        <v>0</v>
      </c>
      <c r="E44" s="204">
        <f t="shared" si="15"/>
        <v>0</v>
      </c>
      <c r="F44" s="204">
        <f t="shared" si="15"/>
        <v>0</v>
      </c>
      <c r="G44" s="204">
        <f t="shared" si="15"/>
        <v>106400</v>
      </c>
      <c r="H44" s="204">
        <f t="shared" si="15"/>
        <v>106400</v>
      </c>
      <c r="I44" s="204">
        <f t="shared" si="15"/>
        <v>100000</v>
      </c>
      <c r="J44" s="204">
        <f t="shared" si="15"/>
        <v>0</v>
      </c>
      <c r="K44" s="204">
        <f t="shared" si="15"/>
        <v>0</v>
      </c>
      <c r="L44" s="204">
        <f t="shared" si="15"/>
        <v>0</v>
      </c>
      <c r="M44" s="204">
        <f t="shared" si="15"/>
        <v>200000</v>
      </c>
      <c r="N44" s="204">
        <f t="shared" si="15"/>
        <v>0</v>
      </c>
      <c r="O44" s="204">
        <f t="shared" si="15"/>
        <v>0</v>
      </c>
      <c r="P44" s="204">
        <f t="shared" si="15"/>
        <v>0</v>
      </c>
      <c r="Q44" s="204">
        <f t="shared" si="15"/>
        <v>0</v>
      </c>
      <c r="R44" s="204">
        <f aca="true" t="shared" si="16" ref="R44:U44">R39</f>
        <v>0</v>
      </c>
      <c r="S44" s="204">
        <f t="shared" si="16"/>
        <v>0</v>
      </c>
      <c r="T44" s="204">
        <f t="shared" si="16"/>
        <v>0</v>
      </c>
      <c r="U44" s="204">
        <f t="shared" si="16"/>
        <v>900000</v>
      </c>
      <c r="V44" s="204">
        <f t="shared" si="15"/>
        <v>1306400</v>
      </c>
      <c r="W44" s="293">
        <f t="shared" si="15"/>
        <v>1700000</v>
      </c>
      <c r="X44" s="311">
        <f t="shared" si="15"/>
        <v>393600</v>
      </c>
      <c r="Y44" s="39"/>
    </row>
    <row r="45" spans="1:25" s="40" customFormat="1" ht="15">
      <c r="A45" s="211"/>
      <c r="B45" s="56"/>
      <c r="C45" s="294"/>
      <c r="D45" s="223"/>
      <c r="E45" s="223"/>
      <c r="F45" s="223"/>
      <c r="G45" s="223"/>
      <c r="H45" s="223"/>
      <c r="I45" s="223"/>
      <c r="J45" s="223"/>
      <c r="K45" s="223"/>
      <c r="L45" s="223"/>
      <c r="M45" s="223"/>
      <c r="N45" s="223"/>
      <c r="O45" s="223"/>
      <c r="P45" s="223"/>
      <c r="Q45" s="223"/>
      <c r="R45" s="223"/>
      <c r="S45" s="223"/>
      <c r="T45" s="223"/>
      <c r="U45" s="223"/>
      <c r="V45" s="223"/>
      <c r="W45" s="290"/>
      <c r="X45" s="308"/>
      <c r="Y45" s="39"/>
    </row>
    <row r="46" spans="1:25" s="66" customFormat="1" ht="15">
      <c r="A46" s="211"/>
      <c r="B46" s="47" t="s">
        <v>102</v>
      </c>
      <c r="C46" s="296"/>
      <c r="D46" s="287"/>
      <c r="E46" s="287"/>
      <c r="F46" s="287"/>
      <c r="G46" s="287"/>
      <c r="H46" s="287"/>
      <c r="I46" s="287"/>
      <c r="J46" s="287"/>
      <c r="K46" s="287"/>
      <c r="L46" s="287"/>
      <c r="M46" s="287"/>
      <c r="N46" s="287"/>
      <c r="O46" s="287"/>
      <c r="P46" s="287"/>
      <c r="Q46" s="287"/>
      <c r="R46" s="287"/>
      <c r="S46" s="287"/>
      <c r="T46" s="287"/>
      <c r="U46" s="287"/>
      <c r="V46" s="224"/>
      <c r="W46" s="291"/>
      <c r="X46" s="309"/>
      <c r="Y46" s="65"/>
    </row>
    <row r="47" spans="1:25" s="40" customFormat="1" ht="15" outlineLevel="1">
      <c r="A47" s="211"/>
      <c r="B47" s="68" t="s">
        <v>112</v>
      </c>
      <c r="C47" s="203">
        <f aca="true" t="shared" si="17" ref="C47:Q47">SUM(C48:C51)</f>
        <v>0</v>
      </c>
      <c r="D47" s="203">
        <f t="shared" si="17"/>
        <v>49000</v>
      </c>
      <c r="E47" s="203">
        <f t="shared" si="17"/>
        <v>42000</v>
      </c>
      <c r="F47" s="203">
        <f t="shared" si="17"/>
        <v>0</v>
      </c>
      <c r="G47" s="203">
        <f t="shared" si="17"/>
        <v>92500</v>
      </c>
      <c r="H47" s="203">
        <f t="shared" si="17"/>
        <v>134500</v>
      </c>
      <c r="I47" s="203">
        <f t="shared" si="17"/>
        <v>3000</v>
      </c>
      <c r="J47" s="203">
        <f t="shared" si="17"/>
        <v>6500</v>
      </c>
      <c r="K47" s="203">
        <f t="shared" si="17"/>
        <v>204500</v>
      </c>
      <c r="L47" s="203">
        <f t="shared" si="17"/>
        <v>126500</v>
      </c>
      <c r="M47" s="203">
        <f t="shared" si="17"/>
        <v>6500</v>
      </c>
      <c r="N47" s="203">
        <f t="shared" si="17"/>
        <v>6500</v>
      </c>
      <c r="O47" s="203">
        <f t="shared" si="17"/>
        <v>54500</v>
      </c>
      <c r="P47" s="203">
        <f t="shared" si="17"/>
        <v>126500</v>
      </c>
      <c r="Q47" s="203">
        <f t="shared" si="17"/>
        <v>6500</v>
      </c>
      <c r="R47" s="203">
        <f aca="true" t="shared" si="18" ref="R47:U47">SUM(R48:R51)</f>
        <v>6500</v>
      </c>
      <c r="S47" s="203">
        <f t="shared" si="18"/>
        <v>42500</v>
      </c>
      <c r="T47" s="203">
        <f t="shared" si="18"/>
        <v>66500</v>
      </c>
      <c r="U47" s="203">
        <f t="shared" si="18"/>
        <v>6500</v>
      </c>
      <c r="V47" s="226">
        <f>C47+D47+SUM(H47:U47)</f>
        <v>846500</v>
      </c>
      <c r="W47" s="205">
        <f>'QFR - B'!G27</f>
        <v>800000</v>
      </c>
      <c r="X47" s="305">
        <f>W47-V47</f>
        <v>-46500</v>
      </c>
      <c r="Y47" s="39"/>
    </row>
    <row r="48" spans="1:25" s="214" customFormat="1" ht="12.75" customHeight="1" outlineLevel="1">
      <c r="A48" s="211" t="s">
        <v>181</v>
      </c>
      <c r="B48" s="222" t="s">
        <v>160</v>
      </c>
      <c r="C48" s="208"/>
      <c r="D48" s="209">
        <f>SUMIF('Contract level'!$A:$A,"="&amp;'DFP-Com'!$A48,'Contract level'!AN:AN)</f>
        <v>49000</v>
      </c>
      <c r="E48" s="320">
        <f>3500*12</f>
        <v>42000</v>
      </c>
      <c r="F48" s="208"/>
      <c r="G48" s="208">
        <v>78000</v>
      </c>
      <c r="H48" s="209">
        <f>SUMIF('Contract level'!$A:$A,"="&amp;'DFP-Com'!$A48,'Contract level'!AO:AO)</f>
        <v>120000</v>
      </c>
      <c r="I48" s="209">
        <f>SUMIF('Contract level'!$A:$A,"="&amp;'DFP-Com'!$A48,'Contract level'!AP:AP)</f>
        <v>0</v>
      </c>
      <c r="J48" s="209">
        <f>SUMIF('Contract level'!$A:$A,"="&amp;'DFP-Com'!$A48,'Contract level'!AQ:AQ)</f>
        <v>0</v>
      </c>
      <c r="K48" s="209">
        <f>SUMIF('Contract level'!$A:$A,"="&amp;'DFP-Com'!$A48,'Contract level'!AR:AR)</f>
        <v>48000</v>
      </c>
      <c r="L48" s="209">
        <f>SUMIF('Contract level'!$A:$A,"="&amp;'DFP-Com'!$A48,'Contract level'!AS:AS)</f>
        <v>120000</v>
      </c>
      <c r="M48" s="209">
        <f>SUMIF('Contract level'!$A:$A,"="&amp;'DFP-Com'!$A48,'Contract level'!AT:AT)</f>
        <v>0</v>
      </c>
      <c r="N48" s="209">
        <f>SUMIF('Contract level'!$A:$A,"="&amp;'DFP-Com'!$A48,'Contract level'!AU:AU)</f>
        <v>0</v>
      </c>
      <c r="O48" s="209">
        <f>SUMIF('Contract level'!$A:$A,"="&amp;'DFP-Com'!$A48,'Contract level'!AV:AV)</f>
        <v>48000</v>
      </c>
      <c r="P48" s="209">
        <f>SUMIF('Contract level'!$A:$A,"="&amp;'DFP-Com'!$A48,'Contract level'!AW:AW)</f>
        <v>120000</v>
      </c>
      <c r="Q48" s="209">
        <f>SUMIF('Contract level'!$A:$A,"="&amp;'DFP-Com'!$A48,'Contract level'!AX:AX)</f>
        <v>0</v>
      </c>
      <c r="R48" s="209">
        <f>SUMIF('Contract level'!$A:$A,"="&amp;'DFP-Com'!$A48,'Contract level'!AY:AY)</f>
        <v>0</v>
      </c>
      <c r="S48" s="209">
        <f>SUMIF('Contract level'!$A:$A,"="&amp;'DFP-Com'!$A48,'Contract level'!AZ:AZ)</f>
        <v>36000</v>
      </c>
      <c r="T48" s="209">
        <f>SUMIF('Contract level'!$A:$A,"="&amp;'DFP-Com'!$A48,'Contract level'!BA:BA)</f>
        <v>60000</v>
      </c>
      <c r="U48" s="209">
        <f>SUMIF('Contract level'!$A:$A,"="&amp;'DFP-Com'!$A48,'Contract level'!BB:BB)</f>
        <v>0</v>
      </c>
      <c r="V48" s="209">
        <f>SUM(H48:U48)+D48+C48</f>
        <v>601000</v>
      </c>
      <c r="W48" s="292"/>
      <c r="X48" s="306"/>
      <c r="Y48" s="213"/>
    </row>
    <row r="49" spans="1:25" s="214" customFormat="1" ht="15" outlineLevel="1">
      <c r="A49" s="211" t="s">
        <v>182</v>
      </c>
      <c r="B49" s="222" t="s">
        <v>161</v>
      </c>
      <c r="C49" s="208"/>
      <c r="D49" s="209">
        <f>SUMIF('Contract level'!$A:$A,"="&amp;'DFP-Com'!$A49,'Contract level'!AN:AN)</f>
        <v>0</v>
      </c>
      <c r="E49" s="208"/>
      <c r="F49" s="208"/>
      <c r="G49" s="208">
        <f aca="true" t="shared" si="19" ref="G49:G51">H49</f>
        <v>2000</v>
      </c>
      <c r="H49" s="209">
        <f>SUMIF('Contract level'!$A:$A,"="&amp;'DFP-Com'!$A49,'Contract level'!AO:AO)</f>
        <v>2000</v>
      </c>
      <c r="I49" s="209">
        <f>SUMIF('Contract level'!$A:$A,"="&amp;'DFP-Com'!$A49,'Contract level'!AP:AP)</f>
        <v>2000</v>
      </c>
      <c r="J49" s="209">
        <f>SUMIF('Contract level'!$A:$A,"="&amp;'DFP-Com'!$A49,'Contract level'!AQ:AQ)</f>
        <v>4000</v>
      </c>
      <c r="K49" s="209">
        <f>SUMIF('Contract level'!$A:$A,"="&amp;'DFP-Com'!$A49,'Contract level'!AR:AR)</f>
        <v>4000</v>
      </c>
      <c r="L49" s="209">
        <f>SUMIF('Contract level'!$A:$A,"="&amp;'DFP-Com'!$A49,'Contract level'!AS:AS)</f>
        <v>4000</v>
      </c>
      <c r="M49" s="209">
        <f>SUMIF('Contract level'!$A:$A,"="&amp;'DFP-Com'!$A49,'Contract level'!AT:AT)</f>
        <v>4000</v>
      </c>
      <c r="N49" s="209">
        <f>SUMIF('Contract level'!$A:$A,"="&amp;'DFP-Com'!$A49,'Contract level'!AU:AU)</f>
        <v>4000</v>
      </c>
      <c r="O49" s="209">
        <f>SUMIF('Contract level'!$A:$A,"="&amp;'DFP-Com'!$A49,'Contract level'!AV:AV)</f>
        <v>4000</v>
      </c>
      <c r="P49" s="209">
        <f>SUMIF('Contract level'!$A:$A,"="&amp;'DFP-Com'!$A49,'Contract level'!AW:AW)</f>
        <v>4000</v>
      </c>
      <c r="Q49" s="209">
        <f>SUMIF('Contract level'!$A:$A,"="&amp;'DFP-Com'!$A49,'Contract level'!AX:AX)</f>
        <v>4000</v>
      </c>
      <c r="R49" s="209">
        <f>SUMIF('Contract level'!$A:$A,"="&amp;'DFP-Com'!$A49,'Contract level'!AY:AY)</f>
        <v>4000</v>
      </c>
      <c r="S49" s="209">
        <f>SUMIF('Contract level'!$A:$A,"="&amp;'DFP-Com'!$A49,'Contract level'!AZ:AZ)</f>
        <v>4000</v>
      </c>
      <c r="T49" s="209">
        <f>SUMIF('Contract level'!$A:$A,"="&amp;'DFP-Com'!$A49,'Contract level'!BA:BA)</f>
        <v>4000</v>
      </c>
      <c r="U49" s="209">
        <f>SUMIF('Contract level'!$A:$A,"="&amp;'DFP-Com'!$A49,'Contract level'!BB:BB)</f>
        <v>4000</v>
      </c>
      <c r="V49" s="209">
        <f>SUM(H49:U49)+D49+C49</f>
        <v>52000</v>
      </c>
      <c r="W49" s="292"/>
      <c r="X49" s="310"/>
      <c r="Y49" s="213"/>
    </row>
    <row r="50" spans="1:25" s="214" customFormat="1" ht="15" outlineLevel="1">
      <c r="A50" s="211" t="s">
        <v>183</v>
      </c>
      <c r="B50" s="222" t="s">
        <v>162</v>
      </c>
      <c r="C50" s="208"/>
      <c r="D50" s="209">
        <f>SUMIF('Contract level'!$A:$A,"="&amp;'DFP-Com'!$A50,'Contract level'!AN:AN)</f>
        <v>0</v>
      </c>
      <c r="E50" s="208"/>
      <c r="F50" s="208"/>
      <c r="G50" s="208">
        <f t="shared" si="19"/>
        <v>0</v>
      </c>
      <c r="H50" s="209">
        <f>SUMIF('Contract level'!$A:$A,"="&amp;'DFP-Com'!$A50,'Contract level'!AO:AO)</f>
        <v>0</v>
      </c>
      <c r="I50" s="209">
        <f>SUMIF('Contract level'!$A:$A,"="&amp;'DFP-Com'!$A50,'Contract level'!AP:AP)</f>
        <v>0</v>
      </c>
      <c r="J50" s="209">
        <f>SUMIF('Contract level'!$A:$A,"="&amp;'DFP-Com'!$A50,'Contract level'!AQ:AQ)</f>
        <v>0</v>
      </c>
      <c r="K50" s="209">
        <f>SUMIF('Contract level'!$A:$A,"="&amp;'DFP-Com'!$A50,'Contract level'!AR:AR)</f>
        <v>150000</v>
      </c>
      <c r="L50" s="209">
        <f>SUMIF('Contract level'!$A:$A,"="&amp;'DFP-Com'!$A50,'Contract level'!AS:AS)</f>
        <v>0</v>
      </c>
      <c r="M50" s="209">
        <f>SUMIF('Contract level'!$A:$A,"="&amp;'DFP-Com'!$A50,'Contract level'!AT:AT)</f>
        <v>0</v>
      </c>
      <c r="N50" s="209">
        <f>SUMIF('Contract level'!$A:$A,"="&amp;'DFP-Com'!$A50,'Contract level'!AU:AU)</f>
        <v>0</v>
      </c>
      <c r="O50" s="209">
        <f>SUMIF('Contract level'!$A:$A,"="&amp;'DFP-Com'!$A50,'Contract level'!AV:AV)</f>
        <v>0</v>
      </c>
      <c r="P50" s="209">
        <f>SUMIF('Contract level'!$A:$A,"="&amp;'DFP-Com'!$A50,'Contract level'!AW:AW)</f>
        <v>0</v>
      </c>
      <c r="Q50" s="209">
        <f>SUMIF('Contract level'!$A:$A,"="&amp;'DFP-Com'!$A50,'Contract level'!AX:AX)</f>
        <v>0</v>
      </c>
      <c r="R50" s="209">
        <f>SUMIF('Contract level'!$A:$A,"="&amp;'DFP-Com'!$A50,'Contract level'!AY:AY)</f>
        <v>0</v>
      </c>
      <c r="S50" s="209">
        <f>SUMIF('Contract level'!$A:$A,"="&amp;'DFP-Com'!$A50,'Contract level'!AZ:AZ)</f>
        <v>0</v>
      </c>
      <c r="T50" s="209">
        <f>SUMIF('Contract level'!$A:$A,"="&amp;'DFP-Com'!$A50,'Contract level'!BA:BA)</f>
        <v>0</v>
      </c>
      <c r="U50" s="209">
        <f>SUMIF('Contract level'!$A:$A,"="&amp;'DFP-Com'!$A50,'Contract level'!BB:BB)</f>
        <v>0</v>
      </c>
      <c r="V50" s="209">
        <f>SUM(H50:U50)+D50+C50</f>
        <v>150000</v>
      </c>
      <c r="W50" s="292"/>
      <c r="X50" s="310"/>
      <c r="Y50" s="213"/>
    </row>
    <row r="51" spans="1:25" s="214" customFormat="1" ht="15" outlineLevel="1">
      <c r="A51" s="211" t="s">
        <v>184</v>
      </c>
      <c r="B51" s="222" t="s">
        <v>163</v>
      </c>
      <c r="C51" s="208"/>
      <c r="D51" s="209">
        <f>SUMIF('Contract level'!$A:$A,"="&amp;'DFP-Com'!$A51,'Contract level'!AN:AN)</f>
        <v>0</v>
      </c>
      <c r="E51" s="208"/>
      <c r="F51" s="208"/>
      <c r="G51" s="208">
        <f t="shared" si="19"/>
        <v>12500</v>
      </c>
      <c r="H51" s="209">
        <f>SUMIF('Contract level'!$A:$A,"="&amp;'DFP-Com'!$A51,'Contract level'!AO:AO)</f>
        <v>12500</v>
      </c>
      <c r="I51" s="209">
        <f>SUMIF('Contract level'!$A:$A,"="&amp;'DFP-Com'!$A51,'Contract level'!AP:AP)</f>
        <v>1000</v>
      </c>
      <c r="J51" s="209">
        <f>SUMIF('Contract level'!$A:$A,"="&amp;'DFP-Com'!$A51,'Contract level'!AQ:AQ)</f>
        <v>2500</v>
      </c>
      <c r="K51" s="209">
        <f>SUMIF('Contract level'!$A:$A,"="&amp;'DFP-Com'!$A51,'Contract level'!AR:AR)</f>
        <v>2500</v>
      </c>
      <c r="L51" s="209">
        <f>SUMIF('Contract level'!$A:$A,"="&amp;'DFP-Com'!$A51,'Contract level'!AS:AS)</f>
        <v>2500</v>
      </c>
      <c r="M51" s="209">
        <f>SUMIF('Contract level'!$A:$A,"="&amp;'DFP-Com'!$A51,'Contract level'!AT:AT)</f>
        <v>2500</v>
      </c>
      <c r="N51" s="209">
        <f>SUMIF('Contract level'!$A:$A,"="&amp;'DFP-Com'!$A51,'Contract level'!AU:AU)</f>
        <v>2500</v>
      </c>
      <c r="O51" s="209">
        <f>SUMIF('Contract level'!$A:$A,"="&amp;'DFP-Com'!$A51,'Contract level'!AV:AV)</f>
        <v>2500</v>
      </c>
      <c r="P51" s="209">
        <f>SUMIF('Contract level'!$A:$A,"="&amp;'DFP-Com'!$A51,'Contract level'!AW:AW)</f>
        <v>2500</v>
      </c>
      <c r="Q51" s="209">
        <f>SUMIF('Contract level'!$A:$A,"="&amp;'DFP-Com'!$A51,'Contract level'!AX:AX)</f>
        <v>2500</v>
      </c>
      <c r="R51" s="209">
        <f>SUMIF('Contract level'!$A:$A,"="&amp;'DFP-Com'!$A51,'Contract level'!AY:AY)</f>
        <v>2500</v>
      </c>
      <c r="S51" s="209">
        <f>SUMIF('Contract level'!$A:$A,"="&amp;'DFP-Com'!$A51,'Contract level'!AZ:AZ)</f>
        <v>2500</v>
      </c>
      <c r="T51" s="209">
        <f>SUMIF('Contract level'!$A:$A,"="&amp;'DFP-Com'!$A51,'Contract level'!BA:BA)</f>
        <v>2500</v>
      </c>
      <c r="U51" s="209">
        <f>SUMIF('Contract level'!$A:$A,"="&amp;'DFP-Com'!$A51,'Contract level'!BB:BB)</f>
        <v>2500</v>
      </c>
      <c r="V51" s="209">
        <f>SUM(H51:U51)+D51+C51</f>
        <v>43500</v>
      </c>
      <c r="W51" s="292"/>
      <c r="X51" s="310"/>
      <c r="Y51" s="213"/>
    </row>
    <row r="52" spans="1:25" s="66" customFormat="1" ht="15">
      <c r="A52" s="10"/>
      <c r="B52" s="69" t="s">
        <v>111</v>
      </c>
      <c r="C52" s="204">
        <f aca="true" t="shared" si="20" ref="C52:X52">C47</f>
        <v>0</v>
      </c>
      <c r="D52" s="204">
        <f t="shared" si="20"/>
        <v>49000</v>
      </c>
      <c r="E52" s="204">
        <f t="shared" si="20"/>
        <v>42000</v>
      </c>
      <c r="F52" s="204">
        <f t="shared" si="20"/>
        <v>0</v>
      </c>
      <c r="G52" s="204">
        <f t="shared" si="20"/>
        <v>92500</v>
      </c>
      <c r="H52" s="204">
        <f t="shared" si="20"/>
        <v>134500</v>
      </c>
      <c r="I52" s="204">
        <f t="shared" si="20"/>
        <v>3000</v>
      </c>
      <c r="J52" s="204">
        <f t="shared" si="20"/>
        <v>6500</v>
      </c>
      <c r="K52" s="204">
        <f t="shared" si="20"/>
        <v>204500</v>
      </c>
      <c r="L52" s="204">
        <f t="shared" si="20"/>
        <v>126500</v>
      </c>
      <c r="M52" s="204">
        <f t="shared" si="20"/>
        <v>6500</v>
      </c>
      <c r="N52" s="204">
        <f t="shared" si="20"/>
        <v>6500</v>
      </c>
      <c r="O52" s="204">
        <f t="shared" si="20"/>
        <v>54500</v>
      </c>
      <c r="P52" s="204">
        <f t="shared" si="20"/>
        <v>126500</v>
      </c>
      <c r="Q52" s="204">
        <f t="shared" si="20"/>
        <v>6500</v>
      </c>
      <c r="R52" s="204">
        <f aca="true" t="shared" si="21" ref="R52:U52">R47</f>
        <v>6500</v>
      </c>
      <c r="S52" s="204">
        <f t="shared" si="21"/>
        <v>42500</v>
      </c>
      <c r="T52" s="204">
        <f t="shared" si="21"/>
        <v>66500</v>
      </c>
      <c r="U52" s="204">
        <f t="shared" si="21"/>
        <v>6500</v>
      </c>
      <c r="V52" s="204">
        <f t="shared" si="20"/>
        <v>846500</v>
      </c>
      <c r="W52" s="293">
        <f t="shared" si="20"/>
        <v>800000</v>
      </c>
      <c r="X52" s="311">
        <f t="shared" si="20"/>
        <v>-46500</v>
      </c>
      <c r="Y52" s="65"/>
    </row>
    <row r="53" spans="1:25" s="40" customFormat="1" ht="15">
      <c r="A53" s="5"/>
      <c r="B53" s="56"/>
      <c r="C53" s="294"/>
      <c r="D53" s="223"/>
      <c r="E53" s="223"/>
      <c r="F53" s="223"/>
      <c r="G53" s="223"/>
      <c r="H53" s="223"/>
      <c r="I53" s="223"/>
      <c r="J53" s="223"/>
      <c r="K53" s="223"/>
      <c r="L53" s="223"/>
      <c r="M53" s="223"/>
      <c r="N53" s="223"/>
      <c r="O53" s="223"/>
      <c r="P53" s="223"/>
      <c r="Q53" s="223"/>
      <c r="R53" s="223"/>
      <c r="S53" s="223"/>
      <c r="T53" s="223"/>
      <c r="U53" s="223"/>
      <c r="V53" s="225"/>
      <c r="W53" s="290"/>
      <c r="X53" s="312"/>
      <c r="Y53" s="39"/>
    </row>
    <row r="54" spans="1:25" s="234" customFormat="1" ht="13.5" customHeight="1" thickBot="1">
      <c r="A54" s="230"/>
      <c r="B54" s="235" t="s">
        <v>156</v>
      </c>
      <c r="C54" s="232">
        <f aca="true" t="shared" si="22" ref="C54:X54">C52+C44+C36+C27</f>
        <v>0</v>
      </c>
      <c r="D54" s="232">
        <f t="shared" si="22"/>
        <v>272500</v>
      </c>
      <c r="E54" s="232">
        <f t="shared" si="22"/>
        <v>42000</v>
      </c>
      <c r="F54" s="232">
        <f t="shared" si="22"/>
        <v>24000</v>
      </c>
      <c r="G54" s="232">
        <f t="shared" si="22"/>
        <v>422900</v>
      </c>
      <c r="H54" s="232">
        <f t="shared" si="22"/>
        <v>488900</v>
      </c>
      <c r="I54" s="232">
        <f t="shared" si="22"/>
        <v>12201000</v>
      </c>
      <c r="J54" s="232">
        <f t="shared" si="22"/>
        <v>353500</v>
      </c>
      <c r="K54" s="232">
        <f t="shared" si="22"/>
        <v>4604500</v>
      </c>
      <c r="L54" s="232">
        <f t="shared" si="22"/>
        <v>3150500</v>
      </c>
      <c r="M54" s="232">
        <f t="shared" si="22"/>
        <v>654500</v>
      </c>
      <c r="N54" s="232">
        <f t="shared" si="22"/>
        <v>153500</v>
      </c>
      <c r="O54" s="232">
        <f t="shared" si="22"/>
        <v>54500</v>
      </c>
      <c r="P54" s="232">
        <f t="shared" si="22"/>
        <v>150500</v>
      </c>
      <c r="Q54" s="232">
        <f t="shared" si="22"/>
        <v>114500</v>
      </c>
      <c r="R54" s="232">
        <f aca="true" t="shared" si="23" ref="R54:U54">R52+R44+R36+R27</f>
        <v>6500</v>
      </c>
      <c r="S54" s="232">
        <f t="shared" si="23"/>
        <v>42500</v>
      </c>
      <c r="T54" s="232">
        <f t="shared" si="23"/>
        <v>78500</v>
      </c>
      <c r="U54" s="232">
        <f t="shared" si="23"/>
        <v>933500</v>
      </c>
      <c r="V54" s="232">
        <f t="shared" si="22"/>
        <v>23259400</v>
      </c>
      <c r="W54" s="232">
        <f t="shared" si="22"/>
        <v>26200000</v>
      </c>
      <c r="X54" s="313">
        <f t="shared" si="22"/>
        <v>2940600</v>
      </c>
      <c r="Y54" s="233"/>
    </row>
    <row r="55" spans="2:24" ht="13.5" thickTop="1">
      <c r="B55" s="7" t="s">
        <v>158</v>
      </c>
      <c r="C55" s="297"/>
      <c r="D55" s="288"/>
      <c r="H55" s="288"/>
      <c r="I55" s="288"/>
      <c r="J55" s="288"/>
      <c r="K55" s="288"/>
      <c r="L55" s="288"/>
      <c r="M55" s="288"/>
      <c r="N55" s="288"/>
      <c r="O55" s="288"/>
      <c r="P55" s="288"/>
      <c r="Q55" s="288"/>
      <c r="R55" s="288"/>
      <c r="S55" s="288"/>
      <c r="T55" s="288"/>
      <c r="U55" s="288"/>
      <c r="V55" s="288"/>
      <c r="W55" s="298"/>
      <c r="X55" s="314"/>
    </row>
    <row r="56" spans="2:24" ht="15">
      <c r="B56" s="71" t="s">
        <v>159</v>
      </c>
      <c r="C56" s="297"/>
      <c r="D56" s="288"/>
      <c r="H56" s="288"/>
      <c r="I56" s="288"/>
      <c r="J56" s="288"/>
      <c r="K56" s="288"/>
      <c r="L56" s="288"/>
      <c r="M56" s="288"/>
      <c r="N56" s="288"/>
      <c r="O56" s="288"/>
      <c r="P56" s="288"/>
      <c r="Q56" s="288"/>
      <c r="R56" s="288"/>
      <c r="S56" s="288"/>
      <c r="T56" s="288"/>
      <c r="U56" s="288"/>
      <c r="V56" s="288"/>
      <c r="W56" s="298"/>
      <c r="X56" s="315"/>
    </row>
    <row r="57" spans="2:24" ht="15">
      <c r="B57" s="7"/>
      <c r="C57" s="297"/>
      <c r="D57" s="288"/>
      <c r="H57" s="288"/>
      <c r="I57" s="288"/>
      <c r="J57" s="288"/>
      <c r="K57" s="288"/>
      <c r="L57" s="288"/>
      <c r="M57" s="288"/>
      <c r="N57" s="288"/>
      <c r="O57" s="288"/>
      <c r="P57" s="288"/>
      <c r="Q57" s="288"/>
      <c r="R57" s="288"/>
      <c r="S57" s="288"/>
      <c r="T57" s="288"/>
      <c r="U57" s="288">
        <f>120000-42000</f>
        <v>78000</v>
      </c>
      <c r="V57" s="288"/>
      <c r="W57" s="298"/>
      <c r="X57" s="314"/>
    </row>
    <row r="58" spans="2:24" ht="15">
      <c r="B58" s="7"/>
      <c r="C58" s="297"/>
      <c r="D58" s="288"/>
      <c r="H58" s="288"/>
      <c r="I58" s="288"/>
      <c r="J58" s="288"/>
      <c r="K58" s="288"/>
      <c r="L58" s="288"/>
      <c r="M58" s="288"/>
      <c r="N58" s="288"/>
      <c r="O58" s="288"/>
      <c r="P58" s="288"/>
      <c r="Q58" s="288"/>
      <c r="R58" s="288"/>
      <c r="S58" s="288"/>
      <c r="T58" s="288"/>
      <c r="U58" s="288"/>
      <c r="V58" s="288"/>
      <c r="W58" s="298"/>
      <c r="X58" s="315"/>
    </row>
    <row r="59" spans="2:24" ht="15">
      <c r="B59" s="7"/>
      <c r="C59" s="297"/>
      <c r="D59" s="288"/>
      <c r="H59" s="288"/>
      <c r="I59" s="288"/>
      <c r="J59" s="288"/>
      <c r="K59" s="288"/>
      <c r="L59" s="288"/>
      <c r="M59" s="288"/>
      <c r="N59" s="288"/>
      <c r="O59" s="288"/>
      <c r="P59" s="288"/>
      <c r="Q59" s="288"/>
      <c r="R59" s="288"/>
      <c r="S59" s="288"/>
      <c r="T59" s="288"/>
      <c r="U59" s="288"/>
      <c r="V59" s="288"/>
      <c r="W59" s="298"/>
      <c r="X59" s="315"/>
    </row>
    <row r="60" spans="2:24" ht="15">
      <c r="B60" s="7"/>
      <c r="C60" s="297"/>
      <c r="D60" s="288"/>
      <c r="H60" s="288"/>
      <c r="I60" s="288"/>
      <c r="J60" s="288"/>
      <c r="K60" s="288"/>
      <c r="L60" s="288"/>
      <c r="M60" s="288"/>
      <c r="N60" s="288"/>
      <c r="O60" s="288"/>
      <c r="P60" s="288"/>
      <c r="Q60" s="288"/>
      <c r="R60" s="288"/>
      <c r="S60" s="288"/>
      <c r="T60" s="288"/>
      <c r="U60" s="288"/>
      <c r="V60" s="288"/>
      <c r="W60" s="298"/>
      <c r="X60" s="315"/>
    </row>
    <row r="61" spans="2:24" ht="15">
      <c r="B61" s="7"/>
      <c r="C61" s="297"/>
      <c r="D61" s="288"/>
      <c r="H61" s="288"/>
      <c r="I61" s="288"/>
      <c r="J61" s="288"/>
      <c r="K61" s="288"/>
      <c r="L61" s="288"/>
      <c r="M61" s="288"/>
      <c r="N61" s="288"/>
      <c r="O61" s="288"/>
      <c r="P61" s="288"/>
      <c r="Q61" s="288"/>
      <c r="R61" s="288"/>
      <c r="S61" s="288"/>
      <c r="T61" s="288"/>
      <c r="U61" s="288"/>
      <c r="V61" s="288"/>
      <c r="W61" s="298"/>
      <c r="X61" s="315"/>
    </row>
    <row r="62" spans="2:24" ht="15">
      <c r="B62" s="7"/>
      <c r="C62" s="297"/>
      <c r="D62" s="288"/>
      <c r="H62" s="288"/>
      <c r="I62" s="288"/>
      <c r="J62" s="288"/>
      <c r="K62" s="288"/>
      <c r="L62" s="288"/>
      <c r="M62" s="288"/>
      <c r="N62" s="288"/>
      <c r="O62" s="288"/>
      <c r="P62" s="288"/>
      <c r="Q62" s="288"/>
      <c r="R62" s="288"/>
      <c r="S62" s="288"/>
      <c r="T62" s="288"/>
      <c r="U62" s="288"/>
      <c r="V62" s="288"/>
      <c r="W62" s="298"/>
      <c r="X62" s="315"/>
    </row>
    <row r="63" spans="2:24" ht="15">
      <c r="B63" s="7"/>
      <c r="C63" s="297"/>
      <c r="D63" s="288"/>
      <c r="H63" s="288"/>
      <c r="I63" s="288"/>
      <c r="J63" s="288"/>
      <c r="K63" s="288"/>
      <c r="L63" s="288"/>
      <c r="M63" s="288"/>
      <c r="N63" s="288"/>
      <c r="O63" s="288"/>
      <c r="P63" s="288"/>
      <c r="Q63" s="288"/>
      <c r="R63" s="288"/>
      <c r="S63" s="288"/>
      <c r="T63" s="288"/>
      <c r="U63" s="288"/>
      <c r="V63" s="288"/>
      <c r="W63" s="298"/>
      <c r="X63" s="315"/>
    </row>
    <row r="64" spans="2:24" ht="15">
      <c r="B64" s="7"/>
      <c r="C64" s="297"/>
      <c r="D64" s="288"/>
      <c r="H64" s="288"/>
      <c r="I64" s="288"/>
      <c r="J64" s="288"/>
      <c r="K64" s="288"/>
      <c r="L64" s="288"/>
      <c r="M64" s="288"/>
      <c r="N64" s="288"/>
      <c r="O64" s="288"/>
      <c r="P64" s="288"/>
      <c r="Q64" s="288"/>
      <c r="R64" s="288"/>
      <c r="S64" s="288"/>
      <c r="T64" s="288"/>
      <c r="U64" s="288"/>
      <c r="V64" s="288"/>
      <c r="W64" s="298"/>
      <c r="X64" s="315"/>
    </row>
    <row r="65" spans="2:24" ht="15">
      <c r="B65" s="7"/>
      <c r="C65" s="297"/>
      <c r="D65" s="288"/>
      <c r="H65" s="288"/>
      <c r="I65" s="288"/>
      <c r="J65" s="288"/>
      <c r="K65" s="288"/>
      <c r="L65" s="288"/>
      <c r="M65" s="288"/>
      <c r="N65" s="288"/>
      <c r="O65" s="288"/>
      <c r="P65" s="288"/>
      <c r="Q65" s="288"/>
      <c r="R65" s="288"/>
      <c r="S65" s="288"/>
      <c r="T65" s="288"/>
      <c r="U65" s="288"/>
      <c r="V65" s="288"/>
      <c r="W65" s="298"/>
      <c r="X65" s="315"/>
    </row>
    <row r="66" spans="2:24" ht="15">
      <c r="B66" s="7"/>
      <c r="C66" s="297"/>
      <c r="D66" s="288"/>
      <c r="H66" s="288"/>
      <c r="I66" s="288"/>
      <c r="J66" s="288"/>
      <c r="K66" s="288"/>
      <c r="L66" s="288"/>
      <c r="M66" s="288"/>
      <c r="N66" s="288"/>
      <c r="O66" s="288"/>
      <c r="P66" s="288"/>
      <c r="Q66" s="288"/>
      <c r="R66" s="288"/>
      <c r="S66" s="288"/>
      <c r="T66" s="288"/>
      <c r="U66" s="288"/>
      <c r="V66" s="288"/>
      <c r="W66" s="298"/>
      <c r="X66" s="315"/>
    </row>
    <row r="67" spans="3:24" ht="15">
      <c r="C67" s="297"/>
      <c r="D67" s="288"/>
      <c r="H67" s="288"/>
      <c r="I67" s="288"/>
      <c r="J67" s="288"/>
      <c r="K67" s="288"/>
      <c r="L67" s="288"/>
      <c r="M67" s="288"/>
      <c r="N67" s="288"/>
      <c r="O67" s="288"/>
      <c r="P67" s="288"/>
      <c r="Q67" s="288"/>
      <c r="R67" s="288"/>
      <c r="S67" s="288"/>
      <c r="T67" s="288"/>
      <c r="U67" s="288"/>
      <c r="V67" s="288"/>
      <c r="W67" s="298"/>
      <c r="X67" s="315"/>
    </row>
    <row r="68" spans="3:24" ht="15">
      <c r="C68" s="297"/>
      <c r="D68" s="288"/>
      <c r="H68" s="288"/>
      <c r="I68" s="288"/>
      <c r="J68" s="288"/>
      <c r="K68" s="288"/>
      <c r="L68" s="288"/>
      <c r="M68" s="288"/>
      <c r="N68" s="288"/>
      <c r="O68" s="288"/>
      <c r="P68" s="288"/>
      <c r="Q68" s="288"/>
      <c r="R68" s="288"/>
      <c r="S68" s="288"/>
      <c r="T68" s="288"/>
      <c r="U68" s="288"/>
      <c r="V68" s="288"/>
      <c r="W68" s="298"/>
      <c r="X68" s="315"/>
    </row>
    <row r="69" spans="3:24" ht="15">
      <c r="C69" s="297"/>
      <c r="D69" s="288"/>
      <c r="H69" s="288"/>
      <c r="I69" s="288"/>
      <c r="J69" s="288"/>
      <c r="K69" s="288"/>
      <c r="L69" s="288"/>
      <c r="M69" s="288"/>
      <c r="N69" s="288"/>
      <c r="O69" s="288"/>
      <c r="P69" s="288"/>
      <c r="Q69" s="288"/>
      <c r="R69" s="288"/>
      <c r="S69" s="288"/>
      <c r="T69" s="288"/>
      <c r="U69" s="288"/>
      <c r="V69" s="288"/>
      <c r="W69" s="298"/>
      <c r="X69" s="315"/>
    </row>
    <row r="70" spans="3:24" ht="15">
      <c r="C70" s="297"/>
      <c r="D70" s="288"/>
      <c r="H70" s="288"/>
      <c r="I70" s="288"/>
      <c r="J70" s="288"/>
      <c r="K70" s="288"/>
      <c r="L70" s="288"/>
      <c r="M70" s="288"/>
      <c r="N70" s="288"/>
      <c r="O70" s="288"/>
      <c r="P70" s="288"/>
      <c r="Q70" s="288"/>
      <c r="R70" s="288"/>
      <c r="S70" s="288"/>
      <c r="T70" s="288"/>
      <c r="U70" s="288"/>
      <c r="V70" s="288"/>
      <c r="W70" s="298"/>
      <c r="X70" s="315"/>
    </row>
    <row r="71" spans="3:24" ht="15">
      <c r="C71" s="297"/>
      <c r="D71" s="288"/>
      <c r="H71" s="288"/>
      <c r="I71" s="288"/>
      <c r="J71" s="288"/>
      <c r="K71" s="288"/>
      <c r="L71" s="288"/>
      <c r="M71" s="288"/>
      <c r="N71" s="288"/>
      <c r="O71" s="288"/>
      <c r="P71" s="288"/>
      <c r="Q71" s="288"/>
      <c r="R71" s="288"/>
      <c r="S71" s="288"/>
      <c r="T71" s="288"/>
      <c r="U71" s="288"/>
      <c r="V71" s="288"/>
      <c r="W71" s="298"/>
      <c r="X71" s="315"/>
    </row>
    <row r="72" spans="3:24" ht="15">
      <c r="C72" s="297"/>
      <c r="D72" s="288"/>
      <c r="H72" s="288"/>
      <c r="I72" s="288"/>
      <c r="J72" s="288"/>
      <c r="K72" s="288"/>
      <c r="L72" s="288"/>
      <c r="M72" s="288"/>
      <c r="N72" s="288"/>
      <c r="O72" s="288"/>
      <c r="P72" s="288"/>
      <c r="Q72" s="288"/>
      <c r="R72" s="288"/>
      <c r="S72" s="288"/>
      <c r="T72" s="288"/>
      <c r="U72" s="288"/>
      <c r="V72" s="288"/>
      <c r="W72" s="298"/>
      <c r="X72" s="315"/>
    </row>
    <row r="73" ht="15">
      <c r="X73" s="315"/>
    </row>
    <row r="74" ht="15">
      <c r="X74" s="315"/>
    </row>
    <row r="75" ht="15">
      <c r="X75" s="315"/>
    </row>
    <row r="76" ht="15">
      <c r="X76" s="315"/>
    </row>
    <row r="77" ht="15">
      <c r="X77" s="315"/>
    </row>
    <row r="78" ht="15">
      <c r="X78" s="315"/>
    </row>
    <row r="79" ht="15">
      <c r="X79" s="315"/>
    </row>
    <row r="89" spans="10:22" ht="15">
      <c r="J89" s="72"/>
      <c r="K89" s="72"/>
      <c r="L89" s="72"/>
      <c r="M89" s="72"/>
      <c r="N89" s="72"/>
      <c r="O89" s="72"/>
      <c r="P89" s="72"/>
      <c r="Q89" s="72"/>
      <c r="R89" s="72"/>
      <c r="S89" s="72"/>
      <c r="T89" s="72"/>
      <c r="U89" s="72"/>
      <c r="V89" s="73"/>
    </row>
    <row r="90" ht="15">
      <c r="D90" s="74"/>
    </row>
  </sheetData>
  <mergeCells count="6">
    <mergeCell ref="X12:X13"/>
    <mergeCell ref="B11:B12"/>
    <mergeCell ref="E11:H11"/>
    <mergeCell ref="I11:R11"/>
    <mergeCell ref="E12:G12"/>
    <mergeCell ref="W12:W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showGridLines="0" tabSelected="1" zoomScalePageLayoutView="85" workbookViewId="0" topLeftCell="B13">
      <pane xSplit="1" ySplit="1" topLeftCell="C14" activePane="bottomRight" state="frozen"/>
      <selection pane="topLeft" activeCell="B13" sqref="B13"/>
      <selection pane="topRight" activeCell="C13" sqref="C13"/>
      <selection pane="bottomLeft" activeCell="B14" sqref="B14"/>
      <selection pane="bottomRight" activeCell="H33" sqref="H33"/>
    </sheetView>
  </sheetViews>
  <sheetFormatPr defaultColWidth="0" defaultRowHeight="15" outlineLevelRow="1" outlineLevelCol="1"/>
  <cols>
    <col min="1" max="1" width="9.140625" style="1" customWidth="1"/>
    <col min="2" max="2" width="49.28125" style="1" customWidth="1"/>
    <col min="3" max="3" width="17.421875" style="70" customWidth="1" outlineLevel="1"/>
    <col min="4" max="4" width="18.421875" style="1" customWidth="1"/>
    <col min="5" max="7" width="17.421875" style="288" customWidth="1" outlineLevel="1"/>
    <col min="8" max="21" width="17.421875" style="1" customWidth="1"/>
    <col min="22" max="22" width="19.28125" style="6" customWidth="1"/>
    <col min="23" max="23" width="17.421875" style="1" customWidth="1"/>
    <col min="24" max="24" width="17.421875" style="7" customWidth="1"/>
    <col min="25" max="25" width="22.421875" style="7" customWidth="1"/>
    <col min="26" max="27" width="11.421875" style="1" customWidth="1"/>
    <col min="28" max="16384" width="0" style="1" hidden="1" customWidth="1"/>
  </cols>
  <sheetData>
    <row r="1" spans="2:7" ht="13.5" outlineLevel="1" thickBot="1">
      <c r="B1" s="2" t="s">
        <v>23</v>
      </c>
      <c r="C1" s="3"/>
      <c r="D1" s="4"/>
      <c r="E1" s="279"/>
      <c r="F1" s="279"/>
      <c r="G1" s="279"/>
    </row>
    <row r="2" spans="2:26" ht="13.5" outlineLevel="1" thickBot="1">
      <c r="B2" s="8"/>
      <c r="C2" s="3"/>
      <c r="D2" s="4"/>
      <c r="E2" s="279"/>
      <c r="F2" s="279"/>
      <c r="G2" s="279"/>
      <c r="W2" s="9"/>
      <c r="Z2" s="10"/>
    </row>
    <row r="3" spans="2:26" ht="12.75" customHeight="1" outlineLevel="1">
      <c r="B3" s="11" t="s">
        <v>1</v>
      </c>
      <c r="C3" s="12"/>
      <c r="D3" s="13" t="s">
        <v>79</v>
      </c>
      <c r="E3" s="280"/>
      <c r="F3" s="280"/>
      <c r="G3" s="280"/>
      <c r="Z3" s="5"/>
    </row>
    <row r="4" spans="2:26" ht="12.75" customHeight="1" outlineLevel="1">
      <c r="B4" s="14" t="s">
        <v>2</v>
      </c>
      <c r="C4" s="15"/>
      <c r="D4" s="16" t="s">
        <v>80</v>
      </c>
      <c r="E4" s="280"/>
      <c r="F4" s="280"/>
      <c r="G4" s="280"/>
      <c r="Z4" s="5"/>
    </row>
    <row r="5" spans="2:26" ht="12.75" customHeight="1" outlineLevel="1">
      <c r="B5" s="17" t="s">
        <v>3</v>
      </c>
      <c r="C5" s="15"/>
      <c r="D5" s="16" t="str">
        <f>'THP DR'!B7</f>
        <v>TR14GTM15001</v>
      </c>
      <c r="E5" s="280"/>
      <c r="F5" s="280"/>
      <c r="G5" s="280"/>
      <c r="Z5" s="5"/>
    </row>
    <row r="6" spans="2:26" ht="12.75" customHeight="1" outlineLevel="1">
      <c r="B6" s="14" t="s">
        <v>4</v>
      </c>
      <c r="C6" s="15"/>
      <c r="D6" s="18">
        <f>'THP DR'!B10</f>
        <v>42623</v>
      </c>
      <c r="E6" s="280"/>
      <c r="F6" s="280"/>
      <c r="G6" s="280"/>
      <c r="W6" s="7"/>
      <c r="Z6" s="10"/>
    </row>
    <row r="7" spans="2:23" ht="13.5" customHeight="1" outlineLevel="1" thickBot="1">
      <c r="B7" s="19" t="s">
        <v>5</v>
      </c>
      <c r="C7" s="20"/>
      <c r="D7" s="195">
        <f>'THP DR'!B13</f>
        <v>2</v>
      </c>
      <c r="E7" s="280"/>
      <c r="F7" s="280"/>
      <c r="G7" s="280"/>
      <c r="W7" s="21"/>
    </row>
    <row r="8" spans="2:23" ht="12.75" customHeight="1" outlineLevel="1">
      <c r="B8" s="5"/>
      <c r="C8" s="22"/>
      <c r="D8" s="23"/>
      <c r="E8" s="281"/>
      <c r="F8" s="281"/>
      <c r="G8" s="281"/>
      <c r="H8" s="5"/>
      <c r="W8" s="21"/>
    </row>
    <row r="9" spans="2:23" ht="12.75" customHeight="1" outlineLevel="1">
      <c r="B9" s="24"/>
      <c r="C9" s="24"/>
      <c r="D9" s="24"/>
      <c r="E9" s="282"/>
      <c r="F9" s="282"/>
      <c r="G9" s="282"/>
      <c r="H9" s="5"/>
      <c r="V9" s="25"/>
      <c r="W9" s="21"/>
    </row>
    <row r="10" spans="2:25" s="26" customFormat="1" ht="13.5" customHeight="1" outlineLevel="1">
      <c r="B10" s="27"/>
      <c r="C10" s="28"/>
      <c r="D10" s="29"/>
      <c r="E10" s="283"/>
      <c r="F10" s="283"/>
      <c r="G10" s="283"/>
      <c r="H10" s="30"/>
      <c r="V10" s="25"/>
      <c r="W10" s="21"/>
      <c r="X10" s="7"/>
      <c r="Y10" s="7"/>
    </row>
    <row r="11" spans="1:25" ht="15.75" outlineLevel="1">
      <c r="A11" s="5"/>
      <c r="B11" s="334" t="s">
        <v>24</v>
      </c>
      <c r="C11" s="31" t="s">
        <v>7</v>
      </c>
      <c r="D11" s="32" t="s">
        <v>8</v>
      </c>
      <c r="E11" s="343" t="s">
        <v>9</v>
      </c>
      <c r="F11" s="344"/>
      <c r="G11" s="344"/>
      <c r="H11" s="344"/>
      <c r="I11" s="337"/>
      <c r="J11" s="337"/>
      <c r="K11" s="337"/>
      <c r="L11" s="337"/>
      <c r="M11" s="337"/>
      <c r="N11" s="337"/>
      <c r="O11" s="337"/>
      <c r="P11" s="337"/>
      <c r="Q11" s="337"/>
      <c r="R11" s="337"/>
      <c r="S11" s="237"/>
      <c r="T11" s="237"/>
      <c r="U11" s="237"/>
      <c r="V11" s="33" t="s">
        <v>10</v>
      </c>
      <c r="W11" s="33" t="s">
        <v>10</v>
      </c>
      <c r="X11" s="33" t="s">
        <v>11</v>
      </c>
      <c r="Y11" s="34"/>
    </row>
    <row r="12" spans="1:28" s="40" customFormat="1" ht="87" customHeight="1">
      <c r="A12" s="5"/>
      <c r="B12" s="334"/>
      <c r="C12" s="35" t="s">
        <v>223</v>
      </c>
      <c r="D12" s="36" t="s">
        <v>224</v>
      </c>
      <c r="E12" s="338" t="str">
        <f>"Grant Quarter #"&amp;$D$7</f>
        <v>Grant Quarter #2</v>
      </c>
      <c r="F12" s="339"/>
      <c r="G12" s="340"/>
      <c r="H12" s="277" t="str">
        <f>"Grant Quarter #"&amp;$D$7</f>
        <v>Grant Quarter #2</v>
      </c>
      <c r="I12" s="37" t="s">
        <v>82</v>
      </c>
      <c r="J12" s="37" t="s">
        <v>83</v>
      </c>
      <c r="K12" s="37" t="s">
        <v>84</v>
      </c>
      <c r="L12" s="37" t="s">
        <v>85</v>
      </c>
      <c r="M12" s="37" t="s">
        <v>86</v>
      </c>
      <c r="N12" s="37" t="s">
        <v>87</v>
      </c>
      <c r="O12" s="37" t="s">
        <v>88</v>
      </c>
      <c r="P12" s="37" t="s">
        <v>89</v>
      </c>
      <c r="Q12" s="37" t="s">
        <v>90</v>
      </c>
      <c r="R12" s="37" t="s">
        <v>91</v>
      </c>
      <c r="S12" s="238" t="s">
        <v>92</v>
      </c>
      <c r="T12" s="238" t="s">
        <v>216</v>
      </c>
      <c r="U12" s="238" t="s">
        <v>217</v>
      </c>
      <c r="V12" s="345" t="s">
        <v>25</v>
      </c>
      <c r="W12" s="346" t="s">
        <v>141</v>
      </c>
      <c r="X12" s="342" t="s">
        <v>15</v>
      </c>
      <c r="Y12" s="38"/>
      <c r="Z12" s="5"/>
      <c r="AA12" s="5"/>
      <c r="AB12" s="39"/>
    </row>
    <row r="13" spans="1:25" s="40" customFormat="1" ht="25.5">
      <c r="A13" s="5"/>
      <c r="B13" s="41" t="s">
        <v>16</v>
      </c>
      <c r="C13" s="42" t="s">
        <v>231</v>
      </c>
      <c r="D13" s="43" t="s">
        <v>17</v>
      </c>
      <c r="E13" s="289" t="s">
        <v>232</v>
      </c>
      <c r="F13" s="289" t="s">
        <v>233</v>
      </c>
      <c r="G13" s="289" t="s">
        <v>234</v>
      </c>
      <c r="H13" s="272" t="s">
        <v>18</v>
      </c>
      <c r="I13" s="270" t="s">
        <v>19</v>
      </c>
      <c r="J13" s="270" t="s">
        <v>20</v>
      </c>
      <c r="K13" s="270" t="s">
        <v>21</v>
      </c>
      <c r="L13" s="270" t="s">
        <v>74</v>
      </c>
      <c r="M13" s="270" t="s">
        <v>71</v>
      </c>
      <c r="N13" s="270" t="s">
        <v>72</v>
      </c>
      <c r="O13" s="270" t="s">
        <v>73</v>
      </c>
      <c r="P13" s="270" t="s">
        <v>75</v>
      </c>
      <c r="Q13" s="270" t="s">
        <v>76</v>
      </c>
      <c r="R13" s="270" t="s">
        <v>77</v>
      </c>
      <c r="S13" s="270" t="s">
        <v>218</v>
      </c>
      <c r="T13" s="270" t="s">
        <v>219</v>
      </c>
      <c r="U13" s="270" t="s">
        <v>220</v>
      </c>
      <c r="V13" s="345"/>
      <c r="W13" s="346"/>
      <c r="X13" s="342"/>
      <c r="Y13" s="39"/>
    </row>
    <row r="14" spans="2:24" ht="15">
      <c r="B14" s="193" t="s">
        <v>113</v>
      </c>
      <c r="C14" s="193" t="s">
        <v>114</v>
      </c>
      <c r="D14" s="193" t="s">
        <v>115</v>
      </c>
      <c r="E14" s="284" t="s">
        <v>116</v>
      </c>
      <c r="F14" s="284" t="s">
        <v>117</v>
      </c>
      <c r="G14" s="278" t="s">
        <v>118</v>
      </c>
      <c r="H14" s="193" t="s">
        <v>119</v>
      </c>
      <c r="I14" s="193" t="s">
        <v>120</v>
      </c>
      <c r="J14" s="193" t="s">
        <v>121</v>
      </c>
      <c r="K14" s="193" t="s">
        <v>122</v>
      </c>
      <c r="L14" s="193" t="s">
        <v>123</v>
      </c>
      <c r="M14" s="193" t="s">
        <v>124</v>
      </c>
      <c r="N14" s="193" t="s">
        <v>125</v>
      </c>
      <c r="O14" s="193" t="s">
        <v>126</v>
      </c>
      <c r="P14" s="193" t="s">
        <v>127</v>
      </c>
      <c r="Q14" s="193" t="s">
        <v>128</v>
      </c>
      <c r="R14" s="193" t="s">
        <v>129</v>
      </c>
      <c r="S14" s="193" t="s">
        <v>130</v>
      </c>
      <c r="T14" s="193" t="s">
        <v>221</v>
      </c>
      <c r="U14" s="193" t="s">
        <v>222</v>
      </c>
      <c r="V14" s="193" t="s">
        <v>131</v>
      </c>
      <c r="W14" s="200" t="s">
        <v>132</v>
      </c>
      <c r="X14" s="193" t="s">
        <v>133</v>
      </c>
    </row>
    <row r="15" spans="1:25" s="40" customFormat="1" ht="15">
      <c r="A15" s="5"/>
      <c r="B15" s="45"/>
      <c r="C15" s="46"/>
      <c r="D15" s="45"/>
      <c r="E15" s="285"/>
      <c r="F15" s="285"/>
      <c r="G15" s="285"/>
      <c r="H15" s="273"/>
      <c r="I15" s="45"/>
      <c r="J15" s="45"/>
      <c r="K15" s="45"/>
      <c r="L15" s="45"/>
      <c r="M15" s="45"/>
      <c r="N15" s="45"/>
      <c r="O15" s="45"/>
      <c r="P15" s="45"/>
      <c r="Q15" s="45"/>
      <c r="R15" s="45"/>
      <c r="S15" s="45"/>
      <c r="T15" s="45"/>
      <c r="U15" s="45"/>
      <c r="V15" s="45"/>
      <c r="W15" s="45"/>
      <c r="X15" s="316"/>
      <c r="Y15" s="39"/>
    </row>
    <row r="16" spans="1:28" s="40" customFormat="1" ht="15">
      <c r="A16" s="5"/>
      <c r="B16" s="47" t="s">
        <v>94</v>
      </c>
      <c r="C16" s="48"/>
      <c r="D16" s="49"/>
      <c r="E16" s="286"/>
      <c r="F16" s="286"/>
      <c r="G16" s="286"/>
      <c r="H16" s="49"/>
      <c r="I16" s="49"/>
      <c r="J16" s="49"/>
      <c r="K16" s="49"/>
      <c r="L16" s="49"/>
      <c r="M16" s="49"/>
      <c r="N16" s="49"/>
      <c r="O16" s="49"/>
      <c r="P16" s="49"/>
      <c r="Q16" s="49"/>
      <c r="R16" s="49"/>
      <c r="S16" s="49"/>
      <c r="T16" s="49"/>
      <c r="U16" s="49"/>
      <c r="V16" s="50"/>
      <c r="W16" s="201"/>
      <c r="X16" s="317"/>
      <c r="Y16" s="7"/>
      <c r="Z16" s="5"/>
      <c r="AA16" s="5"/>
      <c r="AB16" s="39"/>
    </row>
    <row r="17" spans="1:28" s="214" customFormat="1" ht="15" outlineLevel="1">
      <c r="A17" s="211"/>
      <c r="B17" s="52" t="s">
        <v>95</v>
      </c>
      <c r="C17" s="203">
        <f>SUM(C18:C20)</f>
        <v>0</v>
      </c>
      <c r="D17" s="203">
        <f>SUM(D18:D20)</f>
        <v>0</v>
      </c>
      <c r="E17" s="203">
        <f aca="true" t="shared" si="0" ref="E17:Q17">SUM(E18:E20)</f>
        <v>0</v>
      </c>
      <c r="F17" s="203">
        <f t="shared" si="0"/>
        <v>0</v>
      </c>
      <c r="G17" s="203">
        <f t="shared" si="0"/>
        <v>0</v>
      </c>
      <c r="H17" s="203">
        <f t="shared" si="0"/>
        <v>0</v>
      </c>
      <c r="I17" s="203">
        <f t="shared" si="0"/>
        <v>255000</v>
      </c>
      <c r="J17" s="203">
        <f t="shared" si="0"/>
        <v>425000</v>
      </c>
      <c r="K17" s="203">
        <f t="shared" si="0"/>
        <v>425000</v>
      </c>
      <c r="L17" s="203">
        <f t="shared" si="0"/>
        <v>425000</v>
      </c>
      <c r="M17" s="203">
        <f t="shared" si="0"/>
        <v>1275000</v>
      </c>
      <c r="N17" s="203">
        <f t="shared" si="0"/>
        <v>1275000</v>
      </c>
      <c r="O17" s="203">
        <f t="shared" si="0"/>
        <v>1275000</v>
      </c>
      <c r="P17" s="203">
        <f t="shared" si="0"/>
        <v>1275000</v>
      </c>
      <c r="Q17" s="203">
        <f t="shared" si="0"/>
        <v>1225000</v>
      </c>
      <c r="R17" s="203">
        <f aca="true" t="shared" si="1" ref="R17">SUM(R18:R20)</f>
        <v>1225000</v>
      </c>
      <c r="S17" s="203">
        <f aca="true" t="shared" si="2" ref="S17:U17">SUM(S18:S20)</f>
        <v>1225000</v>
      </c>
      <c r="T17" s="203">
        <f t="shared" si="2"/>
        <v>1225000</v>
      </c>
      <c r="U17" s="203">
        <f t="shared" si="2"/>
        <v>170000</v>
      </c>
      <c r="V17" s="203">
        <f>SUM(V18:V20)</f>
        <v>11700000</v>
      </c>
      <c r="W17" s="205">
        <f>'QFR - B'!G15</f>
        <v>12000000</v>
      </c>
      <c r="X17" s="305">
        <f>W17-V17</f>
        <v>300000</v>
      </c>
      <c r="Y17" s="71"/>
      <c r="Z17" s="212"/>
      <c r="AA17" s="212"/>
      <c r="AB17" s="213"/>
    </row>
    <row r="18" spans="1:28" s="214" customFormat="1" ht="15" outlineLevel="1">
      <c r="A18" s="211"/>
      <c r="B18" s="207" t="s">
        <v>134</v>
      </c>
      <c r="C18" s="208"/>
      <c r="D18" s="209"/>
      <c r="E18" s="209"/>
      <c r="F18" s="209"/>
      <c r="G18" s="209"/>
      <c r="H18" s="209">
        <f>SUMIF('Contract level'!$A:$A,"="&amp;'DFP-Com'!$A18,'Contract level'!Y:Y)</f>
        <v>0</v>
      </c>
      <c r="I18" s="209">
        <f>SUMIF('Contract level'!$A:$A,"="&amp;'DFP-Com'!$A18,'Contract level'!Z:Z)</f>
        <v>255000</v>
      </c>
      <c r="J18" s="209">
        <f>SUMIF('Contract level'!$A:$A,"="&amp;'DFP-Com'!$A18,'Contract level'!AA:AA)</f>
        <v>425000</v>
      </c>
      <c r="K18" s="209">
        <f>SUMIF('Contract level'!$A:$A,"="&amp;'DFP-Com'!$A18,'Contract level'!AB:AB)</f>
        <v>425000</v>
      </c>
      <c r="L18" s="209">
        <f>SUMIF('Contract level'!$A:$A,"="&amp;'DFP-Com'!$A18,'Contract level'!AC:AC)</f>
        <v>425000</v>
      </c>
      <c r="M18" s="209">
        <f>SUMIF('Contract level'!$A:$A,"="&amp;'DFP-Com'!$A18,'Contract level'!AD:AD)</f>
        <v>900000</v>
      </c>
      <c r="N18" s="209">
        <f>SUMIF('Contract level'!$A:$A,"="&amp;'DFP-Com'!$A18,'Contract level'!AE:AE)</f>
        <v>900000</v>
      </c>
      <c r="O18" s="209">
        <f>SUMIF('Contract level'!$A:$A,"="&amp;'DFP-Com'!$A18,'Contract level'!AF:AF)</f>
        <v>900000</v>
      </c>
      <c r="P18" s="209">
        <f>SUMIF('Contract level'!$A:$A,"="&amp;'DFP-Com'!$A18,'Contract level'!AG:AG)</f>
        <v>900000</v>
      </c>
      <c r="Q18" s="209">
        <f>SUMIF('Contract level'!$A:$A,"="&amp;'DFP-Com'!$A18,'Contract level'!AH:AH)</f>
        <v>850000</v>
      </c>
      <c r="R18" s="209">
        <f>SUMIF('Contract level'!$A:$A,"="&amp;'DFP-Com'!$A18,'Contract level'!AI:AI)</f>
        <v>850000</v>
      </c>
      <c r="S18" s="209">
        <f>SUMIF('Contract level'!$A:$A,"="&amp;'DFP-Com'!$A18,'Contract level'!AJ:AJ)</f>
        <v>850000</v>
      </c>
      <c r="T18" s="209">
        <f>SUMIF('Contract level'!$A:$A,"="&amp;'DFP-Com'!$A18,'Contract level'!AK:AK)</f>
        <v>850000</v>
      </c>
      <c r="U18" s="209">
        <f>SUMIF('Contract level'!$A:$A,"="&amp;'DFP-Com'!$A18,'Contract level'!AL:AL)</f>
        <v>170000</v>
      </c>
      <c r="V18" s="209">
        <f>SUM(H18:U18)+D18+C18</f>
        <v>8700000</v>
      </c>
      <c r="W18" s="210" t="s">
        <v>140</v>
      </c>
      <c r="X18" s="306"/>
      <c r="Y18" s="71"/>
      <c r="Z18" s="212"/>
      <c r="AA18" s="212"/>
      <c r="AB18" s="213"/>
    </row>
    <row r="19" spans="1:28" s="214" customFormat="1" ht="15" outlineLevel="1">
      <c r="A19" s="211"/>
      <c r="B19" s="207" t="s">
        <v>135</v>
      </c>
      <c r="C19" s="208"/>
      <c r="D19" s="209"/>
      <c r="E19" s="209"/>
      <c r="F19" s="209"/>
      <c r="G19" s="209"/>
      <c r="H19" s="209">
        <f>SUMIF('Contract level'!$A:$A,"="&amp;'DFP-Com'!$A19,'Contract level'!Y:Y)</f>
        <v>0</v>
      </c>
      <c r="I19" s="209">
        <f>SUMIF('Contract level'!$A:$A,"="&amp;'DFP-Com'!$A19,'Contract level'!Z:Z)</f>
        <v>0</v>
      </c>
      <c r="J19" s="209">
        <f>SUMIF('Contract level'!$A:$A,"="&amp;'DFP-Com'!$A19,'Contract level'!AA:AA)</f>
        <v>0</v>
      </c>
      <c r="K19" s="209">
        <f>SUMIF('Contract level'!$A:$A,"="&amp;'DFP-Com'!$A19,'Contract level'!AB:AB)</f>
        <v>0</v>
      </c>
      <c r="L19" s="209">
        <f>SUMIF('Contract level'!$A:$A,"="&amp;'DFP-Com'!$A19,'Contract level'!AC:AC)</f>
        <v>0</v>
      </c>
      <c r="M19" s="209">
        <f>SUMIF('Contract level'!$A:$A,"="&amp;'DFP-Com'!$A19,'Contract level'!AD:AD)</f>
        <v>375000</v>
      </c>
      <c r="N19" s="209">
        <f>SUMIF('Contract level'!$A:$A,"="&amp;'DFP-Com'!$A19,'Contract level'!AE:AE)</f>
        <v>375000</v>
      </c>
      <c r="O19" s="209">
        <f>SUMIF('Contract level'!$A:$A,"="&amp;'DFP-Com'!$A19,'Contract level'!AF:AF)</f>
        <v>375000</v>
      </c>
      <c r="P19" s="209">
        <f>SUMIF('Contract level'!$A:$A,"="&amp;'DFP-Com'!$A19,'Contract level'!AG:AG)</f>
        <v>375000</v>
      </c>
      <c r="Q19" s="209">
        <f>SUMIF('Contract level'!$A:$A,"="&amp;'DFP-Com'!$A19,'Contract level'!AH:AH)</f>
        <v>375000</v>
      </c>
      <c r="R19" s="209">
        <f>SUMIF('Contract level'!$A:$A,"="&amp;'DFP-Com'!$A19,'Contract level'!AI:AI)</f>
        <v>375000</v>
      </c>
      <c r="S19" s="209">
        <f>SUMIF('Contract level'!$A:$A,"="&amp;'DFP-Com'!$A19,'Contract level'!AJ:AJ)</f>
        <v>375000</v>
      </c>
      <c r="T19" s="209">
        <f>SUMIF('Contract level'!$A:$A,"="&amp;'DFP-Com'!$A19,'Contract level'!AK:AK)</f>
        <v>375000</v>
      </c>
      <c r="U19" s="209">
        <f>SUMIF('Contract level'!$A:$A,"="&amp;'DFP-Com'!$A19,'Contract level'!AL:AL)</f>
        <v>0</v>
      </c>
      <c r="V19" s="209">
        <f>SUM(H19:U19)+D19+C19</f>
        <v>3000000</v>
      </c>
      <c r="W19" s="210"/>
      <c r="X19" s="306"/>
      <c r="Y19" s="71"/>
      <c r="Z19" s="212"/>
      <c r="AA19" s="212"/>
      <c r="AB19" s="213"/>
    </row>
    <row r="20" spans="1:28" s="214" customFormat="1" ht="15" outlineLevel="1">
      <c r="A20" s="211"/>
      <c r="B20" s="207" t="s">
        <v>142</v>
      </c>
      <c r="C20" s="208"/>
      <c r="D20" s="209"/>
      <c r="E20" s="209"/>
      <c r="F20" s="209"/>
      <c r="G20" s="209"/>
      <c r="H20" s="209">
        <f>SUMIF('Contract level'!$A:$A,"="&amp;'DFP-Com'!$A20,'Contract level'!Y:Y)</f>
        <v>0</v>
      </c>
      <c r="I20" s="209">
        <f>SUMIF('Contract level'!$A:$A,"="&amp;'DFP-Com'!$A20,'Contract level'!Z:Z)</f>
        <v>0</v>
      </c>
      <c r="J20" s="209">
        <f>SUMIF('Contract level'!$A:$A,"="&amp;'DFP-Com'!$A20,'Contract level'!AA:AA)</f>
        <v>0</v>
      </c>
      <c r="K20" s="209">
        <f>SUMIF('Contract level'!$A:$A,"="&amp;'DFP-Com'!$A20,'Contract level'!AB:AB)</f>
        <v>0</v>
      </c>
      <c r="L20" s="209">
        <f>SUMIF('Contract level'!$A:$A,"="&amp;'DFP-Com'!$A20,'Contract level'!AC:AC)</f>
        <v>0</v>
      </c>
      <c r="M20" s="209">
        <f>SUMIF('Contract level'!$A:$A,"="&amp;'DFP-Com'!$A20,'Contract level'!AD:AD)</f>
        <v>0</v>
      </c>
      <c r="N20" s="209">
        <f>SUMIF('Contract level'!$A:$A,"="&amp;'DFP-Com'!$A20,'Contract level'!AE:AE)</f>
        <v>0</v>
      </c>
      <c r="O20" s="209">
        <f>SUMIF('Contract level'!$A:$A,"="&amp;'DFP-Com'!$A20,'Contract level'!AF:AF)</f>
        <v>0</v>
      </c>
      <c r="P20" s="209">
        <f>SUMIF('Contract level'!$A:$A,"="&amp;'DFP-Com'!$A20,'Contract level'!AG:AG)</f>
        <v>0</v>
      </c>
      <c r="Q20" s="209">
        <f>SUMIF('Contract level'!$A:$A,"="&amp;'DFP-Com'!$A20,'Contract level'!AH:AH)</f>
        <v>0</v>
      </c>
      <c r="R20" s="209">
        <f>SUMIF('Contract level'!$A:$A,"="&amp;'DFP-Com'!$A20,'Contract level'!AI:AI)</f>
        <v>0</v>
      </c>
      <c r="S20" s="209">
        <f>SUMIF('Contract level'!$A:$A,"="&amp;'DFP-Com'!$A20,'Contract level'!AJ:AJ)</f>
        <v>0</v>
      </c>
      <c r="T20" s="209">
        <f>SUMIF('Contract level'!$A:$A,"="&amp;'DFP-Com'!$A20,'Contract level'!AK:AK)</f>
        <v>0</v>
      </c>
      <c r="U20" s="209">
        <f>SUMIF('Contract level'!$A:$A,"="&amp;'DFP-Com'!$A20,'Contract level'!AL:AL)</f>
        <v>0</v>
      </c>
      <c r="V20" s="209">
        <f>SUM(H20:U20)+D20+C20</f>
        <v>0</v>
      </c>
      <c r="W20" s="210"/>
      <c r="X20" s="306"/>
      <c r="Y20" s="71"/>
      <c r="Z20" s="212"/>
      <c r="AA20" s="212"/>
      <c r="AB20" s="213"/>
    </row>
    <row r="21" spans="1:28" s="214" customFormat="1" ht="12.95" customHeight="1" outlineLevel="1">
      <c r="A21" s="211"/>
      <c r="B21" s="52" t="s">
        <v>96</v>
      </c>
      <c r="C21" s="203">
        <f>C22</f>
        <v>0</v>
      </c>
      <c r="D21" s="203">
        <f>D22</f>
        <v>0</v>
      </c>
      <c r="E21" s="203">
        <f aca="true" t="shared" si="3" ref="E21:V21">E22</f>
        <v>0</v>
      </c>
      <c r="F21" s="203">
        <f t="shared" si="3"/>
        <v>0</v>
      </c>
      <c r="G21" s="203">
        <f t="shared" si="3"/>
        <v>0</v>
      </c>
      <c r="H21" s="203">
        <f t="shared" si="3"/>
        <v>0</v>
      </c>
      <c r="I21" s="203">
        <f t="shared" si="3"/>
        <v>12000</v>
      </c>
      <c r="J21" s="203">
        <f t="shared" si="3"/>
        <v>12000</v>
      </c>
      <c r="K21" s="203">
        <f t="shared" si="3"/>
        <v>212000</v>
      </c>
      <c r="L21" s="203">
        <f t="shared" si="3"/>
        <v>412000</v>
      </c>
      <c r="M21" s="203">
        <f t="shared" si="3"/>
        <v>412000</v>
      </c>
      <c r="N21" s="203">
        <f t="shared" si="3"/>
        <v>412000</v>
      </c>
      <c r="O21" s="203">
        <f t="shared" si="3"/>
        <v>412000</v>
      </c>
      <c r="P21" s="203">
        <f t="shared" si="3"/>
        <v>412000</v>
      </c>
      <c r="Q21" s="203">
        <f t="shared" si="3"/>
        <v>412000</v>
      </c>
      <c r="R21" s="203">
        <f t="shared" si="3"/>
        <v>412000</v>
      </c>
      <c r="S21" s="203">
        <f t="shared" si="3"/>
        <v>412000</v>
      </c>
      <c r="T21" s="203">
        <f t="shared" si="3"/>
        <v>412000</v>
      </c>
      <c r="U21" s="203">
        <f t="shared" si="3"/>
        <v>212000</v>
      </c>
      <c r="V21" s="203">
        <f t="shared" si="3"/>
        <v>4156000</v>
      </c>
      <c r="W21" s="205">
        <f>'QFR - B'!G16</f>
        <v>4300000</v>
      </c>
      <c r="X21" s="305">
        <f>W21-V21</f>
        <v>144000</v>
      </c>
      <c r="Y21" s="71"/>
      <c r="Z21" s="212"/>
      <c r="AA21" s="212"/>
      <c r="AB21" s="213"/>
    </row>
    <row r="22" spans="1:28" s="214" customFormat="1" ht="12.95" customHeight="1" outlineLevel="1">
      <c r="A22" s="211"/>
      <c r="B22" s="207" t="s">
        <v>143</v>
      </c>
      <c r="C22" s="208"/>
      <c r="D22" s="209"/>
      <c r="E22" s="209"/>
      <c r="F22" s="209"/>
      <c r="G22" s="320"/>
      <c r="H22" s="209">
        <f>SUMIF('Contract level'!$A:$A,"="&amp;'DFP-Com'!$A22,'Contract level'!Y:Y)</f>
        <v>0</v>
      </c>
      <c r="I22" s="209">
        <f>SUMIF('Contract level'!$A:$A,"="&amp;'DFP-Com'!$A22,'Contract level'!Z:Z)</f>
        <v>12000</v>
      </c>
      <c r="J22" s="209">
        <f>SUMIF('Contract level'!$A:$A,"="&amp;'DFP-Com'!$A22,'Contract level'!AA:AA)</f>
        <v>12000</v>
      </c>
      <c r="K22" s="209">
        <f>SUMIF('Contract level'!$A:$A,"="&amp;'DFP-Com'!$A22,'Contract level'!AB:AB)</f>
        <v>212000</v>
      </c>
      <c r="L22" s="209">
        <f>SUMIF('Contract level'!$A:$A,"="&amp;'DFP-Com'!$A22,'Contract level'!AC:AC)</f>
        <v>412000</v>
      </c>
      <c r="M22" s="209">
        <f>SUMIF('Contract level'!$A:$A,"="&amp;'DFP-Com'!$A22,'Contract level'!AD:AD)</f>
        <v>412000</v>
      </c>
      <c r="N22" s="209">
        <f>SUMIF('Contract level'!$A:$A,"="&amp;'DFP-Com'!$A22,'Contract level'!AE:AE)</f>
        <v>412000</v>
      </c>
      <c r="O22" s="209">
        <f>SUMIF('Contract level'!$A:$A,"="&amp;'DFP-Com'!$A22,'Contract level'!AF:AF)</f>
        <v>412000</v>
      </c>
      <c r="P22" s="209">
        <f>SUMIF('Contract level'!$A:$A,"="&amp;'DFP-Com'!$A22,'Contract level'!AG:AG)</f>
        <v>412000</v>
      </c>
      <c r="Q22" s="209">
        <f>SUMIF('Contract level'!$A:$A,"="&amp;'DFP-Com'!$A22,'Contract level'!AH:AH)</f>
        <v>412000</v>
      </c>
      <c r="R22" s="209">
        <f>SUMIF('Contract level'!$A:$A,"="&amp;'DFP-Com'!$A22,'Contract level'!AI:AI)</f>
        <v>412000</v>
      </c>
      <c r="S22" s="209">
        <f>SUMIF('Contract level'!$A:$A,"="&amp;'DFP-Com'!$A22,'Contract level'!AJ:AJ)</f>
        <v>412000</v>
      </c>
      <c r="T22" s="209">
        <f>SUMIF('Contract level'!$A:$A,"="&amp;'DFP-Com'!$A22,'Contract level'!AK:AK)</f>
        <v>412000</v>
      </c>
      <c r="U22" s="209">
        <f>SUMIF('Contract level'!$A:$A,"="&amp;'DFP-Com'!$A22,'Contract level'!AL:AL)</f>
        <v>212000</v>
      </c>
      <c r="V22" s="209">
        <f>SUM(H22:U22)+D22+C22</f>
        <v>4156000</v>
      </c>
      <c r="W22" s="210"/>
      <c r="X22" s="306"/>
      <c r="Y22" s="71"/>
      <c r="Z22" s="212"/>
      <c r="AA22" s="212"/>
      <c r="AB22" s="213"/>
    </row>
    <row r="23" spans="1:28" s="214" customFormat="1" ht="15" outlineLevel="1">
      <c r="A23" s="211"/>
      <c r="B23" s="52" t="s">
        <v>97</v>
      </c>
      <c r="C23" s="203">
        <f>SUM(C24:C26)</f>
        <v>0</v>
      </c>
      <c r="D23" s="203">
        <f aca="true" t="shared" si="4" ref="D23:V23">SUM(D24:D26)</f>
        <v>0</v>
      </c>
      <c r="E23" s="203">
        <f t="shared" si="4"/>
        <v>0</v>
      </c>
      <c r="F23" s="203">
        <f t="shared" si="4"/>
        <v>3000</v>
      </c>
      <c r="G23" s="203">
        <f t="shared" si="4"/>
        <v>3000</v>
      </c>
      <c r="H23" s="203">
        <f t="shared" si="4"/>
        <v>6000</v>
      </c>
      <c r="I23" s="203">
        <f t="shared" si="4"/>
        <v>96000</v>
      </c>
      <c r="J23" s="203">
        <f t="shared" si="4"/>
        <v>146000</v>
      </c>
      <c r="K23" s="203">
        <f t="shared" si="4"/>
        <v>146000</v>
      </c>
      <c r="L23" s="203">
        <f t="shared" si="4"/>
        <v>146000</v>
      </c>
      <c r="M23" s="203">
        <f t="shared" si="4"/>
        <v>271000</v>
      </c>
      <c r="N23" s="203">
        <f t="shared" si="4"/>
        <v>271000</v>
      </c>
      <c r="O23" s="203">
        <f t="shared" si="4"/>
        <v>271000</v>
      </c>
      <c r="P23" s="203">
        <f t="shared" si="4"/>
        <v>271000</v>
      </c>
      <c r="Q23" s="203">
        <f t="shared" si="4"/>
        <v>271000</v>
      </c>
      <c r="R23" s="203">
        <f aca="true" t="shared" si="5" ref="R23">SUM(R24:R26)</f>
        <v>271000</v>
      </c>
      <c r="S23" s="203">
        <f aca="true" t="shared" si="6" ref="S23:U23">SUM(S24:S26)</f>
        <v>271000</v>
      </c>
      <c r="T23" s="203">
        <f t="shared" si="6"/>
        <v>271000</v>
      </c>
      <c r="U23" s="203">
        <f t="shared" si="6"/>
        <v>71000</v>
      </c>
      <c r="V23" s="203">
        <f t="shared" si="4"/>
        <v>2779000</v>
      </c>
      <c r="W23" s="205">
        <f>'QFR - B'!G17</f>
        <v>3000000</v>
      </c>
      <c r="X23" s="305">
        <f>W23-V23</f>
        <v>221000</v>
      </c>
      <c r="Y23" s="71"/>
      <c r="Z23" s="212"/>
      <c r="AA23" s="212"/>
      <c r="AB23" s="213"/>
    </row>
    <row r="24" spans="1:28" s="214" customFormat="1" ht="12.95" customHeight="1" outlineLevel="1">
      <c r="A24" s="211"/>
      <c r="B24" s="207" t="s">
        <v>136</v>
      </c>
      <c r="C24" s="208"/>
      <c r="D24" s="209"/>
      <c r="E24" s="209"/>
      <c r="F24" s="209"/>
      <c r="G24" s="209"/>
      <c r="H24" s="209">
        <f>SUMIF('Contract level'!$A:$A,"="&amp;'DFP-Com'!$A24,'Contract level'!Y:Y)</f>
        <v>0</v>
      </c>
      <c r="I24" s="209">
        <f>SUMIF('Contract level'!$A:$A,"="&amp;'DFP-Com'!$A24,'Contract level'!Z:Z)</f>
        <v>75000</v>
      </c>
      <c r="J24" s="209">
        <f>SUMIF('Contract level'!$A:$A,"="&amp;'DFP-Com'!$A24,'Contract level'!AA:AA)</f>
        <v>125000</v>
      </c>
      <c r="K24" s="209">
        <f>SUMIF('Contract level'!$A:$A,"="&amp;'DFP-Com'!$A24,'Contract level'!AB:AB)</f>
        <v>125000</v>
      </c>
      <c r="L24" s="209">
        <f>SUMIF('Contract level'!$A:$A,"="&amp;'DFP-Com'!$A24,'Contract level'!AC:AC)</f>
        <v>125000</v>
      </c>
      <c r="M24" s="209">
        <f>SUMIF('Contract level'!$A:$A,"="&amp;'DFP-Com'!$A24,'Contract level'!AD:AD)</f>
        <v>250000</v>
      </c>
      <c r="N24" s="209">
        <f>SUMIF('Contract level'!$A:$A,"="&amp;'DFP-Com'!$A24,'Contract level'!AE:AE)</f>
        <v>250000</v>
      </c>
      <c r="O24" s="209">
        <f>SUMIF('Contract level'!$A:$A,"="&amp;'DFP-Com'!$A24,'Contract level'!AF:AF)</f>
        <v>250000</v>
      </c>
      <c r="P24" s="209">
        <f>SUMIF('Contract level'!$A:$A,"="&amp;'DFP-Com'!$A24,'Contract level'!AG:AG)</f>
        <v>250000</v>
      </c>
      <c r="Q24" s="209">
        <f>SUMIF('Contract level'!$A:$A,"="&amp;'DFP-Com'!$A24,'Contract level'!AH:AH)</f>
        <v>250000</v>
      </c>
      <c r="R24" s="209">
        <f>SUMIF('Contract level'!$A:$A,"="&amp;'DFP-Com'!$A24,'Contract level'!AI:AI)</f>
        <v>250000</v>
      </c>
      <c r="S24" s="209">
        <f>SUMIF('Contract level'!$A:$A,"="&amp;'DFP-Com'!$A24,'Contract level'!AJ:AJ)</f>
        <v>250000</v>
      </c>
      <c r="T24" s="209">
        <f>SUMIF('Contract level'!$A:$A,"="&amp;'DFP-Com'!$A24,'Contract level'!AK:AK)</f>
        <v>250000</v>
      </c>
      <c r="U24" s="209">
        <f>SUMIF('Contract level'!$A:$A,"="&amp;'DFP-Com'!$A24,'Contract level'!AL:AL)</f>
        <v>50000</v>
      </c>
      <c r="V24" s="209">
        <f>SUM(H24:U24)+D24+C24</f>
        <v>2500000</v>
      </c>
      <c r="W24" s="210"/>
      <c r="X24" s="306"/>
      <c r="Y24" s="71"/>
      <c r="Z24" s="212"/>
      <c r="AA24" s="212"/>
      <c r="AB24" s="213"/>
    </row>
    <row r="25" spans="1:28" s="214" customFormat="1" ht="12.95" customHeight="1" outlineLevel="1">
      <c r="A25" s="211"/>
      <c r="B25" s="207" t="s">
        <v>153</v>
      </c>
      <c r="C25" s="208"/>
      <c r="D25" s="209"/>
      <c r="E25" s="209"/>
      <c r="F25" s="321">
        <f>50%*$H25</f>
        <v>3000</v>
      </c>
      <c r="G25" s="209">
        <f>50%*$H25</f>
        <v>3000</v>
      </c>
      <c r="H25" s="321">
        <f>SUMIF('Contract level'!$A:$A,"="&amp;'DFP-Com'!$A25,'Contract level'!Y:Y)</f>
        <v>6000</v>
      </c>
      <c r="I25" s="209">
        <f>SUMIF('Contract level'!$A:$A,"="&amp;'DFP-Com'!$A25,'Contract level'!Z:Z)</f>
        <v>21000</v>
      </c>
      <c r="J25" s="209">
        <f>SUMIF('Contract level'!$A:$A,"="&amp;'DFP-Com'!$A25,'Contract level'!AA:AA)</f>
        <v>21000</v>
      </c>
      <c r="K25" s="209">
        <f>SUMIF('Contract level'!$A:$A,"="&amp;'DFP-Com'!$A25,'Contract level'!AB:AB)</f>
        <v>21000</v>
      </c>
      <c r="L25" s="209">
        <f>SUMIF('Contract level'!$A:$A,"="&amp;'DFP-Com'!$A25,'Contract level'!AC:AC)</f>
        <v>21000</v>
      </c>
      <c r="M25" s="209">
        <f>SUMIF('Contract level'!$A:$A,"="&amp;'DFP-Com'!$A25,'Contract level'!AD:AD)</f>
        <v>21000</v>
      </c>
      <c r="N25" s="209">
        <f>SUMIF('Contract level'!$A:$A,"="&amp;'DFP-Com'!$A25,'Contract level'!AE:AE)</f>
        <v>21000</v>
      </c>
      <c r="O25" s="209">
        <f>SUMIF('Contract level'!$A:$A,"="&amp;'DFP-Com'!$A25,'Contract level'!AF:AF)</f>
        <v>21000</v>
      </c>
      <c r="P25" s="209">
        <f>SUMIF('Contract level'!$A:$A,"="&amp;'DFP-Com'!$A25,'Contract level'!AG:AG)</f>
        <v>21000</v>
      </c>
      <c r="Q25" s="209">
        <f>SUMIF('Contract level'!$A:$A,"="&amp;'DFP-Com'!$A25,'Contract level'!AH:AH)</f>
        <v>21000</v>
      </c>
      <c r="R25" s="209">
        <f>SUMIF('Contract level'!$A:$A,"="&amp;'DFP-Com'!$A25,'Contract level'!AI:AI)</f>
        <v>21000</v>
      </c>
      <c r="S25" s="209">
        <f>SUMIF('Contract level'!$A:$A,"="&amp;'DFP-Com'!$A25,'Contract level'!AJ:AJ)</f>
        <v>21000</v>
      </c>
      <c r="T25" s="209">
        <f>SUMIF('Contract level'!$A:$A,"="&amp;'DFP-Com'!$A25,'Contract level'!AK:AK)</f>
        <v>21000</v>
      </c>
      <c r="U25" s="209">
        <f>SUMIF('Contract level'!$A:$A,"="&amp;'DFP-Com'!$A25,'Contract level'!AL:AL)</f>
        <v>21000</v>
      </c>
      <c r="V25" s="209">
        <f>SUM(H25:U25)+D25+C25</f>
        <v>279000</v>
      </c>
      <c r="W25" s="210"/>
      <c r="X25" s="306"/>
      <c r="Y25" s="71"/>
      <c r="Z25" s="212"/>
      <c r="AA25" s="212"/>
      <c r="AB25" s="213"/>
    </row>
    <row r="26" spans="1:28" s="214" customFormat="1" ht="15" outlineLevel="1">
      <c r="A26" s="211"/>
      <c r="B26" s="207" t="s">
        <v>152</v>
      </c>
      <c r="C26" s="208"/>
      <c r="D26" s="209"/>
      <c r="E26" s="209"/>
      <c r="F26" s="209"/>
      <c r="G26" s="209"/>
      <c r="H26" s="209">
        <f>SUMIF('Contract level'!$A:$A,"="&amp;'DFP-Com'!$A26,'Contract level'!Y:Y)</f>
        <v>0</v>
      </c>
      <c r="I26" s="209">
        <f>SUMIF('Contract level'!$A:$A,"="&amp;'DFP-Com'!$A26,'Contract level'!Z:Z)</f>
        <v>0</v>
      </c>
      <c r="J26" s="209">
        <f>SUMIF('Contract level'!$A:$A,"="&amp;'DFP-Com'!$A26,'Contract level'!AA:AA)</f>
        <v>0</v>
      </c>
      <c r="K26" s="209">
        <f>SUMIF('Contract level'!$A:$A,"="&amp;'DFP-Com'!$A26,'Contract level'!AB:AB)</f>
        <v>0</v>
      </c>
      <c r="L26" s="209">
        <f>SUMIF('Contract level'!$A:$A,"="&amp;'DFP-Com'!$A26,'Contract level'!AC:AC)</f>
        <v>0</v>
      </c>
      <c r="M26" s="209">
        <f>SUMIF('Contract level'!$A:$A,"="&amp;'DFP-Com'!$A26,'Contract level'!AD:AD)</f>
        <v>0</v>
      </c>
      <c r="N26" s="209">
        <f>SUMIF('Contract level'!$A:$A,"="&amp;'DFP-Com'!$A26,'Contract level'!AE:AE)</f>
        <v>0</v>
      </c>
      <c r="O26" s="209">
        <f>SUMIF('Contract level'!$A:$A,"="&amp;'DFP-Com'!$A26,'Contract level'!AF:AF)</f>
        <v>0</v>
      </c>
      <c r="P26" s="209">
        <f>SUMIF('Contract level'!$A:$A,"="&amp;'DFP-Com'!$A26,'Contract level'!AG:AG)</f>
        <v>0</v>
      </c>
      <c r="Q26" s="209">
        <f>SUMIF('Contract level'!$A:$A,"="&amp;'DFP-Com'!$A26,'Contract level'!AH:AH)</f>
        <v>0</v>
      </c>
      <c r="R26" s="209">
        <f>SUMIF('Contract level'!$A:$A,"="&amp;'DFP-Com'!$A26,'Contract level'!AI:AI)</f>
        <v>0</v>
      </c>
      <c r="S26" s="209">
        <f>SUMIF('Contract level'!$A:$A,"="&amp;'DFP-Com'!$A26,'Contract level'!AJ:AJ)</f>
        <v>0</v>
      </c>
      <c r="T26" s="209">
        <f>SUMIF('Contract level'!$A:$A,"="&amp;'DFP-Com'!$A26,'Contract level'!AK:AK)</f>
        <v>0</v>
      </c>
      <c r="U26" s="209">
        <f>SUMIF('Contract level'!$A:$A,"="&amp;'DFP-Com'!$A26,'Contract level'!AL:AL)</f>
        <v>0</v>
      </c>
      <c r="V26" s="209">
        <f>SUM(H26:U26)+D26+C26</f>
        <v>0</v>
      </c>
      <c r="W26" s="210"/>
      <c r="X26" s="306"/>
      <c r="Y26" s="71"/>
      <c r="Z26" s="212"/>
      <c r="AA26" s="212"/>
      <c r="AB26" s="213"/>
    </row>
    <row r="27" spans="1:28" s="214" customFormat="1" ht="15">
      <c r="A27" s="211"/>
      <c r="B27" s="54" t="s">
        <v>69</v>
      </c>
      <c r="C27" s="204">
        <f>C23+C21+C17</f>
        <v>0</v>
      </c>
      <c r="D27" s="204">
        <f aca="true" t="shared" si="7" ref="D27:V27">D23+D21+D17</f>
        <v>0</v>
      </c>
      <c r="E27" s="204">
        <f t="shared" si="7"/>
        <v>0</v>
      </c>
      <c r="F27" s="204">
        <f t="shared" si="7"/>
        <v>3000</v>
      </c>
      <c r="G27" s="204">
        <f t="shared" si="7"/>
        <v>3000</v>
      </c>
      <c r="H27" s="204">
        <f t="shared" si="7"/>
        <v>6000</v>
      </c>
      <c r="I27" s="204">
        <f t="shared" si="7"/>
        <v>363000</v>
      </c>
      <c r="J27" s="204">
        <f t="shared" si="7"/>
        <v>583000</v>
      </c>
      <c r="K27" s="204">
        <f t="shared" si="7"/>
        <v>783000</v>
      </c>
      <c r="L27" s="204">
        <f t="shared" si="7"/>
        <v>983000</v>
      </c>
      <c r="M27" s="204">
        <f t="shared" si="7"/>
        <v>1958000</v>
      </c>
      <c r="N27" s="204">
        <f t="shared" si="7"/>
        <v>1958000</v>
      </c>
      <c r="O27" s="204">
        <f t="shared" si="7"/>
        <v>1958000</v>
      </c>
      <c r="P27" s="204">
        <f t="shared" si="7"/>
        <v>1958000</v>
      </c>
      <c r="Q27" s="204">
        <f t="shared" si="7"/>
        <v>1908000</v>
      </c>
      <c r="R27" s="204">
        <f aca="true" t="shared" si="8" ref="R27">R23+R21+R17</f>
        <v>1908000</v>
      </c>
      <c r="S27" s="204">
        <f aca="true" t="shared" si="9" ref="S27:U27">S23+S21+S17</f>
        <v>1908000</v>
      </c>
      <c r="T27" s="204">
        <f t="shared" si="9"/>
        <v>1908000</v>
      </c>
      <c r="U27" s="204">
        <f t="shared" si="9"/>
        <v>453000</v>
      </c>
      <c r="V27" s="204">
        <f t="shared" si="7"/>
        <v>18635000</v>
      </c>
      <c r="W27" s="206">
        <f>W17+W21+W23</f>
        <v>19300000</v>
      </c>
      <c r="X27" s="307">
        <f>X17+X21+X23</f>
        <v>665000</v>
      </c>
      <c r="Y27" s="71"/>
      <c r="Z27" s="212"/>
      <c r="AA27" s="212"/>
      <c r="AB27" s="213"/>
    </row>
    <row r="28" spans="1:28" s="40" customFormat="1" ht="15">
      <c r="A28" s="51"/>
      <c r="B28" s="56"/>
      <c r="C28" s="57"/>
      <c r="D28" s="58"/>
      <c r="E28" s="223"/>
      <c r="F28" s="223"/>
      <c r="G28" s="223"/>
      <c r="H28" s="223"/>
      <c r="I28" s="223"/>
      <c r="J28" s="223"/>
      <c r="K28" s="223"/>
      <c r="L28" s="223"/>
      <c r="M28" s="223"/>
      <c r="N28" s="223"/>
      <c r="O28" s="223"/>
      <c r="P28" s="223"/>
      <c r="Q28" s="223"/>
      <c r="R28" s="223"/>
      <c r="S28" s="223"/>
      <c r="T28" s="223"/>
      <c r="U28" s="223"/>
      <c r="V28" s="223"/>
      <c r="W28" s="290"/>
      <c r="X28" s="308"/>
      <c r="Y28" s="7"/>
      <c r="Z28" s="5"/>
      <c r="AA28" s="5"/>
      <c r="AB28" s="39"/>
    </row>
    <row r="29" spans="1:28" s="40" customFormat="1" ht="15">
      <c r="A29" s="51"/>
      <c r="B29" s="47" t="s">
        <v>100</v>
      </c>
      <c r="C29" s="59"/>
      <c r="D29" s="60"/>
      <c r="E29" s="224"/>
      <c r="F29" s="224"/>
      <c r="G29" s="224"/>
      <c r="H29" s="224"/>
      <c r="I29" s="224"/>
      <c r="J29" s="224"/>
      <c r="K29" s="224"/>
      <c r="L29" s="224"/>
      <c r="M29" s="224"/>
      <c r="N29" s="224"/>
      <c r="O29" s="224"/>
      <c r="P29" s="224"/>
      <c r="Q29" s="224"/>
      <c r="R29" s="224"/>
      <c r="S29" s="224"/>
      <c r="T29" s="224"/>
      <c r="U29" s="224"/>
      <c r="V29" s="224"/>
      <c r="W29" s="291"/>
      <c r="X29" s="309"/>
      <c r="Y29" s="7"/>
      <c r="Z29" s="5"/>
      <c r="AA29" s="5"/>
      <c r="AB29" s="39"/>
    </row>
    <row r="30" spans="1:28" s="40" customFormat="1" ht="15" outlineLevel="1">
      <c r="A30" s="51"/>
      <c r="B30" s="52" t="s">
        <v>154</v>
      </c>
      <c r="C30" s="44">
        <f aca="true" t="shared" si="10" ref="C30:V30">SUM(C31:C31)</f>
        <v>0</v>
      </c>
      <c r="D30" s="44">
        <f t="shared" si="10"/>
        <v>0</v>
      </c>
      <c r="E30" s="226">
        <f t="shared" si="10"/>
        <v>0</v>
      </c>
      <c r="F30" s="226">
        <f t="shared" si="10"/>
        <v>0</v>
      </c>
      <c r="G30" s="226">
        <f t="shared" si="10"/>
        <v>29000</v>
      </c>
      <c r="H30" s="226">
        <f t="shared" si="10"/>
        <v>29000</v>
      </c>
      <c r="I30" s="226">
        <f t="shared" si="10"/>
        <v>60000</v>
      </c>
      <c r="J30" s="226">
        <f t="shared" si="10"/>
        <v>60000</v>
      </c>
      <c r="K30" s="226">
        <f t="shared" si="10"/>
        <v>60000</v>
      </c>
      <c r="L30" s="226">
        <f t="shared" si="10"/>
        <v>35000</v>
      </c>
      <c r="M30" s="226">
        <f t="shared" si="10"/>
        <v>35000</v>
      </c>
      <c r="N30" s="226">
        <f t="shared" si="10"/>
        <v>35000</v>
      </c>
      <c r="O30" s="226">
        <f t="shared" si="10"/>
        <v>35000</v>
      </c>
      <c r="P30" s="226">
        <f t="shared" si="10"/>
        <v>35000</v>
      </c>
      <c r="Q30" s="226">
        <f t="shared" si="10"/>
        <v>0</v>
      </c>
      <c r="R30" s="226">
        <f t="shared" si="10"/>
        <v>0</v>
      </c>
      <c r="S30" s="226">
        <f t="shared" si="10"/>
        <v>0</v>
      </c>
      <c r="T30" s="226">
        <f t="shared" si="10"/>
        <v>0</v>
      </c>
      <c r="U30" s="226">
        <f t="shared" si="10"/>
        <v>0</v>
      </c>
      <c r="V30" s="226">
        <f t="shared" si="10"/>
        <v>384000</v>
      </c>
      <c r="W30" s="205">
        <f>'QFR - B'!G20</f>
        <v>800000</v>
      </c>
      <c r="X30" s="305">
        <f>W30-V30</f>
        <v>416000</v>
      </c>
      <c r="Y30" s="251"/>
      <c r="Z30" s="5"/>
      <c r="AA30" s="5"/>
      <c r="AB30" s="39"/>
    </row>
    <row r="31" spans="1:28" s="214" customFormat="1" ht="15" outlineLevel="1">
      <c r="A31" s="211"/>
      <c r="B31" s="207" t="s">
        <v>147</v>
      </c>
      <c r="C31" s="215"/>
      <c r="D31" s="216"/>
      <c r="E31" s="209"/>
      <c r="F31" s="209"/>
      <c r="G31" s="209">
        <f>H31</f>
        <v>29000</v>
      </c>
      <c r="H31" s="209">
        <f>SUMIF('Contract level'!$A:$A,"="&amp;'DFP-Com'!$A31,'Contract level'!Y:Y)</f>
        <v>29000</v>
      </c>
      <c r="I31" s="209">
        <f>SUMIF('Contract level'!$A:$A,"="&amp;'DFP-Com'!$A31,'Contract level'!Z:Z)</f>
        <v>60000</v>
      </c>
      <c r="J31" s="209">
        <f>SUMIF('Contract level'!$A:$A,"="&amp;'DFP-Com'!$A31,'Contract level'!AA:AA)</f>
        <v>60000</v>
      </c>
      <c r="K31" s="209">
        <f>SUMIF('Contract level'!$A:$A,"="&amp;'DFP-Com'!$A31,'Contract level'!AB:AB)</f>
        <v>60000</v>
      </c>
      <c r="L31" s="209">
        <f>SUMIF('Contract level'!$A:$A,"="&amp;'DFP-Com'!$A31,'Contract level'!AC:AC)</f>
        <v>35000</v>
      </c>
      <c r="M31" s="209">
        <f>SUMIF('Contract level'!$A:$A,"="&amp;'DFP-Com'!$A31,'Contract level'!AD:AD)</f>
        <v>35000</v>
      </c>
      <c r="N31" s="209">
        <f>SUMIF('Contract level'!$A:$A,"="&amp;'DFP-Com'!$A31,'Contract level'!AE:AE)</f>
        <v>35000</v>
      </c>
      <c r="O31" s="209">
        <f>SUMIF('Contract level'!$A:$A,"="&amp;'DFP-Com'!$A31,'Contract level'!AF:AF)</f>
        <v>35000</v>
      </c>
      <c r="P31" s="209">
        <f>SUMIF('Contract level'!$A:$A,"="&amp;'DFP-Com'!$A31,'Contract level'!AG:AG)</f>
        <v>35000</v>
      </c>
      <c r="Q31" s="209">
        <f>SUMIF('Contract level'!$A:$A,"="&amp;'DFP-Com'!$A31,'Contract level'!AH:AH)</f>
        <v>0</v>
      </c>
      <c r="R31" s="209">
        <f>SUMIF('Contract level'!$A:$A,"="&amp;'DFP-Com'!$A31,'Contract level'!AI:AI)</f>
        <v>0</v>
      </c>
      <c r="S31" s="209">
        <f>SUMIF('Contract level'!$A:$A,"="&amp;'DFP-Com'!$A31,'Contract level'!AJ:AJ)</f>
        <v>0</v>
      </c>
      <c r="T31" s="209">
        <f>SUMIF('Contract level'!$A:$A,"="&amp;'DFP-Com'!$A31,'Contract level'!AK:AK)</f>
        <v>0</v>
      </c>
      <c r="U31" s="209">
        <f>SUMIF('Contract level'!$A:$A,"="&amp;'DFP-Com'!$A31,'Contract level'!AL:AL)</f>
        <v>0</v>
      </c>
      <c r="V31" s="209">
        <f>SUM(H31:U31)+D31+C31</f>
        <v>384000</v>
      </c>
      <c r="W31" s="210"/>
      <c r="X31" s="306"/>
      <c r="Y31" s="251"/>
      <c r="Z31" s="212"/>
      <c r="AA31" s="212"/>
      <c r="AB31" s="213"/>
    </row>
    <row r="32" spans="1:28" s="40" customFormat="1" ht="15" outlineLevel="1">
      <c r="A32" s="51"/>
      <c r="B32" s="52" t="s">
        <v>104</v>
      </c>
      <c r="C32" s="53">
        <f>SUM(C33:C35)</f>
        <v>0</v>
      </c>
      <c r="D32" s="53">
        <f aca="true" t="shared" si="11" ref="D32:Q32">SUM(D33:D35)</f>
        <v>0</v>
      </c>
      <c r="E32" s="203">
        <f t="shared" si="11"/>
        <v>0</v>
      </c>
      <c r="F32" s="203">
        <f t="shared" si="11"/>
        <v>24875.00000000001</v>
      </c>
      <c r="G32" s="203">
        <f t="shared" si="11"/>
        <v>24875.00000000001</v>
      </c>
      <c r="H32" s="203">
        <f t="shared" si="11"/>
        <v>49750.00000000002</v>
      </c>
      <c r="I32" s="203">
        <f t="shared" si="11"/>
        <v>280375</v>
      </c>
      <c r="J32" s="203">
        <f t="shared" si="11"/>
        <v>330375</v>
      </c>
      <c r="K32" s="203">
        <f t="shared" si="11"/>
        <v>392875</v>
      </c>
      <c r="L32" s="203">
        <f t="shared" si="11"/>
        <v>405125.00000000006</v>
      </c>
      <c r="M32" s="203">
        <f t="shared" si="11"/>
        <v>198750</v>
      </c>
      <c r="N32" s="203">
        <f t="shared" si="11"/>
        <v>148750</v>
      </c>
      <c r="O32" s="203">
        <f t="shared" si="11"/>
        <v>86250</v>
      </c>
      <c r="P32" s="203">
        <f t="shared" si="11"/>
        <v>48750.000000000044</v>
      </c>
      <c r="Q32" s="203">
        <f t="shared" si="11"/>
        <v>48750</v>
      </c>
      <c r="R32" s="203">
        <f aca="true" t="shared" si="12" ref="R32">SUM(R33:R35)</f>
        <v>48750</v>
      </c>
      <c r="S32" s="203">
        <f aca="true" t="shared" si="13" ref="S32:U32">SUM(S33:S35)</f>
        <v>36750</v>
      </c>
      <c r="T32" s="203">
        <f t="shared" si="13"/>
        <v>12250</v>
      </c>
      <c r="U32" s="203">
        <f t="shared" si="13"/>
        <v>0</v>
      </c>
      <c r="V32" s="203">
        <f>SUM(V33:V35)</f>
        <v>2087500</v>
      </c>
      <c r="W32" s="205">
        <f>'QFR - B'!G21</f>
        <v>3600000</v>
      </c>
      <c r="X32" s="305">
        <f>W32-V32</f>
        <v>1512500</v>
      </c>
      <c r="Y32" s="251"/>
      <c r="Z32" s="5"/>
      <c r="AA32" s="5"/>
      <c r="AB32" s="39"/>
    </row>
    <row r="33" spans="1:28" s="214" customFormat="1" ht="15" outlineLevel="1">
      <c r="A33" s="211"/>
      <c r="B33" s="207" t="s">
        <v>148</v>
      </c>
      <c r="C33" s="215"/>
      <c r="D33" s="216"/>
      <c r="E33" s="209"/>
      <c r="F33" s="209">
        <f>50%*$H33</f>
        <v>24875.00000000001</v>
      </c>
      <c r="G33" s="209">
        <f>50%*$H33</f>
        <v>24875.00000000001</v>
      </c>
      <c r="H33" s="209">
        <f>SUMIF('Contract level'!$A:$A,"="&amp;'DFP-Com'!$A33,'Contract level'!Y:Y)</f>
        <v>49750.00000000002</v>
      </c>
      <c r="I33" s="209">
        <f>SUMIF('Contract level'!$A:$A,"="&amp;'DFP-Com'!$A33,'Contract level'!Z:Z)</f>
        <v>67875</v>
      </c>
      <c r="J33" s="209">
        <f>SUMIF('Contract level'!$A:$A,"="&amp;'DFP-Com'!$A33,'Contract level'!AA:AA)</f>
        <v>67875</v>
      </c>
      <c r="K33" s="209">
        <f>SUMIF('Contract level'!$A:$A,"="&amp;'DFP-Com'!$A33,'Contract level'!AB:AB)</f>
        <v>67875</v>
      </c>
      <c r="L33" s="209">
        <f>SUMIF('Contract level'!$A:$A,"="&amp;'DFP-Com'!$A33,'Contract level'!AC:AC)</f>
        <v>80125.00000000004</v>
      </c>
      <c r="M33" s="209">
        <f>SUMIF('Contract level'!$A:$A,"="&amp;'DFP-Com'!$A33,'Contract level'!AD:AD)</f>
        <v>86250</v>
      </c>
      <c r="N33" s="209">
        <f>SUMIF('Contract level'!$A:$A,"="&amp;'DFP-Com'!$A33,'Contract level'!AE:AE)</f>
        <v>86250</v>
      </c>
      <c r="O33" s="209">
        <f>SUMIF('Contract level'!$A:$A,"="&amp;'DFP-Com'!$A33,'Contract level'!AF:AF)</f>
        <v>86250</v>
      </c>
      <c r="P33" s="209">
        <f>SUMIF('Contract level'!$A:$A,"="&amp;'DFP-Com'!$A33,'Contract level'!AG:AG)</f>
        <v>48750.000000000044</v>
      </c>
      <c r="Q33" s="209">
        <f>SUMIF('Contract level'!$A:$A,"="&amp;'DFP-Com'!$A33,'Contract level'!AH:AH)</f>
        <v>48750</v>
      </c>
      <c r="R33" s="209">
        <f>SUMIF('Contract level'!$A:$A,"="&amp;'DFP-Com'!$A33,'Contract level'!AI:AI)</f>
        <v>48750</v>
      </c>
      <c r="S33" s="209">
        <f>SUMIF('Contract level'!$A:$A,"="&amp;'DFP-Com'!$A33,'Contract level'!AJ:AJ)</f>
        <v>36750</v>
      </c>
      <c r="T33" s="209">
        <f>SUMIF('Contract level'!$A:$A,"="&amp;'DFP-Com'!$A33,'Contract level'!AK:AK)</f>
        <v>12250</v>
      </c>
      <c r="U33" s="209">
        <f>SUMIF('Contract level'!$A:$A,"="&amp;'DFP-Com'!$A33,'Contract level'!AL:AL)</f>
        <v>0</v>
      </c>
      <c r="V33" s="209">
        <f>SUM(H33:U33)+D33+C33</f>
        <v>787500</v>
      </c>
      <c r="W33" s="210"/>
      <c r="X33" s="306"/>
      <c r="Y33" s="251"/>
      <c r="Z33" s="212"/>
      <c r="AA33" s="212"/>
      <c r="AB33" s="213"/>
    </row>
    <row r="34" spans="1:28" s="214" customFormat="1" ht="15" outlineLevel="1">
      <c r="A34" s="211"/>
      <c r="B34" s="207" t="s">
        <v>149</v>
      </c>
      <c r="C34" s="215"/>
      <c r="D34" s="216"/>
      <c r="E34" s="209"/>
      <c r="F34" s="209"/>
      <c r="G34" s="209"/>
      <c r="H34" s="321">
        <f>SUMIF('Contract level'!$A:$A,"="&amp;'DFP-Com'!$A34,'Contract level'!Y:Y)</f>
        <v>0</v>
      </c>
      <c r="I34" s="209">
        <f>SUMIF('Contract level'!$A:$A,"="&amp;'DFP-Com'!$A34,'Contract level'!Z:Z)</f>
        <v>212500</v>
      </c>
      <c r="J34" s="209">
        <f>SUMIF('Contract level'!$A:$A,"="&amp;'DFP-Com'!$A34,'Contract level'!AA:AA)</f>
        <v>262500</v>
      </c>
      <c r="K34" s="209">
        <f>SUMIF('Contract level'!$A:$A,"="&amp;'DFP-Com'!$A34,'Contract level'!AB:AB)</f>
        <v>325000</v>
      </c>
      <c r="L34" s="209">
        <f>SUMIF('Contract level'!$A:$A,"="&amp;'DFP-Com'!$A34,'Contract level'!AC:AC)</f>
        <v>325000</v>
      </c>
      <c r="M34" s="209">
        <f>SUMIF('Contract level'!$A:$A,"="&amp;'DFP-Com'!$A34,'Contract level'!AD:AD)</f>
        <v>112500</v>
      </c>
      <c r="N34" s="209">
        <f>SUMIF('Contract level'!$A:$A,"="&amp;'DFP-Com'!$A34,'Contract level'!AE:AE)</f>
        <v>62500</v>
      </c>
      <c r="O34" s="209">
        <f>SUMIF('Contract level'!$A:$A,"="&amp;'DFP-Com'!$A34,'Contract level'!AF:AF)</f>
        <v>0</v>
      </c>
      <c r="P34" s="209">
        <f>SUMIF('Contract level'!$A:$A,"="&amp;'DFP-Com'!$A34,'Contract level'!AG:AG)</f>
        <v>0</v>
      </c>
      <c r="Q34" s="209">
        <f>SUMIF('Contract level'!$A:$A,"="&amp;'DFP-Com'!$A34,'Contract level'!AH:AH)</f>
        <v>0</v>
      </c>
      <c r="R34" s="209">
        <f>SUMIF('Contract level'!$A:$A,"="&amp;'DFP-Com'!$A34,'Contract level'!AI:AI)</f>
        <v>0</v>
      </c>
      <c r="S34" s="209">
        <f>SUMIF('Contract level'!$A:$A,"="&amp;'DFP-Com'!$A34,'Contract level'!AJ:AJ)</f>
        <v>0</v>
      </c>
      <c r="T34" s="209">
        <f>SUMIF('Contract level'!$A:$A,"="&amp;'DFP-Com'!$A34,'Contract level'!AK:AK)</f>
        <v>0</v>
      </c>
      <c r="U34" s="209">
        <f>SUMIF('Contract level'!$A:$A,"="&amp;'DFP-Com'!$A34,'Contract level'!AL:AL)</f>
        <v>0</v>
      </c>
      <c r="V34" s="209">
        <f>SUM(H34:U34)+D34+C34</f>
        <v>1300000</v>
      </c>
      <c r="W34" s="210"/>
      <c r="X34" s="306"/>
      <c r="Y34" s="251"/>
      <c r="Z34" s="212"/>
      <c r="AA34" s="212"/>
      <c r="AB34" s="213"/>
    </row>
    <row r="35" spans="1:28" s="214" customFormat="1" ht="15" outlineLevel="1">
      <c r="A35" s="211"/>
      <c r="B35" s="207" t="s">
        <v>151</v>
      </c>
      <c r="C35" s="215"/>
      <c r="D35" s="216"/>
      <c r="E35" s="209"/>
      <c r="F35" s="209"/>
      <c r="G35" s="209"/>
      <c r="H35" s="321">
        <f>SUMIF('Contract level'!$A:$A,"="&amp;'DFP-Com'!$A35,'Contract level'!Y:Y)</f>
        <v>0</v>
      </c>
      <c r="I35" s="209">
        <f>SUMIF('Contract level'!$A:$A,"="&amp;'DFP-Com'!$A35,'Contract level'!Z:Z)</f>
        <v>0</v>
      </c>
      <c r="J35" s="209">
        <f>SUMIF('Contract level'!$A:$A,"="&amp;'DFP-Com'!$A35,'Contract level'!AA:AA)</f>
        <v>0</v>
      </c>
      <c r="K35" s="209">
        <f>SUMIF('Contract level'!$A:$A,"="&amp;'DFP-Com'!$A35,'Contract level'!AB:AB)</f>
        <v>0</v>
      </c>
      <c r="L35" s="209">
        <f>SUMIF('Contract level'!$A:$A,"="&amp;'DFP-Com'!$A35,'Contract level'!AC:AC)</f>
        <v>0</v>
      </c>
      <c r="M35" s="209">
        <f>SUMIF('Contract level'!$A:$A,"="&amp;'DFP-Com'!$A35,'Contract level'!AD:AD)</f>
        <v>0</v>
      </c>
      <c r="N35" s="209">
        <f>SUMIF('Contract level'!$A:$A,"="&amp;'DFP-Com'!$A35,'Contract level'!AE:AE)</f>
        <v>0</v>
      </c>
      <c r="O35" s="209">
        <f>SUMIF('Contract level'!$A:$A,"="&amp;'DFP-Com'!$A35,'Contract level'!AF:AF)</f>
        <v>0</v>
      </c>
      <c r="P35" s="209">
        <f>SUMIF('Contract level'!$A:$A,"="&amp;'DFP-Com'!$A35,'Contract level'!AG:AG)</f>
        <v>0</v>
      </c>
      <c r="Q35" s="209">
        <f>SUMIF('Contract level'!$A:$A,"="&amp;'DFP-Com'!$A35,'Contract level'!AH:AH)</f>
        <v>0</v>
      </c>
      <c r="R35" s="209">
        <f>SUMIF('Contract level'!$A:$A,"="&amp;'DFP-Com'!$A35,'Contract level'!AI:AI)</f>
        <v>0</v>
      </c>
      <c r="S35" s="209">
        <f>SUMIF('Contract level'!$A:$A,"="&amp;'DFP-Com'!$A35,'Contract level'!AJ:AJ)</f>
        <v>0</v>
      </c>
      <c r="T35" s="209">
        <f>SUMIF('Contract level'!$A:$A,"="&amp;'DFP-Com'!$A35,'Contract level'!AK:AK)</f>
        <v>0</v>
      </c>
      <c r="U35" s="209">
        <f>SUMIF('Contract level'!$A:$A,"="&amp;'DFP-Com'!$A35,'Contract level'!AL:AL)</f>
        <v>0</v>
      </c>
      <c r="V35" s="209">
        <f>SUM(H35:U35)+D35+C35</f>
        <v>0</v>
      </c>
      <c r="W35" s="210"/>
      <c r="X35" s="306"/>
      <c r="Y35" s="71"/>
      <c r="Z35" s="212"/>
      <c r="AA35" s="212"/>
      <c r="AB35" s="213"/>
    </row>
    <row r="36" spans="1:28" s="40" customFormat="1" ht="15">
      <c r="A36" s="51"/>
      <c r="B36" s="61" t="s">
        <v>70</v>
      </c>
      <c r="C36" s="55">
        <f>C32+C30</f>
        <v>0</v>
      </c>
      <c r="D36" s="55">
        <f aca="true" t="shared" si="14" ref="D36:X36">D32+D30</f>
        <v>0</v>
      </c>
      <c r="E36" s="204">
        <f t="shared" si="14"/>
        <v>0</v>
      </c>
      <c r="F36" s="204">
        <f t="shared" si="14"/>
        <v>24875.00000000001</v>
      </c>
      <c r="G36" s="204">
        <f t="shared" si="14"/>
        <v>53875.000000000015</v>
      </c>
      <c r="H36" s="204">
        <f t="shared" si="14"/>
        <v>78750.00000000003</v>
      </c>
      <c r="I36" s="204">
        <f t="shared" si="14"/>
        <v>340375</v>
      </c>
      <c r="J36" s="204">
        <f t="shared" si="14"/>
        <v>390375</v>
      </c>
      <c r="K36" s="204">
        <f t="shared" si="14"/>
        <v>452875</v>
      </c>
      <c r="L36" s="204">
        <f t="shared" si="14"/>
        <v>440125.00000000006</v>
      </c>
      <c r="M36" s="204">
        <f t="shared" si="14"/>
        <v>233750</v>
      </c>
      <c r="N36" s="204">
        <f t="shared" si="14"/>
        <v>183750</v>
      </c>
      <c r="O36" s="204">
        <f t="shared" si="14"/>
        <v>121250</v>
      </c>
      <c r="P36" s="204">
        <f t="shared" si="14"/>
        <v>83750.00000000004</v>
      </c>
      <c r="Q36" s="204">
        <f t="shared" si="14"/>
        <v>48750</v>
      </c>
      <c r="R36" s="204">
        <f aca="true" t="shared" si="15" ref="R36">R32+R30</f>
        <v>48750</v>
      </c>
      <c r="S36" s="204">
        <f t="shared" si="14"/>
        <v>36750</v>
      </c>
      <c r="T36" s="204">
        <f t="shared" si="14"/>
        <v>12250</v>
      </c>
      <c r="U36" s="204">
        <f t="shared" si="14"/>
        <v>0</v>
      </c>
      <c r="V36" s="204">
        <f t="shared" si="14"/>
        <v>2471500</v>
      </c>
      <c r="W36" s="204">
        <f t="shared" si="14"/>
        <v>4400000</v>
      </c>
      <c r="X36" s="311">
        <f t="shared" si="14"/>
        <v>1928500</v>
      </c>
      <c r="Y36" s="251"/>
      <c r="Z36" s="5"/>
      <c r="AA36" s="5"/>
      <c r="AB36" s="39"/>
    </row>
    <row r="37" spans="1:28" s="40" customFormat="1" ht="15">
      <c r="A37" s="51"/>
      <c r="B37" s="56"/>
      <c r="C37" s="57"/>
      <c r="D37" s="58"/>
      <c r="E37" s="223"/>
      <c r="F37" s="223"/>
      <c r="G37" s="223"/>
      <c r="H37" s="223"/>
      <c r="I37" s="223"/>
      <c r="J37" s="223"/>
      <c r="K37" s="223"/>
      <c r="L37" s="223"/>
      <c r="M37" s="223"/>
      <c r="N37" s="223"/>
      <c r="O37" s="223"/>
      <c r="P37" s="223"/>
      <c r="Q37" s="223"/>
      <c r="R37" s="223"/>
      <c r="S37" s="223"/>
      <c r="T37" s="223"/>
      <c r="U37" s="223"/>
      <c r="V37" s="223"/>
      <c r="W37" s="290"/>
      <c r="X37" s="308"/>
      <c r="Y37" s="7"/>
      <c r="Z37" s="5"/>
      <c r="AA37" s="5"/>
      <c r="AB37" s="39"/>
    </row>
    <row r="38" spans="1:28" s="66" customFormat="1" ht="15">
      <c r="A38" s="62"/>
      <c r="B38" s="47" t="s">
        <v>109</v>
      </c>
      <c r="C38" s="63"/>
      <c r="D38" s="64"/>
      <c r="E38" s="287"/>
      <c r="F38" s="287"/>
      <c r="G38" s="287"/>
      <c r="H38" s="287"/>
      <c r="I38" s="287"/>
      <c r="J38" s="287"/>
      <c r="K38" s="287"/>
      <c r="L38" s="287"/>
      <c r="M38" s="287"/>
      <c r="N38" s="287"/>
      <c r="O38" s="287"/>
      <c r="P38" s="287"/>
      <c r="Q38" s="287"/>
      <c r="R38" s="287"/>
      <c r="S38" s="287"/>
      <c r="T38" s="287"/>
      <c r="U38" s="287"/>
      <c r="V38" s="224"/>
      <c r="W38" s="291"/>
      <c r="X38" s="309"/>
      <c r="Y38" s="7"/>
      <c r="Z38" s="10"/>
      <c r="AA38" s="10"/>
      <c r="AB38" s="65"/>
    </row>
    <row r="39" spans="1:28" s="66" customFormat="1" ht="15" outlineLevel="1">
      <c r="A39" s="62"/>
      <c r="B39" s="67" t="s">
        <v>110</v>
      </c>
      <c r="C39" s="53">
        <f>SUM(C40:C42)</f>
        <v>0</v>
      </c>
      <c r="D39" s="53">
        <f aca="true" t="shared" si="16" ref="D39:Q39">SUM(D40:D42)</f>
        <v>0</v>
      </c>
      <c r="E39" s="203">
        <f t="shared" si="16"/>
        <v>0</v>
      </c>
      <c r="F39" s="203">
        <f t="shared" si="16"/>
        <v>0</v>
      </c>
      <c r="G39" s="203">
        <f t="shared" si="16"/>
        <v>10320</v>
      </c>
      <c r="H39" s="203">
        <f t="shared" si="16"/>
        <v>10320</v>
      </c>
      <c r="I39" s="203">
        <f t="shared" si="16"/>
        <v>55080</v>
      </c>
      <c r="J39" s="203">
        <f t="shared" si="16"/>
        <v>56000</v>
      </c>
      <c r="K39" s="203">
        <f t="shared" si="16"/>
        <v>56000</v>
      </c>
      <c r="L39" s="203">
        <f t="shared" si="16"/>
        <v>56000</v>
      </c>
      <c r="M39" s="203">
        <f t="shared" si="16"/>
        <v>56000</v>
      </c>
      <c r="N39" s="203">
        <f t="shared" si="16"/>
        <v>30999.999999999996</v>
      </c>
      <c r="O39" s="203">
        <f t="shared" si="16"/>
        <v>30999.999999999996</v>
      </c>
      <c r="P39" s="203">
        <f t="shared" si="16"/>
        <v>30999.999999999996</v>
      </c>
      <c r="Q39" s="203">
        <f t="shared" si="16"/>
        <v>5999.999999999997</v>
      </c>
      <c r="R39" s="203">
        <f aca="true" t="shared" si="17" ref="R39">SUM(R40:R42)</f>
        <v>231000</v>
      </c>
      <c r="S39" s="203">
        <f aca="true" t="shared" si="18" ref="S39:U39">SUM(S40:S42)</f>
        <v>231000</v>
      </c>
      <c r="T39" s="203">
        <f t="shared" si="18"/>
        <v>231000</v>
      </c>
      <c r="U39" s="203">
        <f t="shared" si="18"/>
        <v>225000</v>
      </c>
      <c r="V39" s="226">
        <f>SUM(V40:V42)</f>
        <v>1306400</v>
      </c>
      <c r="W39" s="205">
        <f>'QFR - B'!G24</f>
        <v>1700000</v>
      </c>
      <c r="X39" s="305">
        <f>W39-V39</f>
        <v>393600</v>
      </c>
      <c r="Y39" s="7"/>
      <c r="Z39" s="10"/>
      <c r="AA39" s="10"/>
      <c r="AB39" s="65"/>
    </row>
    <row r="40" spans="1:28" s="221" customFormat="1" ht="15" outlineLevel="1">
      <c r="A40" s="217"/>
      <c r="B40" s="218" t="s">
        <v>137</v>
      </c>
      <c r="C40" s="215"/>
      <c r="D40" s="215"/>
      <c r="E40" s="208"/>
      <c r="F40" s="321"/>
      <c r="G40" s="321">
        <f>H40</f>
        <v>10320</v>
      </c>
      <c r="H40" s="321">
        <f>SUMIF('Contract level'!$A:$A,"="&amp;'DFP-Com'!$A40,'Contract level'!Y:Y)</f>
        <v>10320</v>
      </c>
      <c r="I40" s="209">
        <f>SUMIF('Contract level'!$A:$A,"="&amp;'DFP-Com'!$A40,'Contract level'!Z:Z)</f>
        <v>55080</v>
      </c>
      <c r="J40" s="209">
        <f>SUMIF('Contract level'!$A:$A,"="&amp;'DFP-Com'!$A40,'Contract level'!AA:AA)</f>
        <v>30999.999999999996</v>
      </c>
      <c r="K40" s="209">
        <f>SUMIF('Contract level'!$A:$A,"="&amp;'DFP-Com'!$A40,'Contract level'!AB:AB)</f>
        <v>30999.999999999996</v>
      </c>
      <c r="L40" s="209">
        <f>SUMIF('Contract level'!$A:$A,"="&amp;'DFP-Com'!$A40,'Contract level'!AC:AC)</f>
        <v>30999.999999999996</v>
      </c>
      <c r="M40" s="209">
        <f>SUMIF('Contract level'!$A:$A,"="&amp;'DFP-Com'!$A40,'Contract level'!AD:AD)</f>
        <v>5999.999999999997</v>
      </c>
      <c r="N40" s="209">
        <f>SUMIF('Contract level'!$A:$A,"="&amp;'DFP-Com'!$A40,'Contract level'!AE:AE)</f>
        <v>5999.999999999997</v>
      </c>
      <c r="O40" s="209">
        <f>SUMIF('Contract level'!$A:$A,"="&amp;'DFP-Com'!$A40,'Contract level'!AF:AF)</f>
        <v>5999.999999999997</v>
      </c>
      <c r="P40" s="209">
        <f>SUMIF('Contract level'!$A:$A,"="&amp;'DFP-Com'!$A40,'Contract level'!AG:AG)</f>
        <v>5999.999999999997</v>
      </c>
      <c r="Q40" s="209">
        <f>SUMIF('Contract level'!$A:$A,"="&amp;'DFP-Com'!$A40,'Contract level'!AH:AH)</f>
        <v>5999.999999999997</v>
      </c>
      <c r="R40" s="209">
        <f>SUMIF('Contract level'!$A:$A,"="&amp;'DFP-Com'!$A40,'Contract level'!AI:AI)</f>
        <v>131000</v>
      </c>
      <c r="S40" s="209">
        <f>SUMIF('Contract level'!$A:$A,"="&amp;'DFP-Com'!$A40,'Contract level'!AJ:AJ)</f>
        <v>131000</v>
      </c>
      <c r="T40" s="209">
        <f>SUMIF('Contract level'!$A:$A,"="&amp;'DFP-Com'!$A40,'Contract level'!AK:AK)</f>
        <v>131000</v>
      </c>
      <c r="U40" s="209">
        <f>SUMIF('Contract level'!$A:$A,"="&amp;'DFP-Com'!$A40,'Contract level'!AL:AL)</f>
        <v>125000</v>
      </c>
      <c r="V40" s="209">
        <f>SUM(H40:U40)+D40+C40</f>
        <v>706400</v>
      </c>
      <c r="W40" s="292"/>
      <c r="X40" s="310"/>
      <c r="Y40" s="71"/>
      <c r="Z40" s="219"/>
      <c r="AA40" s="219"/>
      <c r="AB40" s="220"/>
    </row>
    <row r="41" spans="1:28" s="221" customFormat="1" ht="15" outlineLevel="1">
      <c r="A41" s="217"/>
      <c r="B41" s="218" t="s">
        <v>138</v>
      </c>
      <c r="C41" s="215"/>
      <c r="D41" s="215"/>
      <c r="E41" s="208"/>
      <c r="F41" s="208"/>
      <c r="G41" s="208"/>
      <c r="H41" s="321">
        <f>SUMIF('Contract level'!$A:$A,"="&amp;'DFP-Com'!$A41,'Contract level'!Y:Y)</f>
        <v>0</v>
      </c>
      <c r="I41" s="209">
        <f>SUMIF('Contract level'!$A:$A,"="&amp;'DFP-Com'!$A41,'Contract level'!Z:Z)</f>
        <v>0</v>
      </c>
      <c r="J41" s="209">
        <f>SUMIF('Contract level'!$A:$A,"="&amp;'DFP-Com'!$A41,'Contract level'!AA:AA)</f>
        <v>25000</v>
      </c>
      <c r="K41" s="209">
        <f>SUMIF('Contract level'!$A:$A,"="&amp;'DFP-Com'!$A41,'Contract level'!AB:AB)</f>
        <v>25000</v>
      </c>
      <c r="L41" s="209">
        <f>SUMIF('Contract level'!$A:$A,"="&amp;'DFP-Com'!$A41,'Contract level'!AC:AC)</f>
        <v>25000</v>
      </c>
      <c r="M41" s="209">
        <f>SUMIF('Contract level'!$A:$A,"="&amp;'DFP-Com'!$A41,'Contract level'!AD:AD)</f>
        <v>25000</v>
      </c>
      <c r="N41" s="209">
        <f>SUMIF('Contract level'!$A:$A,"="&amp;'DFP-Com'!$A41,'Contract level'!AE:AE)</f>
        <v>0</v>
      </c>
      <c r="O41" s="209">
        <f>SUMIF('Contract level'!$A:$A,"="&amp;'DFP-Com'!$A41,'Contract level'!AF:AF)</f>
        <v>0</v>
      </c>
      <c r="P41" s="209">
        <f>SUMIF('Contract level'!$A:$A,"="&amp;'DFP-Com'!$A41,'Contract level'!AG:AG)</f>
        <v>0</v>
      </c>
      <c r="Q41" s="209">
        <f>SUMIF('Contract level'!$A:$A,"="&amp;'DFP-Com'!$A41,'Contract level'!AH:AH)</f>
        <v>0</v>
      </c>
      <c r="R41" s="209">
        <f>SUMIF('Contract level'!$A:$A,"="&amp;'DFP-Com'!$A41,'Contract level'!AI:AI)</f>
        <v>50000</v>
      </c>
      <c r="S41" s="209">
        <f>SUMIF('Contract level'!$A:$A,"="&amp;'DFP-Com'!$A41,'Contract level'!AJ:AJ)</f>
        <v>50000</v>
      </c>
      <c r="T41" s="209">
        <f>SUMIF('Contract level'!$A:$A,"="&amp;'DFP-Com'!$A41,'Contract level'!AK:AK)</f>
        <v>50000</v>
      </c>
      <c r="U41" s="209">
        <f>SUMIF('Contract level'!$A:$A,"="&amp;'DFP-Com'!$A41,'Contract level'!AL:AL)</f>
        <v>50000</v>
      </c>
      <c r="V41" s="209">
        <f>SUM(H41:U41)+D41+C41</f>
        <v>300000</v>
      </c>
      <c r="W41" s="292"/>
      <c r="X41" s="310"/>
      <c r="Y41" s="71"/>
      <c r="Z41" s="219"/>
      <c r="AA41" s="219"/>
      <c r="AB41" s="220"/>
    </row>
    <row r="42" spans="1:28" s="221" customFormat="1" ht="15" outlineLevel="1">
      <c r="A42" s="217"/>
      <c r="B42" s="218" t="s">
        <v>139</v>
      </c>
      <c r="C42" s="215"/>
      <c r="D42" s="215"/>
      <c r="E42" s="208"/>
      <c r="F42" s="208"/>
      <c r="G42" s="208"/>
      <c r="H42" s="321">
        <f>SUMIF('Contract level'!$A:$A,"="&amp;'DFP-Com'!$A42,'Contract level'!Y:Y)</f>
        <v>0</v>
      </c>
      <c r="I42" s="209">
        <f>SUMIF('Contract level'!$A:$A,"="&amp;'DFP-Com'!$A42,'Contract level'!Z:Z)</f>
        <v>0</v>
      </c>
      <c r="J42" s="209">
        <f>SUMIF('Contract level'!$A:$A,"="&amp;'DFP-Com'!$A42,'Contract level'!AA:AA)</f>
        <v>0</v>
      </c>
      <c r="K42" s="209">
        <f>SUMIF('Contract level'!$A:$A,"="&amp;'DFP-Com'!$A42,'Contract level'!AB:AB)</f>
        <v>0</v>
      </c>
      <c r="L42" s="209">
        <f>SUMIF('Contract level'!$A:$A,"="&amp;'DFP-Com'!$A42,'Contract level'!AC:AC)</f>
        <v>0</v>
      </c>
      <c r="M42" s="209">
        <f>SUMIF('Contract level'!$A:$A,"="&amp;'DFP-Com'!$A42,'Contract level'!AD:AD)</f>
        <v>25000</v>
      </c>
      <c r="N42" s="209">
        <f>SUMIF('Contract level'!$A:$A,"="&amp;'DFP-Com'!$A42,'Contract level'!AE:AE)</f>
        <v>25000</v>
      </c>
      <c r="O42" s="209">
        <f>SUMIF('Contract level'!$A:$A,"="&amp;'DFP-Com'!$A42,'Contract level'!AF:AF)</f>
        <v>25000</v>
      </c>
      <c r="P42" s="209">
        <f>SUMIF('Contract level'!$A:$A,"="&amp;'DFP-Com'!$A42,'Contract level'!AG:AG)</f>
        <v>25000</v>
      </c>
      <c r="Q42" s="209">
        <f>SUMIF('Contract level'!$A:$A,"="&amp;'DFP-Com'!$A42,'Contract level'!AH:AH)</f>
        <v>0</v>
      </c>
      <c r="R42" s="209">
        <f>SUMIF('Contract level'!$A:$A,"="&amp;'DFP-Com'!$A42,'Contract level'!AI:AI)</f>
        <v>50000</v>
      </c>
      <c r="S42" s="209">
        <f>SUMIF('Contract level'!$A:$A,"="&amp;'DFP-Com'!$A42,'Contract level'!AJ:AJ)</f>
        <v>50000</v>
      </c>
      <c r="T42" s="209">
        <f>SUMIF('Contract level'!$A:$A,"="&amp;'DFP-Com'!$A42,'Contract level'!AK:AK)</f>
        <v>50000</v>
      </c>
      <c r="U42" s="209">
        <f>SUMIF('Contract level'!$A:$A,"="&amp;'DFP-Com'!$A42,'Contract level'!AL:AL)</f>
        <v>50000</v>
      </c>
      <c r="V42" s="209">
        <f>SUM(H42:U42)+D42+C42</f>
        <v>300000</v>
      </c>
      <c r="W42" s="292"/>
      <c r="X42" s="310"/>
      <c r="Y42" s="71"/>
      <c r="Z42" s="219"/>
      <c r="AA42" s="219"/>
      <c r="AB42" s="220"/>
    </row>
    <row r="43" spans="1:28" s="221" customFormat="1" ht="15" outlineLevel="1">
      <c r="A43" s="217"/>
      <c r="B43" s="218" t="s">
        <v>150</v>
      </c>
      <c r="C43" s="215"/>
      <c r="D43" s="215"/>
      <c r="E43" s="208"/>
      <c r="F43" s="208"/>
      <c r="G43" s="208"/>
      <c r="H43" s="321">
        <f>SUMIF('Contract level'!$A:$A,"="&amp;'DFP-Com'!$A43,'Contract level'!Y:Y)</f>
        <v>0</v>
      </c>
      <c r="I43" s="209">
        <f>SUMIF('Contract level'!$A:$A,"="&amp;'DFP-Com'!$A43,'Contract level'!Z:Z)</f>
        <v>0</v>
      </c>
      <c r="J43" s="209">
        <f>SUMIF('Contract level'!$A:$A,"="&amp;'DFP-Com'!$A43,'Contract level'!AA:AA)</f>
        <v>0</v>
      </c>
      <c r="K43" s="209">
        <f>SUMIF('Contract level'!$A:$A,"="&amp;'DFP-Com'!$A43,'Contract level'!AB:AB)</f>
        <v>0</v>
      </c>
      <c r="L43" s="209">
        <f>SUMIF('Contract level'!$A:$A,"="&amp;'DFP-Com'!$A43,'Contract level'!AC:AC)</f>
        <v>0</v>
      </c>
      <c r="M43" s="209">
        <f>SUMIF('Contract level'!$A:$A,"="&amp;'DFP-Com'!$A43,'Contract level'!AD:AD)</f>
        <v>0</v>
      </c>
      <c r="N43" s="209">
        <f>SUMIF('Contract level'!$A:$A,"="&amp;'DFP-Com'!$A43,'Contract level'!AE:AE)</f>
        <v>0</v>
      </c>
      <c r="O43" s="209">
        <f>SUMIF('Contract level'!$A:$A,"="&amp;'DFP-Com'!$A43,'Contract level'!AF:AF)</f>
        <v>0</v>
      </c>
      <c r="P43" s="209">
        <f>SUMIF('Contract level'!$A:$A,"="&amp;'DFP-Com'!$A43,'Contract level'!AG:AG)</f>
        <v>0</v>
      </c>
      <c r="Q43" s="209">
        <f>SUMIF('Contract level'!$A:$A,"="&amp;'DFP-Com'!$A43,'Contract level'!AH:AH)</f>
        <v>0</v>
      </c>
      <c r="R43" s="209">
        <f>SUMIF('Contract level'!$A:$A,"="&amp;'DFP-Com'!$A43,'Contract level'!AI:AI)</f>
        <v>50000</v>
      </c>
      <c r="S43" s="209">
        <f>SUMIF('Contract level'!$A:$A,"="&amp;'DFP-Com'!$A43,'Contract level'!AJ:AJ)</f>
        <v>50000</v>
      </c>
      <c r="T43" s="209">
        <f>SUMIF('Contract level'!$A:$A,"="&amp;'DFP-Com'!$A43,'Contract level'!AK:AK)</f>
        <v>50000</v>
      </c>
      <c r="U43" s="209">
        <f>SUMIF('Contract level'!$A:$A,"="&amp;'DFP-Com'!$A43,'Contract level'!AL:AL)</f>
        <v>50000</v>
      </c>
      <c r="V43" s="209">
        <f>SUM(H43:U43)+D43+C43</f>
        <v>200000</v>
      </c>
      <c r="W43" s="292"/>
      <c r="X43" s="310"/>
      <c r="Y43" s="71"/>
      <c r="Z43" s="219"/>
      <c r="AA43" s="219"/>
      <c r="AB43" s="220"/>
    </row>
    <row r="44" spans="1:28" s="40" customFormat="1" ht="15">
      <c r="A44" s="51"/>
      <c r="B44" s="61" t="s">
        <v>22</v>
      </c>
      <c r="C44" s="55">
        <f>C39</f>
        <v>0</v>
      </c>
      <c r="D44" s="55">
        <f aca="true" t="shared" si="19" ref="D44:X44">D39</f>
        <v>0</v>
      </c>
      <c r="E44" s="204">
        <f t="shared" si="19"/>
        <v>0</v>
      </c>
      <c r="F44" s="204">
        <f t="shared" si="19"/>
        <v>0</v>
      </c>
      <c r="G44" s="204">
        <f t="shared" si="19"/>
        <v>10320</v>
      </c>
      <c r="H44" s="204">
        <f t="shared" si="19"/>
        <v>10320</v>
      </c>
      <c r="I44" s="204">
        <f t="shared" si="19"/>
        <v>55080</v>
      </c>
      <c r="J44" s="204">
        <f t="shared" si="19"/>
        <v>56000</v>
      </c>
      <c r="K44" s="204">
        <f t="shared" si="19"/>
        <v>56000</v>
      </c>
      <c r="L44" s="204">
        <f t="shared" si="19"/>
        <v>56000</v>
      </c>
      <c r="M44" s="204">
        <f t="shared" si="19"/>
        <v>56000</v>
      </c>
      <c r="N44" s="204">
        <f t="shared" si="19"/>
        <v>30999.999999999996</v>
      </c>
      <c r="O44" s="204">
        <f t="shared" si="19"/>
        <v>30999.999999999996</v>
      </c>
      <c r="P44" s="204">
        <f t="shared" si="19"/>
        <v>30999.999999999996</v>
      </c>
      <c r="Q44" s="204">
        <f t="shared" si="19"/>
        <v>5999.999999999997</v>
      </c>
      <c r="R44" s="204">
        <f aca="true" t="shared" si="20" ref="R44">R39</f>
        <v>231000</v>
      </c>
      <c r="S44" s="204">
        <f aca="true" t="shared" si="21" ref="S44:U44">S39</f>
        <v>231000</v>
      </c>
      <c r="T44" s="204">
        <f t="shared" si="21"/>
        <v>231000</v>
      </c>
      <c r="U44" s="204">
        <f t="shared" si="21"/>
        <v>225000</v>
      </c>
      <c r="V44" s="204">
        <f t="shared" si="19"/>
        <v>1306400</v>
      </c>
      <c r="W44" s="293">
        <f t="shared" si="19"/>
        <v>1700000</v>
      </c>
      <c r="X44" s="311">
        <f t="shared" si="19"/>
        <v>393600</v>
      </c>
      <c r="Y44" s="7"/>
      <c r="Z44" s="5"/>
      <c r="AA44" s="5"/>
      <c r="AB44" s="39"/>
    </row>
    <row r="45" spans="1:28" s="40" customFormat="1" ht="15">
      <c r="A45" s="51"/>
      <c r="B45" s="56"/>
      <c r="C45" s="57"/>
      <c r="D45" s="58"/>
      <c r="E45" s="223"/>
      <c r="F45" s="223"/>
      <c r="G45" s="223"/>
      <c r="H45" s="223"/>
      <c r="I45" s="223"/>
      <c r="J45" s="223"/>
      <c r="K45" s="223"/>
      <c r="L45" s="223"/>
      <c r="M45" s="223"/>
      <c r="N45" s="223"/>
      <c r="O45" s="223"/>
      <c r="P45" s="223"/>
      <c r="Q45" s="223"/>
      <c r="R45" s="223"/>
      <c r="S45" s="223"/>
      <c r="T45" s="223"/>
      <c r="U45" s="223"/>
      <c r="V45" s="223"/>
      <c r="W45" s="290"/>
      <c r="X45" s="308"/>
      <c r="Y45" s="7"/>
      <c r="Z45" s="5"/>
      <c r="AA45" s="5"/>
      <c r="AB45" s="39"/>
    </row>
    <row r="46" spans="1:28" s="66" customFormat="1" ht="15">
      <c r="A46" s="62"/>
      <c r="B46" s="47" t="s">
        <v>102</v>
      </c>
      <c r="C46" s="63"/>
      <c r="D46" s="64"/>
      <c r="E46" s="287"/>
      <c r="F46" s="287"/>
      <c r="G46" s="287"/>
      <c r="H46" s="287"/>
      <c r="I46" s="287"/>
      <c r="J46" s="287"/>
      <c r="K46" s="287"/>
      <c r="L46" s="287"/>
      <c r="M46" s="287"/>
      <c r="N46" s="287"/>
      <c r="O46" s="287"/>
      <c r="P46" s="287"/>
      <c r="Q46" s="287"/>
      <c r="R46" s="287"/>
      <c r="S46" s="287"/>
      <c r="T46" s="287"/>
      <c r="U46" s="287"/>
      <c r="V46" s="224"/>
      <c r="W46" s="291"/>
      <c r="X46" s="309"/>
      <c r="Y46" s="7"/>
      <c r="Z46" s="10"/>
      <c r="AA46" s="10"/>
      <c r="AB46" s="65"/>
    </row>
    <row r="47" spans="1:28" s="40" customFormat="1" ht="15" outlineLevel="1">
      <c r="A47" s="51"/>
      <c r="B47" s="68" t="s">
        <v>112</v>
      </c>
      <c r="C47" s="53">
        <f aca="true" t="shared" si="22" ref="C47:Q47">SUM(C48:C51)</f>
        <v>0</v>
      </c>
      <c r="D47" s="53">
        <f t="shared" si="22"/>
        <v>10000</v>
      </c>
      <c r="E47" s="203">
        <f t="shared" si="22"/>
        <v>13500</v>
      </c>
      <c r="F47" s="203">
        <f t="shared" si="22"/>
        <v>22500</v>
      </c>
      <c r="G47" s="203">
        <f t="shared" si="22"/>
        <v>23500</v>
      </c>
      <c r="H47" s="203">
        <f t="shared" si="22"/>
        <v>59500</v>
      </c>
      <c r="I47" s="203">
        <f t="shared" si="22"/>
        <v>45000</v>
      </c>
      <c r="J47" s="203">
        <f t="shared" si="22"/>
        <v>48500</v>
      </c>
      <c r="K47" s="203">
        <f t="shared" si="22"/>
        <v>48500</v>
      </c>
      <c r="L47" s="203">
        <f t="shared" si="22"/>
        <v>48500</v>
      </c>
      <c r="M47" s="203">
        <f t="shared" si="22"/>
        <v>73500</v>
      </c>
      <c r="N47" s="203">
        <f t="shared" si="22"/>
        <v>73500</v>
      </c>
      <c r="O47" s="203">
        <f t="shared" si="22"/>
        <v>48500</v>
      </c>
      <c r="P47" s="203">
        <f t="shared" si="22"/>
        <v>48500</v>
      </c>
      <c r="Q47" s="203">
        <f t="shared" si="22"/>
        <v>73500</v>
      </c>
      <c r="R47" s="203">
        <f aca="true" t="shared" si="23" ref="R47">SUM(R48:R51)</f>
        <v>73500</v>
      </c>
      <c r="S47" s="203">
        <f aca="true" t="shared" si="24" ref="S47:U47">SUM(S48:S51)</f>
        <v>48500</v>
      </c>
      <c r="T47" s="203">
        <f t="shared" si="24"/>
        <v>48500</v>
      </c>
      <c r="U47" s="203">
        <f t="shared" si="24"/>
        <v>98500</v>
      </c>
      <c r="V47" s="226">
        <f>C47+D47+SUM(H47:U47)</f>
        <v>846500</v>
      </c>
      <c r="W47" s="205">
        <f>'QFR - B'!G27</f>
        <v>800000</v>
      </c>
      <c r="X47" s="305">
        <f>W47-V47</f>
        <v>-46500</v>
      </c>
      <c r="Y47" s="7"/>
      <c r="Z47" s="5"/>
      <c r="AA47" s="5"/>
      <c r="AB47" s="39"/>
    </row>
    <row r="48" spans="1:28" s="214" customFormat="1" ht="12.75" customHeight="1" outlineLevel="1">
      <c r="A48" s="211"/>
      <c r="B48" s="222" t="s">
        <v>160</v>
      </c>
      <c r="C48" s="215"/>
      <c r="D48" s="215">
        <v>10000</v>
      </c>
      <c r="E48" s="208">
        <f>30%*$H48</f>
        <v>13500</v>
      </c>
      <c r="F48" s="320">
        <f>50%*$H48</f>
        <v>22500</v>
      </c>
      <c r="G48" s="320">
        <f aca="true" t="shared" si="25" ref="G48">20%*$H48</f>
        <v>9000</v>
      </c>
      <c r="H48" s="321">
        <f>SUMIF('Contract level'!$A:$A,"="&amp;'DFP-Com'!$A48,'Contract level'!Y:Y)</f>
        <v>45000</v>
      </c>
      <c r="I48" s="209">
        <f>SUMIF('Contract level'!$A:$A,"="&amp;'DFP-Com'!$A48,'Contract level'!Z:Z)</f>
        <v>42000</v>
      </c>
      <c r="J48" s="209">
        <f>SUMIF('Contract level'!$A:$A,"="&amp;'DFP-Com'!$A48,'Contract level'!AA:AA)</f>
        <v>42000</v>
      </c>
      <c r="K48" s="209">
        <f>SUMIF('Contract level'!$A:$A,"="&amp;'DFP-Com'!$A48,'Contract level'!AB:AB)</f>
        <v>42000</v>
      </c>
      <c r="L48" s="209">
        <f>SUMIF('Contract level'!$A:$A,"="&amp;'DFP-Com'!$A48,'Contract level'!AC:AC)</f>
        <v>42000</v>
      </c>
      <c r="M48" s="209">
        <f>SUMIF('Contract level'!$A:$A,"="&amp;'DFP-Com'!$A48,'Contract level'!AD:AD)</f>
        <v>42000</v>
      </c>
      <c r="N48" s="209">
        <f>SUMIF('Contract level'!$A:$A,"="&amp;'DFP-Com'!$A48,'Contract level'!AE:AE)</f>
        <v>42000</v>
      </c>
      <c r="O48" s="209">
        <f>SUMIF('Contract level'!$A:$A,"="&amp;'DFP-Com'!$A48,'Contract level'!AF:AF)</f>
        <v>42000</v>
      </c>
      <c r="P48" s="209">
        <f>SUMIF('Contract level'!$A:$A,"="&amp;'DFP-Com'!$A48,'Contract level'!AG:AG)</f>
        <v>42000</v>
      </c>
      <c r="Q48" s="209">
        <f>SUMIF('Contract level'!$A:$A,"="&amp;'DFP-Com'!$A48,'Contract level'!AH:AH)</f>
        <v>42000</v>
      </c>
      <c r="R48" s="209">
        <f>SUMIF('Contract level'!$A:$A,"="&amp;'DFP-Com'!$A48,'Contract level'!AI:AI)</f>
        <v>42000</v>
      </c>
      <c r="S48" s="209">
        <f>SUMIF('Contract level'!$A:$A,"="&amp;'DFP-Com'!$A48,'Contract level'!AJ:AJ)</f>
        <v>42000</v>
      </c>
      <c r="T48" s="209">
        <f>SUMIF('Contract level'!$A:$A,"="&amp;'DFP-Com'!$A48,'Contract level'!AK:AK)</f>
        <v>42000</v>
      </c>
      <c r="U48" s="209">
        <f>SUMIF('Contract level'!$A:$A,"="&amp;'DFP-Com'!$A48,'Contract level'!AL:AL)</f>
        <v>42000</v>
      </c>
      <c r="V48" s="209">
        <f>SUM(H48:U48)+D48+C48</f>
        <v>601000</v>
      </c>
      <c r="W48" s="292"/>
      <c r="X48" s="306"/>
      <c r="Y48" s="71"/>
      <c r="Z48" s="212"/>
      <c r="AA48" s="212"/>
      <c r="AB48" s="213"/>
    </row>
    <row r="49" spans="1:28" s="214" customFormat="1" ht="15" outlineLevel="1">
      <c r="A49" s="211"/>
      <c r="B49" s="222" t="s">
        <v>161</v>
      </c>
      <c r="C49" s="215"/>
      <c r="D49" s="215"/>
      <c r="E49" s="208"/>
      <c r="F49" s="208"/>
      <c r="G49" s="208">
        <f>H49</f>
        <v>2000</v>
      </c>
      <c r="H49" s="321">
        <f>SUMIF('Contract level'!$A:$A,"="&amp;'DFP-Com'!$A49,'Contract level'!Y:Y)</f>
        <v>2000</v>
      </c>
      <c r="I49" s="209">
        <f>SUMIF('Contract level'!$A:$A,"="&amp;'DFP-Com'!$A49,'Contract level'!Z:Z)</f>
        <v>2000</v>
      </c>
      <c r="J49" s="209">
        <f>SUMIF('Contract level'!$A:$A,"="&amp;'DFP-Com'!$A49,'Contract level'!AA:AA)</f>
        <v>4000</v>
      </c>
      <c r="K49" s="209">
        <f>SUMIF('Contract level'!$A:$A,"="&amp;'DFP-Com'!$A49,'Contract level'!AB:AB)</f>
        <v>4000</v>
      </c>
      <c r="L49" s="209">
        <f>SUMIF('Contract level'!$A:$A,"="&amp;'DFP-Com'!$A49,'Contract level'!AC:AC)</f>
        <v>4000</v>
      </c>
      <c r="M49" s="209">
        <f>SUMIF('Contract level'!$A:$A,"="&amp;'DFP-Com'!$A49,'Contract level'!AD:AD)</f>
        <v>4000</v>
      </c>
      <c r="N49" s="209">
        <f>SUMIF('Contract level'!$A:$A,"="&amp;'DFP-Com'!$A49,'Contract level'!AE:AE)</f>
        <v>4000</v>
      </c>
      <c r="O49" s="209">
        <f>SUMIF('Contract level'!$A:$A,"="&amp;'DFP-Com'!$A49,'Contract level'!AF:AF)</f>
        <v>4000</v>
      </c>
      <c r="P49" s="209">
        <f>SUMIF('Contract level'!$A:$A,"="&amp;'DFP-Com'!$A49,'Contract level'!AG:AG)</f>
        <v>4000</v>
      </c>
      <c r="Q49" s="209">
        <f>SUMIF('Contract level'!$A:$A,"="&amp;'DFP-Com'!$A49,'Contract level'!AH:AH)</f>
        <v>4000</v>
      </c>
      <c r="R49" s="209">
        <f>SUMIF('Contract level'!$A:$A,"="&amp;'DFP-Com'!$A49,'Contract level'!AI:AI)</f>
        <v>4000</v>
      </c>
      <c r="S49" s="209">
        <f>SUMIF('Contract level'!$A:$A,"="&amp;'DFP-Com'!$A49,'Contract level'!AJ:AJ)</f>
        <v>4000</v>
      </c>
      <c r="T49" s="209">
        <f>SUMIF('Contract level'!$A:$A,"="&amp;'DFP-Com'!$A49,'Contract level'!AK:AK)</f>
        <v>4000</v>
      </c>
      <c r="U49" s="209">
        <f>SUMIF('Contract level'!$A:$A,"="&amp;'DFP-Com'!$A49,'Contract level'!AL:AL)</f>
        <v>4000</v>
      </c>
      <c r="V49" s="209">
        <f>SUM(H49:U49)+D49+C49</f>
        <v>52000</v>
      </c>
      <c r="W49" s="292"/>
      <c r="X49" s="310"/>
      <c r="Y49" s="71"/>
      <c r="Z49" s="212"/>
      <c r="AA49" s="212"/>
      <c r="AB49" s="213"/>
    </row>
    <row r="50" spans="1:28" s="214" customFormat="1" ht="15" outlineLevel="1">
      <c r="A50" s="211"/>
      <c r="B50" s="222" t="s">
        <v>162</v>
      </c>
      <c r="C50" s="215"/>
      <c r="D50" s="215"/>
      <c r="E50" s="208"/>
      <c r="F50" s="208"/>
      <c r="G50" s="320">
        <f aca="true" t="shared" si="26" ref="G50:G51">H50</f>
        <v>0</v>
      </c>
      <c r="H50" s="321">
        <f>SUMIF('Contract level'!$A:$A,"="&amp;'DFP-Com'!$A50,'Contract level'!Y:Y)</f>
        <v>0</v>
      </c>
      <c r="I50" s="209">
        <f>SUMIF('Contract level'!$A:$A,"="&amp;'DFP-Com'!$A50,'Contract level'!Z:Z)</f>
        <v>0</v>
      </c>
      <c r="J50" s="209">
        <f>SUMIF('Contract level'!$A:$A,"="&amp;'DFP-Com'!$A50,'Contract level'!AA:AA)</f>
        <v>0</v>
      </c>
      <c r="K50" s="209">
        <f>SUMIF('Contract level'!$A:$A,"="&amp;'DFP-Com'!$A50,'Contract level'!AB:AB)</f>
        <v>0</v>
      </c>
      <c r="L50" s="209">
        <f>SUMIF('Contract level'!$A:$A,"="&amp;'DFP-Com'!$A50,'Contract level'!AC:AC)</f>
        <v>0</v>
      </c>
      <c r="M50" s="209">
        <f>SUMIF('Contract level'!$A:$A,"="&amp;'DFP-Com'!$A50,'Contract level'!AD:AD)</f>
        <v>25000</v>
      </c>
      <c r="N50" s="209">
        <f>SUMIF('Contract level'!$A:$A,"="&amp;'DFP-Com'!$A50,'Contract level'!AE:AE)</f>
        <v>25000</v>
      </c>
      <c r="O50" s="209">
        <f>SUMIF('Contract level'!$A:$A,"="&amp;'DFP-Com'!$A50,'Contract level'!AF:AF)</f>
        <v>0</v>
      </c>
      <c r="P50" s="209">
        <f>SUMIF('Contract level'!$A:$A,"="&amp;'DFP-Com'!$A50,'Contract level'!AG:AG)</f>
        <v>0</v>
      </c>
      <c r="Q50" s="209">
        <f>SUMIF('Contract level'!$A:$A,"="&amp;'DFP-Com'!$A50,'Contract level'!AH:AH)</f>
        <v>25000</v>
      </c>
      <c r="R50" s="209">
        <f>SUMIF('Contract level'!$A:$A,"="&amp;'DFP-Com'!$A50,'Contract level'!AI:AI)</f>
        <v>25000</v>
      </c>
      <c r="S50" s="209">
        <f>SUMIF('Contract level'!$A:$A,"="&amp;'DFP-Com'!$A50,'Contract level'!AJ:AJ)</f>
        <v>0</v>
      </c>
      <c r="T50" s="209">
        <f>SUMIF('Contract level'!$A:$A,"="&amp;'DFP-Com'!$A50,'Contract level'!AK:AK)</f>
        <v>0</v>
      </c>
      <c r="U50" s="209">
        <f>SUMIF('Contract level'!$A:$A,"="&amp;'DFP-Com'!$A50,'Contract level'!AL:AL)</f>
        <v>50000</v>
      </c>
      <c r="V50" s="209">
        <f>SUM(H50:U50)+D50+C50</f>
        <v>150000</v>
      </c>
      <c r="W50" s="292"/>
      <c r="X50" s="310"/>
      <c r="Y50" s="71"/>
      <c r="Z50" s="212"/>
      <c r="AA50" s="212"/>
      <c r="AB50" s="213"/>
    </row>
    <row r="51" spans="1:28" s="214" customFormat="1" ht="15" outlineLevel="1">
      <c r="A51" s="211"/>
      <c r="B51" s="222" t="s">
        <v>163</v>
      </c>
      <c r="C51" s="215"/>
      <c r="D51" s="215"/>
      <c r="E51" s="208"/>
      <c r="F51" s="208"/>
      <c r="G51" s="320">
        <f t="shared" si="26"/>
        <v>12500</v>
      </c>
      <c r="H51" s="321">
        <f>SUMIF('Contract level'!$A:$A,"="&amp;'DFP-Com'!$A51,'Contract level'!Y:Y)</f>
        <v>12500</v>
      </c>
      <c r="I51" s="209">
        <f>SUMIF('Contract level'!$A:$A,"="&amp;'DFP-Com'!$A51,'Contract level'!Z:Z)</f>
        <v>1000</v>
      </c>
      <c r="J51" s="209">
        <f>SUMIF('Contract level'!$A:$A,"="&amp;'DFP-Com'!$A51,'Contract level'!AA:AA)</f>
        <v>2500</v>
      </c>
      <c r="K51" s="209">
        <f>SUMIF('Contract level'!$A:$A,"="&amp;'DFP-Com'!$A51,'Contract level'!AB:AB)</f>
        <v>2500</v>
      </c>
      <c r="L51" s="209">
        <f>SUMIF('Contract level'!$A:$A,"="&amp;'DFP-Com'!$A51,'Contract level'!AC:AC)</f>
        <v>2500</v>
      </c>
      <c r="M51" s="209">
        <f>SUMIF('Contract level'!$A:$A,"="&amp;'DFP-Com'!$A51,'Contract level'!AD:AD)</f>
        <v>2500</v>
      </c>
      <c r="N51" s="209">
        <f>SUMIF('Contract level'!$A:$A,"="&amp;'DFP-Com'!$A51,'Contract level'!AE:AE)</f>
        <v>2500</v>
      </c>
      <c r="O51" s="209">
        <f>SUMIF('Contract level'!$A:$A,"="&amp;'DFP-Com'!$A51,'Contract level'!AF:AF)</f>
        <v>2500</v>
      </c>
      <c r="P51" s="209">
        <f>SUMIF('Contract level'!$A:$A,"="&amp;'DFP-Com'!$A51,'Contract level'!AG:AG)</f>
        <v>2500</v>
      </c>
      <c r="Q51" s="209">
        <f>SUMIF('Contract level'!$A:$A,"="&amp;'DFP-Com'!$A51,'Contract level'!AH:AH)</f>
        <v>2500</v>
      </c>
      <c r="R51" s="209">
        <f>SUMIF('Contract level'!$A:$A,"="&amp;'DFP-Com'!$A51,'Contract level'!AI:AI)</f>
        <v>2500</v>
      </c>
      <c r="S51" s="209">
        <f>SUMIF('Contract level'!$A:$A,"="&amp;'DFP-Com'!$A51,'Contract level'!AJ:AJ)</f>
        <v>2500</v>
      </c>
      <c r="T51" s="209">
        <f>SUMIF('Contract level'!$A:$A,"="&amp;'DFP-Com'!$A51,'Contract level'!AK:AK)</f>
        <v>2500</v>
      </c>
      <c r="U51" s="209">
        <f>SUMIF('Contract level'!$A:$A,"="&amp;'DFP-Com'!$A51,'Contract level'!AL:AL)</f>
        <v>2500</v>
      </c>
      <c r="V51" s="209">
        <f>SUM(H51:U51)+D51+C51</f>
        <v>43500</v>
      </c>
      <c r="W51" s="292"/>
      <c r="X51" s="310"/>
      <c r="Y51" s="71"/>
      <c r="Z51" s="212"/>
      <c r="AA51" s="212"/>
      <c r="AB51" s="213"/>
    </row>
    <row r="52" spans="1:28" s="66" customFormat="1" ht="15">
      <c r="A52" s="10"/>
      <c r="B52" s="69" t="s">
        <v>111</v>
      </c>
      <c r="C52" s="55">
        <f aca="true" t="shared" si="27" ref="C52:X52">C47</f>
        <v>0</v>
      </c>
      <c r="D52" s="55">
        <f t="shared" si="27"/>
        <v>10000</v>
      </c>
      <c r="E52" s="204">
        <f t="shared" si="27"/>
        <v>13500</v>
      </c>
      <c r="F52" s="204">
        <f t="shared" si="27"/>
        <v>22500</v>
      </c>
      <c r="G52" s="204">
        <f t="shared" si="27"/>
        <v>23500</v>
      </c>
      <c r="H52" s="204">
        <f t="shared" si="27"/>
        <v>59500</v>
      </c>
      <c r="I52" s="204">
        <f t="shared" si="27"/>
        <v>45000</v>
      </c>
      <c r="J52" s="204">
        <f t="shared" si="27"/>
        <v>48500</v>
      </c>
      <c r="K52" s="204">
        <f t="shared" si="27"/>
        <v>48500</v>
      </c>
      <c r="L52" s="204">
        <f t="shared" si="27"/>
        <v>48500</v>
      </c>
      <c r="M52" s="204">
        <f t="shared" si="27"/>
        <v>73500</v>
      </c>
      <c r="N52" s="204">
        <f t="shared" si="27"/>
        <v>73500</v>
      </c>
      <c r="O52" s="204">
        <f t="shared" si="27"/>
        <v>48500</v>
      </c>
      <c r="P52" s="204">
        <f t="shared" si="27"/>
        <v>48500</v>
      </c>
      <c r="Q52" s="204">
        <f t="shared" si="27"/>
        <v>73500</v>
      </c>
      <c r="R52" s="204">
        <f aca="true" t="shared" si="28" ref="R52">R47</f>
        <v>73500</v>
      </c>
      <c r="S52" s="204">
        <f aca="true" t="shared" si="29" ref="S52:U52">S47</f>
        <v>48500</v>
      </c>
      <c r="T52" s="204">
        <f t="shared" si="29"/>
        <v>48500</v>
      </c>
      <c r="U52" s="204">
        <f t="shared" si="29"/>
        <v>98500</v>
      </c>
      <c r="V52" s="204">
        <f t="shared" si="27"/>
        <v>846500</v>
      </c>
      <c r="W52" s="293">
        <f t="shared" si="27"/>
        <v>800000</v>
      </c>
      <c r="X52" s="311">
        <f t="shared" si="27"/>
        <v>-46500</v>
      </c>
      <c r="Y52" s="251"/>
      <c r="Z52" s="10"/>
      <c r="AA52" s="10"/>
      <c r="AB52" s="65"/>
    </row>
    <row r="53" spans="1:28" s="40" customFormat="1" ht="15">
      <c r="A53" s="5"/>
      <c r="B53" s="56"/>
      <c r="C53" s="57"/>
      <c r="D53" s="58"/>
      <c r="E53" s="223"/>
      <c r="F53" s="223"/>
      <c r="G53" s="223"/>
      <c r="H53" s="223"/>
      <c r="I53" s="223"/>
      <c r="J53" s="223"/>
      <c r="K53" s="223"/>
      <c r="L53" s="223"/>
      <c r="M53" s="223"/>
      <c r="N53" s="223"/>
      <c r="O53" s="223"/>
      <c r="P53" s="223"/>
      <c r="Q53" s="223"/>
      <c r="R53" s="223"/>
      <c r="S53" s="223"/>
      <c r="T53" s="223"/>
      <c r="U53" s="223"/>
      <c r="V53" s="225"/>
      <c r="W53" s="290"/>
      <c r="X53" s="312"/>
      <c r="Y53" s="7"/>
      <c r="Z53" s="5"/>
      <c r="AA53" s="5"/>
      <c r="AB53" s="39"/>
    </row>
    <row r="54" spans="1:28" s="234" customFormat="1" ht="13.5" customHeight="1" thickBot="1">
      <c r="A54" s="230"/>
      <c r="B54" s="235" t="s">
        <v>156</v>
      </c>
      <c r="C54" s="231">
        <f aca="true" t="shared" si="30" ref="C54:X54">C52+C44+C36+C27</f>
        <v>0</v>
      </c>
      <c r="D54" s="231">
        <f t="shared" si="30"/>
        <v>10000</v>
      </c>
      <c r="E54" s="232">
        <f t="shared" si="30"/>
        <v>13500</v>
      </c>
      <c r="F54" s="232">
        <f t="shared" si="30"/>
        <v>50375.000000000015</v>
      </c>
      <c r="G54" s="232">
        <f t="shared" si="30"/>
        <v>90695.00000000001</v>
      </c>
      <c r="H54" s="232">
        <f t="shared" si="30"/>
        <v>154570.00000000003</v>
      </c>
      <c r="I54" s="232">
        <f t="shared" si="30"/>
        <v>803455</v>
      </c>
      <c r="J54" s="232">
        <f t="shared" si="30"/>
        <v>1077875</v>
      </c>
      <c r="K54" s="232">
        <f t="shared" si="30"/>
        <v>1340375</v>
      </c>
      <c r="L54" s="232">
        <f t="shared" si="30"/>
        <v>1527625</v>
      </c>
      <c r="M54" s="232">
        <f t="shared" si="30"/>
        <v>2321250</v>
      </c>
      <c r="N54" s="232">
        <f t="shared" si="30"/>
        <v>2246250</v>
      </c>
      <c r="O54" s="232">
        <f t="shared" si="30"/>
        <v>2158750</v>
      </c>
      <c r="P54" s="232">
        <f t="shared" si="30"/>
        <v>2121250</v>
      </c>
      <c r="Q54" s="232">
        <f t="shared" si="30"/>
        <v>2036250</v>
      </c>
      <c r="R54" s="232">
        <f aca="true" t="shared" si="31" ref="R54">R52+R44+R36+R27</f>
        <v>2261250</v>
      </c>
      <c r="S54" s="232">
        <f aca="true" t="shared" si="32" ref="S54:U54">S52+S44+S36+S27</f>
        <v>2224250</v>
      </c>
      <c r="T54" s="232">
        <f t="shared" si="32"/>
        <v>2199750</v>
      </c>
      <c r="U54" s="232">
        <f t="shared" si="32"/>
        <v>776500</v>
      </c>
      <c r="V54" s="232">
        <f t="shared" si="30"/>
        <v>23259400</v>
      </c>
      <c r="W54" s="232">
        <f t="shared" si="30"/>
        <v>26200000</v>
      </c>
      <c r="X54" s="313">
        <f t="shared" si="30"/>
        <v>2940600</v>
      </c>
      <c r="Y54" s="251"/>
      <c r="Z54" s="230"/>
      <c r="AA54" s="230"/>
      <c r="AB54" s="233"/>
    </row>
    <row r="55" spans="2:27" ht="13.5" thickTop="1">
      <c r="B55" s="7" t="s">
        <v>158</v>
      </c>
      <c r="W55" s="196"/>
      <c r="X55" s="71"/>
      <c r="Z55" s="5"/>
      <c r="AA55" s="5"/>
    </row>
    <row r="56" spans="2:27" ht="15">
      <c r="B56" s="71" t="s">
        <v>159</v>
      </c>
      <c r="W56" s="196"/>
      <c r="Z56" s="5"/>
      <c r="AA56" s="5"/>
    </row>
    <row r="57" spans="2:27" ht="15">
      <c r="B57" s="7"/>
      <c r="W57" s="196"/>
      <c r="X57" s="71"/>
      <c r="Z57" s="5"/>
      <c r="AA57" s="5"/>
    </row>
    <row r="58" spans="2:27" ht="15">
      <c r="B58" s="7"/>
      <c r="W58" s="196"/>
      <c r="Z58" s="5"/>
      <c r="AA58" s="5"/>
    </row>
    <row r="59" spans="2:27" ht="15">
      <c r="B59" s="7"/>
      <c r="W59" s="196"/>
      <c r="Z59" s="5"/>
      <c r="AA59" s="5"/>
    </row>
    <row r="60" spans="2:27" ht="15">
      <c r="B60" s="7"/>
      <c r="W60" s="196"/>
      <c r="Z60" s="5"/>
      <c r="AA60" s="5"/>
    </row>
    <row r="61" spans="2:27" ht="15">
      <c r="B61" s="7"/>
      <c r="W61" s="196"/>
      <c r="Z61" s="5"/>
      <c r="AA61" s="5"/>
    </row>
    <row r="62" spans="2:27" ht="15">
      <c r="B62" s="7"/>
      <c r="W62" s="196"/>
      <c r="Z62" s="5"/>
      <c r="AA62" s="5"/>
    </row>
    <row r="63" spans="2:27" ht="15">
      <c r="B63" s="7"/>
      <c r="W63" s="196"/>
      <c r="Z63" s="5"/>
      <c r="AA63" s="5"/>
    </row>
    <row r="64" spans="2:27" ht="15">
      <c r="B64" s="7"/>
      <c r="W64" s="196"/>
      <c r="Z64" s="5"/>
      <c r="AA64" s="5"/>
    </row>
    <row r="65" spans="2:27" ht="15">
      <c r="B65" s="7"/>
      <c r="W65" s="196"/>
      <c r="Z65" s="5"/>
      <c r="AA65" s="5"/>
    </row>
    <row r="66" spans="2:27" ht="15">
      <c r="B66" s="7"/>
      <c r="W66" s="196"/>
      <c r="Z66" s="5"/>
      <c r="AA66" s="5"/>
    </row>
    <row r="67" spans="2:27" ht="15">
      <c r="B67" s="7"/>
      <c r="W67" s="196"/>
      <c r="Z67" s="5"/>
      <c r="AA67" s="5"/>
    </row>
    <row r="68" spans="2:27" ht="15">
      <c r="B68" s="7"/>
      <c r="W68" s="196"/>
      <c r="Z68" s="5"/>
      <c r="AA68" s="5"/>
    </row>
    <row r="69" spans="2:27" ht="15">
      <c r="B69" s="7"/>
      <c r="W69" s="196"/>
      <c r="Z69" s="5"/>
      <c r="AA69" s="5"/>
    </row>
    <row r="70" spans="23:27" ht="15">
      <c r="W70" s="196"/>
      <c r="Z70" s="5"/>
      <c r="AA70" s="5"/>
    </row>
    <row r="71" spans="23:27" ht="15">
      <c r="W71" s="196"/>
      <c r="Z71" s="5"/>
      <c r="AA71" s="5"/>
    </row>
    <row r="72" spans="23:27" ht="15">
      <c r="W72" s="196"/>
      <c r="Z72" s="5"/>
      <c r="AA72" s="5"/>
    </row>
    <row r="73" spans="23:27" ht="15">
      <c r="W73" s="196"/>
      <c r="Z73" s="5"/>
      <c r="AA73" s="5"/>
    </row>
    <row r="74" spans="23:27" ht="15">
      <c r="W74" s="196"/>
      <c r="Z74" s="5"/>
      <c r="AA74" s="5"/>
    </row>
    <row r="75" spans="23:27" ht="15">
      <c r="W75" s="196"/>
      <c r="Z75" s="5"/>
      <c r="AA75" s="5"/>
    </row>
    <row r="76" spans="23:27" ht="15">
      <c r="W76" s="196"/>
      <c r="Z76" s="5"/>
      <c r="AA76" s="5"/>
    </row>
    <row r="77" spans="23:27" ht="15">
      <c r="W77" s="196"/>
      <c r="Z77" s="5"/>
      <c r="AA77" s="5"/>
    </row>
    <row r="78" spans="23:27" ht="15">
      <c r="W78" s="196"/>
      <c r="Z78" s="5"/>
      <c r="AA78" s="5"/>
    </row>
    <row r="79" spans="23:27" ht="15">
      <c r="W79" s="196"/>
      <c r="Z79" s="5"/>
      <c r="AA79" s="5"/>
    </row>
    <row r="80" spans="23:27" ht="15">
      <c r="W80" s="196"/>
      <c r="Z80" s="5"/>
      <c r="AA80" s="5"/>
    </row>
    <row r="81" spans="23:27" ht="15">
      <c r="W81" s="196"/>
      <c r="Z81" s="5"/>
      <c r="AA81" s="5"/>
    </row>
    <row r="82" spans="23:27" ht="15">
      <c r="W82" s="196"/>
      <c r="Z82" s="5"/>
      <c r="AA82" s="5"/>
    </row>
    <row r="83" spans="23:27" ht="15">
      <c r="W83" s="196"/>
      <c r="Z83" s="5"/>
      <c r="AA83" s="5"/>
    </row>
    <row r="84" spans="23:27" ht="15">
      <c r="W84" s="196"/>
      <c r="Z84" s="5"/>
      <c r="AA84" s="5"/>
    </row>
    <row r="85" spans="23:27" ht="15">
      <c r="W85" s="196"/>
      <c r="Z85" s="5"/>
      <c r="AA85" s="5"/>
    </row>
  </sheetData>
  <mergeCells count="7">
    <mergeCell ref="X12:X13"/>
    <mergeCell ref="B11:B12"/>
    <mergeCell ref="E11:H11"/>
    <mergeCell ref="I11:R11"/>
    <mergeCell ref="E12:G12"/>
    <mergeCell ref="V12:V13"/>
    <mergeCell ref="W12:W1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showGridLines="0" zoomScale="85" zoomScaleNormal="85" zoomScalePageLayoutView="85" workbookViewId="0" topLeftCell="A1">
      <pane ySplit="13" topLeftCell="A14" activePane="bottomLeft" state="frozen"/>
      <selection pane="bottomLeft" activeCell="C17" sqref="C17"/>
    </sheetView>
  </sheetViews>
  <sheetFormatPr defaultColWidth="9.140625" defaultRowHeight="15"/>
  <cols>
    <col min="1" max="1" width="2.421875" style="0" customWidth="1"/>
    <col min="2" max="2" width="29.421875" style="0" customWidth="1"/>
    <col min="3" max="3" width="18.28125" style="0" customWidth="1"/>
    <col min="4" max="4" width="22.421875" style="0" customWidth="1"/>
    <col min="5" max="5" width="19.00390625" style="0" customWidth="1"/>
    <col min="6" max="6" width="18.140625" style="0" customWidth="1"/>
    <col min="7" max="7" width="18.8515625" style="0" customWidth="1"/>
    <col min="9" max="9" width="13.00390625" style="0" bestFit="1" customWidth="1"/>
  </cols>
  <sheetData>
    <row r="1" spans="2:7" ht="15">
      <c r="B1" s="75" t="s">
        <v>26</v>
      </c>
      <c r="C1" s="76"/>
      <c r="D1" s="76"/>
      <c r="E1" s="76"/>
      <c r="F1" s="76"/>
      <c r="G1" s="77"/>
    </row>
    <row r="2" spans="2:7" ht="15">
      <c r="B2" s="78"/>
      <c r="C2" s="79" t="s">
        <v>1</v>
      </c>
      <c r="D2" s="154" t="s">
        <v>79</v>
      </c>
      <c r="E2" s="81"/>
      <c r="F2" s="82"/>
      <c r="G2" s="83"/>
    </row>
    <row r="3" spans="2:7" ht="15">
      <c r="B3" s="78"/>
      <c r="C3" s="79" t="s">
        <v>2</v>
      </c>
      <c r="D3" s="181" t="s">
        <v>80</v>
      </c>
      <c r="E3" s="81"/>
      <c r="F3" s="82"/>
      <c r="G3" s="83"/>
    </row>
    <row r="4" spans="2:7" ht="15">
      <c r="B4" s="78"/>
      <c r="C4" s="79" t="s">
        <v>3</v>
      </c>
      <c r="D4" s="181" t="str">
        <f>'THP DR'!B7</f>
        <v>TR14GTM15001</v>
      </c>
      <c r="E4" s="81"/>
      <c r="F4" s="82"/>
      <c r="G4" s="83"/>
    </row>
    <row r="5" spans="2:7" ht="15">
      <c r="B5" s="78"/>
      <c r="C5" s="79" t="s">
        <v>4</v>
      </c>
      <c r="D5" s="182">
        <f>'THP DR'!B10</f>
        <v>42623</v>
      </c>
      <c r="E5" s="81"/>
      <c r="F5" s="82"/>
      <c r="G5" s="83"/>
    </row>
    <row r="6" spans="2:7" ht="15.75" thickBot="1">
      <c r="B6" s="85"/>
      <c r="C6" s="86"/>
      <c r="D6" s="87"/>
      <c r="E6" s="86"/>
      <c r="F6" s="87"/>
      <c r="G6" s="88"/>
    </row>
    <row r="7" spans="2:8" ht="15">
      <c r="B7" s="89" t="s">
        <v>27</v>
      </c>
      <c r="C7" s="90"/>
      <c r="D7" s="90"/>
      <c r="E7" s="90"/>
      <c r="F7" s="90"/>
      <c r="G7" s="91"/>
      <c r="H7" s="92"/>
    </row>
    <row r="8" spans="2:8" ht="15">
      <c r="B8" s="93" t="str">
        <f>"Disbursement Period:"&amp;TEXT('THP DR'!B11,"dd-mmm-yy")&amp;" to "&amp;TEXT('THP DR'!B12,"dd-mmm-yy")</f>
        <v>Disbursement Period:01-oct-16 to 31-dic-16</v>
      </c>
      <c r="C8" s="94"/>
      <c r="D8" s="94"/>
      <c r="E8" s="94"/>
      <c r="F8" s="94"/>
      <c r="G8" s="95"/>
      <c r="H8" s="92"/>
    </row>
    <row r="9" spans="2:8" s="101" customFormat="1" ht="12.75">
      <c r="B9" s="96" t="s">
        <v>28</v>
      </c>
      <c r="C9" s="97"/>
      <c r="D9" s="97"/>
      <c r="E9" s="98"/>
      <c r="F9" s="98"/>
      <c r="G9" s="99"/>
      <c r="H9" s="100"/>
    </row>
    <row r="10" spans="2:8" ht="15.75" thickBot="1">
      <c r="B10" s="102" t="s">
        <v>225</v>
      </c>
      <c r="C10" s="103"/>
      <c r="D10" s="103"/>
      <c r="E10" s="103"/>
      <c r="F10" s="103"/>
      <c r="G10" s="104"/>
      <c r="H10" s="92"/>
    </row>
    <row r="11" spans="2:8" ht="52.5" customHeight="1" thickBot="1">
      <c r="B11" s="105"/>
      <c r="C11" s="106" t="s">
        <v>29</v>
      </c>
      <c r="D11" s="107" t="s">
        <v>30</v>
      </c>
      <c r="E11" s="347" t="s">
        <v>31</v>
      </c>
      <c r="F11" s="348"/>
      <c r="G11" s="108" t="s">
        <v>32</v>
      </c>
      <c r="H11" s="92"/>
    </row>
    <row r="12" spans="2:8" ht="23.25">
      <c r="B12" s="109" t="s">
        <v>99</v>
      </c>
      <c r="C12" s="110"/>
      <c r="D12" s="111" t="s">
        <v>33</v>
      </c>
      <c r="E12" s="112" t="s">
        <v>34</v>
      </c>
      <c r="F12" s="113" t="s">
        <v>35</v>
      </c>
      <c r="G12" s="114" t="s">
        <v>36</v>
      </c>
      <c r="H12" s="92"/>
    </row>
    <row r="13" spans="2:8" s="101" customFormat="1" ht="13.5" thickBot="1">
      <c r="B13" s="115" t="s">
        <v>108</v>
      </c>
      <c r="C13" s="116">
        <v>1</v>
      </c>
      <c r="D13" s="116">
        <v>2</v>
      </c>
      <c r="E13" s="116">
        <v>3</v>
      </c>
      <c r="F13" s="116">
        <v>4</v>
      </c>
      <c r="G13" s="117">
        <v>5</v>
      </c>
      <c r="H13" s="100"/>
    </row>
    <row r="14" spans="2:8" s="101" customFormat="1" ht="15">
      <c r="B14" s="349"/>
      <c r="C14" s="350"/>
      <c r="D14" s="350"/>
      <c r="E14" s="350"/>
      <c r="F14" s="350"/>
      <c r="G14" s="351"/>
      <c r="H14" s="100"/>
    </row>
    <row r="15" spans="2:9" s="101" customFormat="1" ht="26.45" customHeight="1">
      <c r="B15" s="160" t="s">
        <v>94</v>
      </c>
      <c r="C15" s="183">
        <f>SUM(C16:C18)</f>
        <v>19700000</v>
      </c>
      <c r="D15" s="187">
        <f>SUM(D16:D18)</f>
        <v>19300000</v>
      </c>
      <c r="E15" s="183">
        <f>SUM(E16:E18)</f>
        <v>0</v>
      </c>
      <c r="F15" s="183">
        <f>SUM(F16:F18)</f>
        <v>0</v>
      </c>
      <c r="G15" s="187">
        <f aca="true" t="shared" si="0" ref="G15:G18">+D15+E15-F15</f>
        <v>19300000</v>
      </c>
      <c r="H15" s="100"/>
      <c r="I15" s="256"/>
    </row>
    <row r="16" spans="2:9" s="101" customFormat="1" ht="25.5">
      <c r="B16" s="174" t="s">
        <v>95</v>
      </c>
      <c r="C16" s="173">
        <v>12000000</v>
      </c>
      <c r="D16" s="188">
        <f>'QFR - B'!G15</f>
        <v>12000000</v>
      </c>
      <c r="E16" s="184"/>
      <c r="F16" s="184"/>
      <c r="G16" s="188">
        <f t="shared" si="0"/>
        <v>12000000</v>
      </c>
      <c r="H16" s="100"/>
      <c r="I16" s="256" t="s">
        <v>140</v>
      </c>
    </row>
    <row r="17" spans="2:7" ht="26.25" customHeight="1">
      <c r="B17" s="174" t="s">
        <v>96</v>
      </c>
      <c r="C17" s="173">
        <v>4700000</v>
      </c>
      <c r="D17" s="188">
        <f>'QFR - B'!G16</f>
        <v>4300000</v>
      </c>
      <c r="E17" s="184"/>
      <c r="F17" s="184"/>
      <c r="G17" s="188">
        <f t="shared" si="0"/>
        <v>4300000</v>
      </c>
    </row>
    <row r="18" spans="2:7" ht="25.5">
      <c r="B18" s="174" t="s">
        <v>97</v>
      </c>
      <c r="C18" s="173">
        <v>3000000</v>
      </c>
      <c r="D18" s="188">
        <f>'QFR - B'!G17</f>
        <v>3000000</v>
      </c>
      <c r="E18" s="184"/>
      <c r="F18" s="184"/>
      <c r="G18" s="188">
        <f t="shared" si="0"/>
        <v>3000000</v>
      </c>
    </row>
    <row r="19" spans="2:7" ht="15">
      <c r="B19" s="175"/>
      <c r="C19" s="173"/>
      <c r="D19" s="188"/>
      <c r="E19" s="184"/>
      <c r="F19" s="184"/>
      <c r="G19" s="188"/>
    </row>
    <row r="20" spans="2:9" ht="25.5">
      <c r="B20" s="176" t="s">
        <v>100</v>
      </c>
      <c r="C20" s="164">
        <f>SUM(C21:C22)</f>
        <v>4000000</v>
      </c>
      <c r="D20" s="189">
        <f>SUM(D21:D22)</f>
        <v>4400000</v>
      </c>
      <c r="E20" s="164">
        <f>SUM(E21:E22)</f>
        <v>0</v>
      </c>
      <c r="F20" s="164">
        <f>SUM(F21:F22)</f>
        <v>0</v>
      </c>
      <c r="G20" s="189">
        <f>+D20+E20-F20</f>
        <v>4400000</v>
      </c>
      <c r="I20" s="263"/>
    </row>
    <row r="21" spans="2:7" ht="25.5">
      <c r="B21" s="174" t="s">
        <v>103</v>
      </c>
      <c r="C21" s="173">
        <v>0</v>
      </c>
      <c r="D21" s="188">
        <f>'QFR - B'!G20</f>
        <v>800000</v>
      </c>
      <c r="E21" s="184"/>
      <c r="F21" s="184"/>
      <c r="G21" s="188">
        <f>+D21+E21-F21</f>
        <v>800000</v>
      </c>
    </row>
    <row r="22" spans="2:7" ht="25.5">
      <c r="B22" s="174" t="s">
        <v>104</v>
      </c>
      <c r="C22" s="173">
        <v>4000000</v>
      </c>
      <c r="D22" s="188">
        <f>'QFR - B'!G21</f>
        <v>3600000</v>
      </c>
      <c r="E22" s="184"/>
      <c r="F22" s="184"/>
      <c r="G22" s="188">
        <f>+D22+E22-F22</f>
        <v>3600000</v>
      </c>
    </row>
    <row r="23" spans="2:7" ht="15">
      <c r="B23" s="175"/>
      <c r="C23" s="173"/>
      <c r="D23" s="190"/>
      <c r="E23" s="184"/>
      <c r="F23" s="184"/>
      <c r="G23" s="190"/>
    </row>
    <row r="24" spans="2:9" ht="26.45" customHeight="1">
      <c r="B24" s="161" t="s">
        <v>101</v>
      </c>
      <c r="C24" s="164">
        <f>SUM(C25)</f>
        <v>1700000</v>
      </c>
      <c r="D24" s="189">
        <f aca="true" t="shared" si="1" ref="D24:G24">SUM(D25)</f>
        <v>1700000</v>
      </c>
      <c r="E24" s="164">
        <f t="shared" si="1"/>
        <v>0</v>
      </c>
      <c r="F24" s="164">
        <f t="shared" si="1"/>
        <v>0</v>
      </c>
      <c r="G24" s="189">
        <f t="shared" si="1"/>
        <v>1700000</v>
      </c>
      <c r="I24" s="263"/>
    </row>
    <row r="25" spans="2:7" ht="26.45" customHeight="1">
      <c r="B25" s="180" t="s">
        <v>105</v>
      </c>
      <c r="C25" s="173">
        <v>1700000</v>
      </c>
      <c r="D25" s="188">
        <f>'QFR - B'!G24</f>
        <v>1700000</v>
      </c>
      <c r="E25" s="184"/>
      <c r="F25" s="184"/>
      <c r="G25" s="188">
        <f>+D25+E25-F25</f>
        <v>1700000</v>
      </c>
    </row>
    <row r="26" spans="2:7" ht="15">
      <c r="B26" s="175"/>
      <c r="C26" s="173"/>
      <c r="D26" s="190"/>
      <c r="E26" s="184"/>
      <c r="F26" s="184"/>
      <c r="G26" s="190"/>
    </row>
    <row r="27" spans="2:9" ht="26.45" customHeight="1">
      <c r="B27" s="161" t="s">
        <v>102</v>
      </c>
      <c r="C27" s="164">
        <f>SUM(C28)</f>
        <v>800000</v>
      </c>
      <c r="D27" s="189">
        <f aca="true" t="shared" si="2" ref="D27:G27">SUM(D28)</f>
        <v>800000</v>
      </c>
      <c r="E27" s="164">
        <f t="shared" si="2"/>
        <v>0</v>
      </c>
      <c r="F27" s="164">
        <f t="shared" si="2"/>
        <v>0</v>
      </c>
      <c r="G27" s="189">
        <f t="shared" si="2"/>
        <v>800000</v>
      </c>
      <c r="I27" s="263"/>
    </row>
    <row r="28" spans="2:7" ht="26.45" customHeight="1">
      <c r="B28" s="180" t="s">
        <v>106</v>
      </c>
      <c r="C28" s="173">
        <v>800000</v>
      </c>
      <c r="D28" s="188">
        <f>'QFR - B'!G27</f>
        <v>800000</v>
      </c>
      <c r="E28" s="184"/>
      <c r="F28" s="184"/>
      <c r="G28" s="188">
        <f>+D28+E28-F28</f>
        <v>800000</v>
      </c>
    </row>
    <row r="29" spans="2:7" ht="15.75" thickBot="1">
      <c r="B29" s="178"/>
      <c r="C29" s="185"/>
      <c r="D29" s="191"/>
      <c r="E29" s="185"/>
      <c r="F29" s="185"/>
      <c r="G29" s="191"/>
    </row>
    <row r="30" spans="2:9" ht="26.45" customHeight="1" thickBot="1">
      <c r="B30" s="179" t="s">
        <v>37</v>
      </c>
      <c r="C30" s="186">
        <f>+C15+C20+C24+C27</f>
        <v>26200000</v>
      </c>
      <c r="D30" s="186">
        <f>+D15+D20+D24+D27</f>
        <v>26200000</v>
      </c>
      <c r="E30" s="186">
        <f>+E15+E20+E24+E27</f>
        <v>0</v>
      </c>
      <c r="F30" s="186">
        <f>+F15+F20+F24+F27</f>
        <v>0</v>
      </c>
      <c r="G30" s="192">
        <f>+G15+G20+G24+G27</f>
        <v>26200000</v>
      </c>
      <c r="I30" s="264"/>
    </row>
    <row r="31" ht="15">
      <c r="B31" t="s">
        <v>144</v>
      </c>
    </row>
    <row r="33" spans="2:7" ht="15">
      <c r="B33" s="227" t="s">
        <v>146</v>
      </c>
      <c r="C33" s="228"/>
      <c r="D33" s="228"/>
      <c r="E33" s="228"/>
      <c r="F33" s="228"/>
      <c r="G33" s="229"/>
    </row>
    <row r="34" spans="2:7" ht="25.5">
      <c r="B34" s="176" t="s">
        <v>100</v>
      </c>
      <c r="C34" s="164">
        <f>SUM(C35)</f>
        <v>1800000</v>
      </c>
      <c r="D34" s="164">
        <f>SUM(D35)</f>
        <v>1800000</v>
      </c>
      <c r="E34" s="164">
        <f>E35</f>
        <v>0</v>
      </c>
      <c r="F34" s="164">
        <f>F35</f>
        <v>0</v>
      </c>
      <c r="G34" s="189">
        <f>+D34+E34-F34</f>
        <v>1800000</v>
      </c>
    </row>
    <row r="35" spans="2:7" ht="25.5">
      <c r="B35" s="174" t="s">
        <v>145</v>
      </c>
      <c r="C35" s="173">
        <v>1800000</v>
      </c>
      <c r="D35" s="188">
        <f>'QFR - B'!G34</f>
        <v>1800000</v>
      </c>
      <c r="E35" s="184"/>
      <c r="F35" s="184"/>
      <c r="G35" s="188">
        <f>+D35+E35-F35</f>
        <v>1800000</v>
      </c>
    </row>
    <row r="36" spans="2:9" ht="26.45" customHeight="1" thickBot="1">
      <c r="B36" s="179" t="s">
        <v>37</v>
      </c>
      <c r="C36" s="186">
        <f>C35</f>
        <v>1800000</v>
      </c>
      <c r="D36" s="186">
        <f>D35</f>
        <v>1800000</v>
      </c>
      <c r="E36" s="186">
        <f aca="true" t="shared" si="3" ref="E36:G36">E35</f>
        <v>0</v>
      </c>
      <c r="F36" s="186">
        <f t="shared" si="3"/>
        <v>0</v>
      </c>
      <c r="G36" s="186">
        <f t="shared" si="3"/>
        <v>1800000</v>
      </c>
      <c r="I36" s="263"/>
    </row>
  </sheetData>
  <mergeCells count="2">
    <mergeCell ref="E11:F11"/>
    <mergeCell ref="B14:G14"/>
  </mergeCells>
  <conditionalFormatting sqref="D30:G30">
    <cfRule type="cellIs" priority="4" dxfId="0" operator="equal" stopIfTrue="1">
      <formula>0</formula>
    </cfRule>
  </conditionalFormatting>
  <conditionalFormatting sqref="C30">
    <cfRule type="cellIs" priority="3" dxfId="0" operator="equal" stopIfTrue="1">
      <formula>0</formula>
    </cfRule>
  </conditionalFormatting>
  <conditionalFormatting sqref="D36:G36">
    <cfRule type="cellIs" priority="2" dxfId="0" operator="equal" stopIfTrue="1">
      <formula>0</formula>
    </cfRule>
  </conditionalFormatting>
  <conditionalFormatting sqref="C36">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56"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90" zoomScaleNormal="90" zoomScalePageLayoutView="90" workbookViewId="0" topLeftCell="A1">
      <pane ySplit="13" topLeftCell="A14" activePane="bottomLeft" state="frozen"/>
      <selection pane="bottomLeft" activeCell="D22" sqref="D22"/>
    </sheetView>
  </sheetViews>
  <sheetFormatPr defaultColWidth="9.140625" defaultRowHeight="15"/>
  <cols>
    <col min="1" max="1" width="3.28125" style="0" customWidth="1"/>
    <col min="2" max="2" width="33.8515625" style="0" customWidth="1"/>
    <col min="3" max="3" width="16.421875" style="0" customWidth="1"/>
    <col min="4" max="4" width="21.00390625" style="0" bestFit="1" customWidth="1"/>
    <col min="5" max="7" width="16.421875" style="0" customWidth="1"/>
  </cols>
  <sheetData>
    <row r="1" spans="2:7" ht="15">
      <c r="B1" s="75" t="s">
        <v>26</v>
      </c>
      <c r="C1" s="76"/>
      <c r="D1" s="76"/>
      <c r="E1" s="76"/>
      <c r="F1" s="76"/>
      <c r="G1" s="77"/>
    </row>
    <row r="2" spans="2:7" ht="15">
      <c r="B2" s="78"/>
      <c r="C2" s="79" t="s">
        <v>1</v>
      </c>
      <c r="D2" s="154" t="s">
        <v>79</v>
      </c>
      <c r="E2" s="80"/>
      <c r="F2" s="80"/>
      <c r="G2" s="83"/>
    </row>
    <row r="3" spans="2:7" ht="15">
      <c r="B3" s="78"/>
      <c r="C3" s="79" t="s">
        <v>2</v>
      </c>
      <c r="D3" s="154" t="s">
        <v>80</v>
      </c>
      <c r="E3" s="80"/>
      <c r="F3" s="80"/>
      <c r="G3" s="83"/>
    </row>
    <row r="4" spans="2:7" ht="15">
      <c r="B4" s="78"/>
      <c r="C4" s="79" t="s">
        <v>3</v>
      </c>
      <c r="D4" s="154" t="str">
        <f>'THP DR'!B7</f>
        <v>TR14GTM15001</v>
      </c>
      <c r="E4" s="80"/>
      <c r="F4" s="80"/>
      <c r="G4" s="83"/>
    </row>
    <row r="5" spans="2:7" ht="15">
      <c r="B5" s="78"/>
      <c r="C5" s="79" t="s">
        <v>4</v>
      </c>
      <c r="D5" s="155">
        <f>'THP DR'!B10</f>
        <v>42623</v>
      </c>
      <c r="E5" s="84"/>
      <c r="F5" s="84"/>
      <c r="G5" s="83"/>
    </row>
    <row r="6" spans="2:7" ht="15.75" thickBot="1">
      <c r="B6" s="85"/>
      <c r="C6" s="86"/>
      <c r="D6" s="86"/>
      <c r="E6" s="86"/>
      <c r="F6" s="86"/>
      <c r="G6" s="88"/>
    </row>
    <row r="7" spans="2:7" ht="15">
      <c r="B7" s="89" t="s">
        <v>39</v>
      </c>
      <c r="C7" s="118"/>
      <c r="D7" s="118"/>
      <c r="E7" s="118"/>
      <c r="F7" s="118"/>
      <c r="G7" s="119"/>
    </row>
    <row r="8" spans="1:7" ht="15">
      <c r="A8" s="101"/>
      <c r="B8" s="93" t="str">
        <f>'QFR - A'!B8</f>
        <v>Disbursement Period:01-oct-16 to 31-dic-16</v>
      </c>
      <c r="C8" s="94"/>
      <c r="D8" s="94"/>
      <c r="E8" s="94"/>
      <c r="F8" s="94"/>
      <c r="G8" s="95"/>
    </row>
    <row r="9" spans="2:7" ht="15">
      <c r="B9" s="156" t="s">
        <v>40</v>
      </c>
      <c r="C9" s="97"/>
      <c r="D9" s="97"/>
      <c r="E9" s="97"/>
      <c r="F9" s="97"/>
      <c r="G9" s="99"/>
    </row>
    <row r="10" spans="2:7" ht="15.75" thickBot="1">
      <c r="B10" s="156" t="str">
        <f>'QFR - A'!B10</f>
        <v>Out of Cycle Report:  Yes [ ] | No [ x ]</v>
      </c>
      <c r="C10" s="97"/>
      <c r="D10" s="97"/>
      <c r="E10" s="97"/>
      <c r="F10" s="97"/>
      <c r="G10" s="99"/>
    </row>
    <row r="11" spans="2:7" ht="15" customHeight="1">
      <c r="B11" s="158"/>
      <c r="C11" s="352" t="s">
        <v>29</v>
      </c>
      <c r="D11" s="352" t="s">
        <v>230</v>
      </c>
      <c r="E11" s="352" t="s">
        <v>107</v>
      </c>
      <c r="F11" s="352" t="s">
        <v>107</v>
      </c>
      <c r="G11" s="352" t="s">
        <v>93</v>
      </c>
    </row>
    <row r="12" spans="2:7" ht="66.6" customHeight="1" thickBot="1">
      <c r="B12" s="157" t="s">
        <v>99</v>
      </c>
      <c r="C12" s="353"/>
      <c r="D12" s="353"/>
      <c r="E12" s="353"/>
      <c r="F12" s="353"/>
      <c r="G12" s="353"/>
    </row>
    <row r="13" spans="1:7" ht="15" customHeight="1">
      <c r="A13" s="101"/>
      <c r="B13" s="159" t="s">
        <v>98</v>
      </c>
      <c r="C13" s="162">
        <v>1</v>
      </c>
      <c r="D13" s="162">
        <f>C13+1</f>
        <v>2</v>
      </c>
      <c r="E13" s="162">
        <v>3</v>
      </c>
      <c r="F13" s="162">
        <v>4</v>
      </c>
      <c r="G13" s="169">
        <v>5</v>
      </c>
    </row>
    <row r="14" spans="2:7" ht="26.1" customHeight="1">
      <c r="B14" s="160" t="s">
        <v>94</v>
      </c>
      <c r="C14" s="163">
        <f>SUM(C15:C17)</f>
        <v>19700000</v>
      </c>
      <c r="D14" s="299">
        <f>SUM(D15:D17)</f>
        <v>-400000</v>
      </c>
      <c r="E14" s="299">
        <f>SUM(E15:E17)</f>
        <v>0</v>
      </c>
      <c r="F14" s="299">
        <f>SUM(F15:F17)</f>
        <v>0</v>
      </c>
      <c r="G14" s="165">
        <f>C14+D14+E14+F14</f>
        <v>19300000</v>
      </c>
    </row>
    <row r="15" spans="2:7" ht="26.45" customHeight="1">
      <c r="B15" s="174" t="s">
        <v>95</v>
      </c>
      <c r="C15" s="166">
        <v>12000000</v>
      </c>
      <c r="D15" s="300">
        <v>0</v>
      </c>
      <c r="E15" s="301">
        <v>0</v>
      </c>
      <c r="F15" s="301">
        <v>0</v>
      </c>
      <c r="G15" s="167">
        <f>C15+D15+E15+F15</f>
        <v>12000000</v>
      </c>
    </row>
    <row r="16" spans="2:7" ht="26.45" customHeight="1">
      <c r="B16" s="174" t="s">
        <v>96</v>
      </c>
      <c r="C16" s="166">
        <v>4700000</v>
      </c>
      <c r="D16" s="300">
        <v>-400000</v>
      </c>
      <c r="E16" s="301">
        <v>0</v>
      </c>
      <c r="F16" s="301">
        <v>0</v>
      </c>
      <c r="G16" s="167">
        <f aca="true" t="shared" si="0" ref="G16:G17">C16+D16+E16+F16</f>
        <v>4300000</v>
      </c>
    </row>
    <row r="17" spans="2:7" ht="25.5">
      <c r="B17" s="174" t="s">
        <v>97</v>
      </c>
      <c r="C17" s="166">
        <v>3000000</v>
      </c>
      <c r="D17" s="300">
        <v>0</v>
      </c>
      <c r="E17" s="301">
        <v>0</v>
      </c>
      <c r="F17" s="301">
        <v>0</v>
      </c>
      <c r="G17" s="167">
        <f t="shared" si="0"/>
        <v>3000000</v>
      </c>
    </row>
    <row r="18" spans="2:7" ht="15">
      <c r="B18" s="175"/>
      <c r="C18" s="166"/>
      <c r="D18" s="300"/>
      <c r="E18" s="301"/>
      <c r="F18" s="301"/>
      <c r="G18" s="167"/>
    </row>
    <row r="19" spans="2:7" ht="25.5">
      <c r="B19" s="176" t="s">
        <v>100</v>
      </c>
      <c r="C19" s="163">
        <f>SUM(C20:C21)</f>
        <v>4000000</v>
      </c>
      <c r="D19" s="299">
        <f>SUM(D20:D21)</f>
        <v>400000</v>
      </c>
      <c r="E19" s="299">
        <f>SUM(E20:E21)</f>
        <v>0</v>
      </c>
      <c r="F19" s="299">
        <f>SUM(F20:F21)</f>
        <v>0</v>
      </c>
      <c r="G19" s="165">
        <f>SUM(G20:G21)</f>
        <v>4400000</v>
      </c>
    </row>
    <row r="20" spans="2:7" ht="25.5">
      <c r="B20" s="174" t="s">
        <v>103</v>
      </c>
      <c r="C20" s="166">
        <v>0</v>
      </c>
      <c r="D20" s="300">
        <v>800000</v>
      </c>
      <c r="E20" s="301">
        <v>0</v>
      </c>
      <c r="F20" s="301">
        <v>0</v>
      </c>
      <c r="G20" s="167">
        <f>C20+D20+E20+F20</f>
        <v>800000</v>
      </c>
    </row>
    <row r="21" spans="2:7" ht="25.5">
      <c r="B21" s="174" t="s">
        <v>104</v>
      </c>
      <c r="C21" s="166">
        <v>4000000</v>
      </c>
      <c r="D21" s="300">
        <v>-400000</v>
      </c>
      <c r="E21" s="301">
        <v>0</v>
      </c>
      <c r="F21" s="301">
        <v>0</v>
      </c>
      <c r="G21" s="167">
        <f>C21+D21+E21+F21</f>
        <v>3600000</v>
      </c>
    </row>
    <row r="22" spans="2:7" ht="15">
      <c r="B22" s="175"/>
      <c r="C22" s="166"/>
      <c r="D22" s="300"/>
      <c r="E22" s="301"/>
      <c r="F22" s="301"/>
      <c r="G22" s="168"/>
    </row>
    <row r="23" spans="2:7" ht="26.45" customHeight="1">
      <c r="B23" s="161" t="s">
        <v>101</v>
      </c>
      <c r="C23" s="163">
        <f>SUM(C24)</f>
        <v>1700000</v>
      </c>
      <c r="D23" s="299">
        <f>SUM(D24)</f>
        <v>0</v>
      </c>
      <c r="E23" s="299">
        <f>E24</f>
        <v>0</v>
      </c>
      <c r="F23" s="299">
        <f>F24</f>
        <v>0</v>
      </c>
      <c r="G23" s="165">
        <f aca="true" t="shared" si="1" ref="G23">SUM(G24)</f>
        <v>1700000</v>
      </c>
    </row>
    <row r="24" spans="2:7" ht="24" customHeight="1">
      <c r="B24" s="180" t="s">
        <v>105</v>
      </c>
      <c r="C24" s="166">
        <v>1700000</v>
      </c>
      <c r="D24" s="300">
        <v>0</v>
      </c>
      <c r="E24" s="301">
        <v>0</v>
      </c>
      <c r="F24" s="301">
        <v>0</v>
      </c>
      <c r="G24" s="167">
        <f>C24+D24+E24+F24</f>
        <v>1700000</v>
      </c>
    </row>
    <row r="25" spans="2:7" ht="15">
      <c r="B25" s="175"/>
      <c r="C25" s="166"/>
      <c r="D25" s="300"/>
      <c r="E25" s="301"/>
      <c r="F25" s="301"/>
      <c r="G25" s="168"/>
    </row>
    <row r="26" spans="2:7" ht="26.45" customHeight="1">
      <c r="B26" s="177" t="s">
        <v>102</v>
      </c>
      <c r="C26" s="163">
        <f>SUM(C27)</f>
        <v>800000</v>
      </c>
      <c r="D26" s="299">
        <f>SUM(D27)</f>
        <v>0</v>
      </c>
      <c r="E26" s="299">
        <f>E27</f>
        <v>0</v>
      </c>
      <c r="F26" s="299">
        <f>F27</f>
        <v>0</v>
      </c>
      <c r="G26" s="165">
        <f aca="true" t="shared" si="2" ref="G26">SUM(G27)</f>
        <v>800000</v>
      </c>
    </row>
    <row r="27" spans="2:7" ht="24" customHeight="1">
      <c r="B27" s="180" t="s">
        <v>106</v>
      </c>
      <c r="C27" s="166">
        <v>800000</v>
      </c>
      <c r="D27" s="300">
        <v>0</v>
      </c>
      <c r="E27" s="301">
        <v>0</v>
      </c>
      <c r="F27" s="301">
        <v>0</v>
      </c>
      <c r="G27" s="167">
        <f>C27+D27+E27+F27</f>
        <v>800000</v>
      </c>
    </row>
    <row r="28" spans="2:7" ht="15.75" thickBot="1">
      <c r="B28" s="178"/>
      <c r="C28" s="170"/>
      <c r="D28" s="302"/>
      <c r="E28" s="303"/>
      <c r="F28" s="303"/>
      <c r="G28" s="171"/>
    </row>
    <row r="29" spans="2:7" ht="26.1" customHeight="1" thickBot="1">
      <c r="B29" s="179" t="s">
        <v>37</v>
      </c>
      <c r="C29" s="172">
        <f>C14+C19+C23+C26</f>
        <v>26200000</v>
      </c>
      <c r="D29" s="304">
        <f aca="true" t="shared" si="3" ref="D29:F29">D14+D19+D23+D26</f>
        <v>0</v>
      </c>
      <c r="E29" s="304">
        <f t="shared" si="3"/>
        <v>0</v>
      </c>
      <c r="F29" s="304">
        <f t="shared" si="3"/>
        <v>0</v>
      </c>
      <c r="G29" s="172">
        <f>G26+G23+G19+G14</f>
        <v>26200000</v>
      </c>
    </row>
    <row r="30" ht="15">
      <c r="B30" t="s">
        <v>38</v>
      </c>
    </row>
    <row r="32" spans="2:7" ht="15">
      <c r="B32" s="227" t="s">
        <v>146</v>
      </c>
      <c r="C32" s="228"/>
      <c r="D32" s="228"/>
      <c r="E32" s="228"/>
      <c r="F32" s="228"/>
      <c r="G32" s="229"/>
    </row>
    <row r="33" spans="2:7" ht="25.5">
      <c r="B33" s="176" t="s">
        <v>100</v>
      </c>
      <c r="C33" s="164">
        <f>SUM(C34)</f>
        <v>1800000</v>
      </c>
      <c r="D33" s="164">
        <f aca="true" t="shared" si="4" ref="D33:G33">SUM(D34)</f>
        <v>0</v>
      </c>
      <c r="E33" s="164">
        <f t="shared" si="4"/>
        <v>0</v>
      </c>
      <c r="F33" s="164">
        <f t="shared" si="4"/>
        <v>0</v>
      </c>
      <c r="G33" s="164">
        <f t="shared" si="4"/>
        <v>1800000</v>
      </c>
    </row>
    <row r="34" spans="2:7" ht="25.5">
      <c r="B34" s="174" t="s">
        <v>145</v>
      </c>
      <c r="C34" s="173">
        <v>1800000</v>
      </c>
      <c r="D34" s="188"/>
      <c r="E34" s="188"/>
      <c r="F34" s="188"/>
      <c r="G34" s="167">
        <f>C34+D34+E34+F34</f>
        <v>1800000</v>
      </c>
    </row>
    <row r="35" spans="2:7" ht="26.45" customHeight="1" thickBot="1">
      <c r="B35" s="179" t="s">
        <v>37</v>
      </c>
      <c r="C35" s="186">
        <f>C34</f>
        <v>1800000</v>
      </c>
      <c r="D35" s="186">
        <f>D34</f>
        <v>0</v>
      </c>
      <c r="E35" s="186">
        <f aca="true" t="shared" si="5" ref="E35:G35">E34</f>
        <v>0</v>
      </c>
      <c r="F35" s="186">
        <f t="shared" si="5"/>
        <v>0</v>
      </c>
      <c r="G35" s="186">
        <f t="shared" si="5"/>
        <v>1800000</v>
      </c>
    </row>
    <row r="36" ht="15">
      <c r="G36" s="252"/>
    </row>
  </sheetData>
  <mergeCells count="5">
    <mergeCell ref="E11:E12"/>
    <mergeCell ref="C11:C12"/>
    <mergeCell ref="G11:G12"/>
    <mergeCell ref="D11:D12"/>
    <mergeCell ref="F11:F12"/>
  </mergeCells>
  <conditionalFormatting sqref="D35:G35">
    <cfRule type="cellIs" priority="2" dxfId="0" operator="equal" stopIfTrue="1">
      <formula>0</formula>
    </cfRule>
  </conditionalFormatting>
  <conditionalFormatting sqref="C35">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68"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zoomScale="117" zoomScaleNormal="117" workbookViewId="0" topLeftCell="A22">
      <selection activeCell="C13" sqref="C13"/>
    </sheetView>
  </sheetViews>
  <sheetFormatPr defaultColWidth="11.421875" defaultRowHeight="15"/>
  <cols>
    <col min="1" max="1" width="73.421875" style="122" customWidth="1"/>
    <col min="2" max="2" width="38.421875" style="153" customWidth="1"/>
    <col min="3" max="256" width="9.140625" style="122" customWidth="1"/>
    <col min="257" max="257" width="73.421875" style="122" customWidth="1"/>
    <col min="258" max="258" width="24.421875" style="122" customWidth="1"/>
    <col min="259" max="512" width="9.140625" style="122" customWidth="1"/>
    <col min="513" max="513" width="73.421875" style="122" customWidth="1"/>
    <col min="514" max="514" width="24.421875" style="122" customWidth="1"/>
    <col min="515" max="768" width="9.140625" style="122" customWidth="1"/>
    <col min="769" max="769" width="73.421875" style="122" customWidth="1"/>
    <col min="770" max="770" width="24.421875" style="122" customWidth="1"/>
    <col min="771" max="1024" width="9.140625" style="122" customWidth="1"/>
    <col min="1025" max="1025" width="73.421875" style="122" customWidth="1"/>
    <col min="1026" max="1026" width="24.421875" style="122" customWidth="1"/>
    <col min="1027" max="1280" width="9.140625" style="122" customWidth="1"/>
    <col min="1281" max="1281" width="73.421875" style="122" customWidth="1"/>
    <col min="1282" max="1282" width="24.421875" style="122" customWidth="1"/>
    <col min="1283" max="1536" width="9.140625" style="122" customWidth="1"/>
    <col min="1537" max="1537" width="73.421875" style="122" customWidth="1"/>
    <col min="1538" max="1538" width="24.421875" style="122" customWidth="1"/>
    <col min="1539" max="1792" width="9.140625" style="122" customWidth="1"/>
    <col min="1793" max="1793" width="73.421875" style="122" customWidth="1"/>
    <col min="1794" max="1794" width="24.421875" style="122" customWidth="1"/>
    <col min="1795" max="2048" width="9.140625" style="122" customWidth="1"/>
    <col min="2049" max="2049" width="73.421875" style="122" customWidth="1"/>
    <col min="2050" max="2050" width="24.421875" style="122" customWidth="1"/>
    <col min="2051" max="2304" width="9.140625" style="122" customWidth="1"/>
    <col min="2305" max="2305" width="73.421875" style="122" customWidth="1"/>
    <col min="2306" max="2306" width="24.421875" style="122" customWidth="1"/>
    <col min="2307" max="2560" width="9.140625" style="122" customWidth="1"/>
    <col min="2561" max="2561" width="73.421875" style="122" customWidth="1"/>
    <col min="2562" max="2562" width="24.421875" style="122" customWidth="1"/>
    <col min="2563" max="2816" width="9.140625" style="122" customWidth="1"/>
    <col min="2817" max="2817" width="73.421875" style="122" customWidth="1"/>
    <col min="2818" max="2818" width="24.421875" style="122" customWidth="1"/>
    <col min="2819" max="3072" width="9.140625" style="122" customWidth="1"/>
    <col min="3073" max="3073" width="73.421875" style="122" customWidth="1"/>
    <col min="3074" max="3074" width="24.421875" style="122" customWidth="1"/>
    <col min="3075" max="3328" width="9.140625" style="122" customWidth="1"/>
    <col min="3329" max="3329" width="73.421875" style="122" customWidth="1"/>
    <col min="3330" max="3330" width="24.421875" style="122" customWidth="1"/>
    <col min="3331" max="3584" width="9.140625" style="122" customWidth="1"/>
    <col min="3585" max="3585" width="73.421875" style="122" customWidth="1"/>
    <col min="3586" max="3586" width="24.421875" style="122" customWidth="1"/>
    <col min="3587" max="3840" width="9.140625" style="122" customWidth="1"/>
    <col min="3841" max="3841" width="73.421875" style="122" customWidth="1"/>
    <col min="3842" max="3842" width="24.421875" style="122" customWidth="1"/>
    <col min="3843" max="4096" width="9.140625" style="122" customWidth="1"/>
    <col min="4097" max="4097" width="73.421875" style="122" customWidth="1"/>
    <col min="4098" max="4098" width="24.421875" style="122" customWidth="1"/>
    <col min="4099" max="4352" width="9.140625" style="122" customWidth="1"/>
    <col min="4353" max="4353" width="73.421875" style="122" customWidth="1"/>
    <col min="4354" max="4354" width="24.421875" style="122" customWidth="1"/>
    <col min="4355" max="4608" width="9.140625" style="122" customWidth="1"/>
    <col min="4609" max="4609" width="73.421875" style="122" customWidth="1"/>
    <col min="4610" max="4610" width="24.421875" style="122" customWidth="1"/>
    <col min="4611" max="4864" width="9.140625" style="122" customWidth="1"/>
    <col min="4865" max="4865" width="73.421875" style="122" customWidth="1"/>
    <col min="4866" max="4866" width="24.421875" style="122" customWidth="1"/>
    <col min="4867" max="5120" width="9.140625" style="122" customWidth="1"/>
    <col min="5121" max="5121" width="73.421875" style="122" customWidth="1"/>
    <col min="5122" max="5122" width="24.421875" style="122" customWidth="1"/>
    <col min="5123" max="5376" width="9.140625" style="122" customWidth="1"/>
    <col min="5377" max="5377" width="73.421875" style="122" customWidth="1"/>
    <col min="5378" max="5378" width="24.421875" style="122" customWidth="1"/>
    <col min="5379" max="5632" width="9.140625" style="122" customWidth="1"/>
    <col min="5633" max="5633" width="73.421875" style="122" customWidth="1"/>
    <col min="5634" max="5634" width="24.421875" style="122" customWidth="1"/>
    <col min="5635" max="5888" width="9.140625" style="122" customWidth="1"/>
    <col min="5889" max="5889" width="73.421875" style="122" customWidth="1"/>
    <col min="5890" max="5890" width="24.421875" style="122" customWidth="1"/>
    <col min="5891" max="6144" width="9.140625" style="122" customWidth="1"/>
    <col min="6145" max="6145" width="73.421875" style="122" customWidth="1"/>
    <col min="6146" max="6146" width="24.421875" style="122" customWidth="1"/>
    <col min="6147" max="6400" width="9.140625" style="122" customWidth="1"/>
    <col min="6401" max="6401" width="73.421875" style="122" customWidth="1"/>
    <col min="6402" max="6402" width="24.421875" style="122" customWidth="1"/>
    <col min="6403" max="6656" width="9.140625" style="122" customWidth="1"/>
    <col min="6657" max="6657" width="73.421875" style="122" customWidth="1"/>
    <col min="6658" max="6658" width="24.421875" style="122" customWidth="1"/>
    <col min="6659" max="6912" width="9.140625" style="122" customWidth="1"/>
    <col min="6913" max="6913" width="73.421875" style="122" customWidth="1"/>
    <col min="6914" max="6914" width="24.421875" style="122" customWidth="1"/>
    <col min="6915" max="7168" width="9.140625" style="122" customWidth="1"/>
    <col min="7169" max="7169" width="73.421875" style="122" customWidth="1"/>
    <col min="7170" max="7170" width="24.421875" style="122" customWidth="1"/>
    <col min="7171" max="7424" width="9.140625" style="122" customWidth="1"/>
    <col min="7425" max="7425" width="73.421875" style="122" customWidth="1"/>
    <col min="7426" max="7426" width="24.421875" style="122" customWidth="1"/>
    <col min="7427" max="7680" width="9.140625" style="122" customWidth="1"/>
    <col min="7681" max="7681" width="73.421875" style="122" customWidth="1"/>
    <col min="7682" max="7682" width="24.421875" style="122" customWidth="1"/>
    <col min="7683" max="7936" width="9.140625" style="122" customWidth="1"/>
    <col min="7937" max="7937" width="73.421875" style="122" customWidth="1"/>
    <col min="7938" max="7938" width="24.421875" style="122" customWidth="1"/>
    <col min="7939" max="8192" width="9.140625" style="122" customWidth="1"/>
    <col min="8193" max="8193" width="73.421875" style="122" customWidth="1"/>
    <col min="8194" max="8194" width="24.421875" style="122" customWidth="1"/>
    <col min="8195" max="8448" width="9.140625" style="122" customWidth="1"/>
    <col min="8449" max="8449" width="73.421875" style="122" customWidth="1"/>
    <col min="8450" max="8450" width="24.421875" style="122" customWidth="1"/>
    <col min="8451" max="8704" width="9.140625" style="122" customWidth="1"/>
    <col min="8705" max="8705" width="73.421875" style="122" customWidth="1"/>
    <col min="8706" max="8706" width="24.421875" style="122" customWidth="1"/>
    <col min="8707" max="8960" width="9.140625" style="122" customWidth="1"/>
    <col min="8961" max="8961" width="73.421875" style="122" customWidth="1"/>
    <col min="8962" max="8962" width="24.421875" style="122" customWidth="1"/>
    <col min="8963" max="9216" width="9.140625" style="122" customWidth="1"/>
    <col min="9217" max="9217" width="73.421875" style="122" customWidth="1"/>
    <col min="9218" max="9218" width="24.421875" style="122" customWidth="1"/>
    <col min="9219" max="9472" width="9.140625" style="122" customWidth="1"/>
    <col min="9473" max="9473" width="73.421875" style="122" customWidth="1"/>
    <col min="9474" max="9474" width="24.421875" style="122" customWidth="1"/>
    <col min="9475" max="9728" width="9.140625" style="122" customWidth="1"/>
    <col min="9729" max="9729" width="73.421875" style="122" customWidth="1"/>
    <col min="9730" max="9730" width="24.421875" style="122" customWidth="1"/>
    <col min="9731" max="9984" width="9.140625" style="122" customWidth="1"/>
    <col min="9985" max="9985" width="73.421875" style="122" customWidth="1"/>
    <col min="9986" max="9986" width="24.421875" style="122" customWidth="1"/>
    <col min="9987" max="10240" width="9.140625" style="122" customWidth="1"/>
    <col min="10241" max="10241" width="73.421875" style="122" customWidth="1"/>
    <col min="10242" max="10242" width="24.421875" style="122" customWidth="1"/>
    <col min="10243" max="10496" width="9.140625" style="122" customWidth="1"/>
    <col min="10497" max="10497" width="73.421875" style="122" customWidth="1"/>
    <col min="10498" max="10498" width="24.421875" style="122" customWidth="1"/>
    <col min="10499" max="10752" width="9.140625" style="122" customWidth="1"/>
    <col min="10753" max="10753" width="73.421875" style="122" customWidth="1"/>
    <col min="10754" max="10754" width="24.421875" style="122" customWidth="1"/>
    <col min="10755" max="11008" width="9.140625" style="122" customWidth="1"/>
    <col min="11009" max="11009" width="73.421875" style="122" customWidth="1"/>
    <col min="11010" max="11010" width="24.421875" style="122" customWidth="1"/>
    <col min="11011" max="11264" width="9.140625" style="122" customWidth="1"/>
    <col min="11265" max="11265" width="73.421875" style="122" customWidth="1"/>
    <col min="11266" max="11266" width="24.421875" style="122" customWidth="1"/>
    <col min="11267" max="11520" width="9.140625" style="122" customWidth="1"/>
    <col min="11521" max="11521" width="73.421875" style="122" customWidth="1"/>
    <col min="11522" max="11522" width="24.421875" style="122" customWidth="1"/>
    <col min="11523" max="11776" width="9.140625" style="122" customWidth="1"/>
    <col min="11777" max="11777" width="73.421875" style="122" customWidth="1"/>
    <col min="11778" max="11778" width="24.421875" style="122" customWidth="1"/>
    <col min="11779" max="12032" width="9.140625" style="122" customWidth="1"/>
    <col min="12033" max="12033" width="73.421875" style="122" customWidth="1"/>
    <col min="12034" max="12034" width="24.421875" style="122" customWidth="1"/>
    <col min="12035" max="12288" width="9.140625" style="122" customWidth="1"/>
    <col min="12289" max="12289" width="73.421875" style="122" customWidth="1"/>
    <col min="12290" max="12290" width="24.421875" style="122" customWidth="1"/>
    <col min="12291" max="12544" width="9.140625" style="122" customWidth="1"/>
    <col min="12545" max="12545" width="73.421875" style="122" customWidth="1"/>
    <col min="12546" max="12546" width="24.421875" style="122" customWidth="1"/>
    <col min="12547" max="12800" width="9.140625" style="122" customWidth="1"/>
    <col min="12801" max="12801" width="73.421875" style="122" customWidth="1"/>
    <col min="12802" max="12802" width="24.421875" style="122" customWidth="1"/>
    <col min="12803" max="13056" width="9.140625" style="122" customWidth="1"/>
    <col min="13057" max="13057" width="73.421875" style="122" customWidth="1"/>
    <col min="13058" max="13058" width="24.421875" style="122" customWidth="1"/>
    <col min="13059" max="13312" width="9.140625" style="122" customWidth="1"/>
    <col min="13313" max="13313" width="73.421875" style="122" customWidth="1"/>
    <col min="13314" max="13314" width="24.421875" style="122" customWidth="1"/>
    <col min="13315" max="13568" width="9.140625" style="122" customWidth="1"/>
    <col min="13569" max="13569" width="73.421875" style="122" customWidth="1"/>
    <col min="13570" max="13570" width="24.421875" style="122" customWidth="1"/>
    <col min="13571" max="13824" width="9.140625" style="122" customWidth="1"/>
    <col min="13825" max="13825" width="73.421875" style="122" customWidth="1"/>
    <col min="13826" max="13826" width="24.421875" style="122" customWidth="1"/>
    <col min="13827" max="14080" width="9.140625" style="122" customWidth="1"/>
    <col min="14081" max="14081" width="73.421875" style="122" customWidth="1"/>
    <col min="14082" max="14082" width="24.421875" style="122" customWidth="1"/>
    <col min="14083" max="14336" width="9.140625" style="122" customWidth="1"/>
    <col min="14337" max="14337" width="73.421875" style="122" customWidth="1"/>
    <col min="14338" max="14338" width="24.421875" style="122" customWidth="1"/>
    <col min="14339" max="14592" width="9.140625" style="122" customWidth="1"/>
    <col min="14593" max="14593" width="73.421875" style="122" customWidth="1"/>
    <col min="14594" max="14594" width="24.421875" style="122" customWidth="1"/>
    <col min="14595" max="14848" width="9.140625" style="122" customWidth="1"/>
    <col min="14849" max="14849" width="73.421875" style="122" customWidth="1"/>
    <col min="14850" max="14850" width="24.421875" style="122" customWidth="1"/>
    <col min="14851" max="15104" width="9.140625" style="122" customWidth="1"/>
    <col min="15105" max="15105" width="73.421875" style="122" customWidth="1"/>
    <col min="15106" max="15106" width="24.421875" style="122" customWidth="1"/>
    <col min="15107" max="15360" width="9.140625" style="122" customWidth="1"/>
    <col min="15361" max="15361" width="73.421875" style="122" customWidth="1"/>
    <col min="15362" max="15362" width="24.421875" style="122" customWidth="1"/>
    <col min="15363" max="15616" width="9.140625" style="122" customWidth="1"/>
    <col min="15617" max="15617" width="73.421875" style="122" customWidth="1"/>
    <col min="15618" max="15618" width="24.421875" style="122" customWidth="1"/>
    <col min="15619" max="15872" width="9.140625" style="122" customWidth="1"/>
    <col min="15873" max="15873" width="73.421875" style="122" customWidth="1"/>
    <col min="15874" max="15874" width="24.421875" style="122" customWidth="1"/>
    <col min="15875" max="16128" width="9.140625" style="122" customWidth="1"/>
    <col min="16129" max="16129" width="73.421875" style="122" customWidth="1"/>
    <col min="16130" max="16130" width="24.421875" style="122" customWidth="1"/>
    <col min="16131" max="16384" width="9.140625" style="122" customWidth="1"/>
  </cols>
  <sheetData>
    <row r="1" spans="1:2" ht="15.75">
      <c r="A1" s="120" t="s">
        <v>41</v>
      </c>
      <c r="B1" s="121"/>
    </row>
    <row r="2" spans="1:2" ht="15.75">
      <c r="A2" s="123"/>
      <c r="B2" s="124"/>
    </row>
    <row r="3" spans="1:2" ht="16.5" thickBot="1">
      <c r="A3" s="358" t="s">
        <v>42</v>
      </c>
      <c r="B3" s="359"/>
    </row>
    <row r="4" spans="1:2" ht="15">
      <c r="A4" s="125" t="s">
        <v>43</v>
      </c>
      <c r="B4" s="126" t="s">
        <v>79</v>
      </c>
    </row>
    <row r="5" spans="1:3" ht="30" customHeight="1">
      <c r="A5" s="127" t="s">
        <v>44</v>
      </c>
      <c r="B5" s="128" t="s">
        <v>45</v>
      </c>
      <c r="C5" s="129"/>
    </row>
    <row r="6" spans="1:2" ht="15">
      <c r="A6" s="130" t="s">
        <v>46</v>
      </c>
      <c r="B6" s="131" t="s">
        <v>229</v>
      </c>
    </row>
    <row r="7" spans="1:2" ht="15">
      <c r="A7" s="132" t="s">
        <v>47</v>
      </c>
      <c r="B7" s="131" t="s">
        <v>81</v>
      </c>
    </row>
    <row r="8" spans="1:2" ht="15">
      <c r="A8" s="127" t="s">
        <v>48</v>
      </c>
      <c r="B8" s="133" t="s">
        <v>80</v>
      </c>
    </row>
    <row r="9" spans="1:2" ht="15">
      <c r="A9" s="127" t="s">
        <v>49</v>
      </c>
      <c r="B9" s="131" t="s">
        <v>228</v>
      </c>
    </row>
    <row r="10" spans="1:2" ht="15">
      <c r="A10" s="127" t="s">
        <v>50</v>
      </c>
      <c r="B10" s="134">
        <v>42623</v>
      </c>
    </row>
    <row r="11" spans="1:2" ht="15">
      <c r="A11" s="127" t="s">
        <v>51</v>
      </c>
      <c r="B11" s="134">
        <v>42644</v>
      </c>
    </row>
    <row r="12" spans="1:2" ht="15">
      <c r="A12" s="127" t="s">
        <v>52</v>
      </c>
      <c r="B12" s="134">
        <f>DATE(YEAR(B11),MONTH(B11)+3,DAY(B11))-1</f>
        <v>42735</v>
      </c>
    </row>
    <row r="13" spans="1:2" ht="15">
      <c r="A13" s="127" t="s">
        <v>53</v>
      </c>
      <c r="B13" s="131">
        <v>2</v>
      </c>
    </row>
    <row r="14" spans="1:2" ht="15">
      <c r="A14" s="135" t="s">
        <v>54</v>
      </c>
      <c r="B14" s="131" t="s">
        <v>55</v>
      </c>
    </row>
    <row r="15" spans="1:2" ht="25.5">
      <c r="A15" s="136" t="s">
        <v>56</v>
      </c>
      <c r="B15" s="131"/>
    </row>
    <row r="16" spans="1:6" ht="32.25" customHeight="1">
      <c r="A16" s="360" t="s">
        <v>157</v>
      </c>
      <c r="B16" s="361"/>
      <c r="C16" s="236"/>
      <c r="D16" s="236"/>
      <c r="E16" s="236"/>
      <c r="F16" s="236"/>
    </row>
    <row r="17" spans="1:2" ht="18.75" customHeight="1">
      <c r="A17" s="127" t="s">
        <v>57</v>
      </c>
      <c r="B17" s="139">
        <f>'DFP-CASH'!H54</f>
        <v>154570.00000000003</v>
      </c>
    </row>
    <row r="18" spans="1:2" ht="20.25" customHeight="1">
      <c r="A18" s="127" t="s">
        <v>58</v>
      </c>
      <c r="B18" s="137"/>
    </row>
    <row r="19" spans="1:2" ht="18.75" customHeight="1">
      <c r="A19" s="127" t="s">
        <v>59</v>
      </c>
      <c r="B19" s="138"/>
    </row>
    <row r="20" spans="1:2" ht="18.75" customHeight="1">
      <c r="A20" s="127" t="s">
        <v>60</v>
      </c>
      <c r="B20" s="137">
        <v>0</v>
      </c>
    </row>
    <row r="21" spans="1:2" ht="18.75" customHeight="1">
      <c r="A21" s="127" t="s">
        <v>61</v>
      </c>
      <c r="B21" s="139">
        <f>B17+B18+B19-B20</f>
        <v>154570.00000000003</v>
      </c>
    </row>
    <row r="22" spans="1:2" ht="18" customHeight="1">
      <c r="A22" s="127" t="s">
        <v>62</v>
      </c>
      <c r="B22" s="140"/>
    </row>
    <row r="23" spans="1:2" ht="39.95" customHeight="1">
      <c r="A23" s="362" t="s">
        <v>63</v>
      </c>
      <c r="B23" s="362"/>
    </row>
    <row r="24" spans="1:2" ht="58.5" customHeight="1">
      <c r="A24" s="362" t="s">
        <v>64</v>
      </c>
      <c r="B24" s="362"/>
    </row>
    <row r="25" spans="1:2" ht="33" customHeight="1">
      <c r="A25" s="362" t="s">
        <v>65</v>
      </c>
      <c r="B25" s="363"/>
    </row>
    <row r="26" spans="1:2" ht="50.1" customHeight="1">
      <c r="A26" s="362" t="s">
        <v>164</v>
      </c>
      <c r="B26" s="362"/>
    </row>
    <row r="27" spans="1:2" ht="20.1" customHeight="1">
      <c r="A27" s="141"/>
      <c r="B27" s="142"/>
    </row>
    <row r="28" spans="1:2" ht="20.1" customHeight="1">
      <c r="A28" s="354" t="s">
        <v>78</v>
      </c>
      <c r="B28" s="355"/>
    </row>
    <row r="29" spans="1:2" ht="20.1" customHeight="1">
      <c r="A29" s="143" t="s">
        <v>66</v>
      </c>
      <c r="B29" s="144"/>
    </row>
    <row r="30" spans="1:2" ht="20.1" customHeight="1">
      <c r="A30" s="143" t="s">
        <v>236</v>
      </c>
      <c r="B30" s="144"/>
    </row>
    <row r="31" spans="1:2" ht="20.1" customHeight="1">
      <c r="A31" s="143" t="s">
        <v>238</v>
      </c>
      <c r="B31" s="144"/>
    </row>
    <row r="32" spans="1:2" ht="20.1" customHeight="1">
      <c r="A32" s="145"/>
      <c r="B32" s="146"/>
    </row>
    <row r="33" spans="1:2" ht="20.1" customHeight="1">
      <c r="A33" s="356" t="s">
        <v>227</v>
      </c>
      <c r="B33" s="357"/>
    </row>
    <row r="34" spans="1:2" ht="20.1" customHeight="1">
      <c r="A34" s="143" t="s">
        <v>66</v>
      </c>
      <c r="B34" s="144"/>
    </row>
    <row r="35" spans="1:2" ht="20.1" customHeight="1">
      <c r="A35" s="143" t="s">
        <v>239</v>
      </c>
      <c r="B35" s="144"/>
    </row>
    <row r="36" spans="1:2" ht="20.1" customHeight="1">
      <c r="A36" s="143" t="s">
        <v>67</v>
      </c>
      <c r="B36" s="144"/>
    </row>
    <row r="37" spans="1:2" ht="20.1" customHeight="1">
      <c r="A37" s="145"/>
      <c r="B37" s="146"/>
    </row>
    <row r="38" spans="1:2" ht="20.1" customHeight="1">
      <c r="A38" s="141"/>
      <c r="B38" s="142"/>
    </row>
    <row r="39" spans="1:2" ht="20.1" customHeight="1">
      <c r="A39" s="354"/>
      <c r="B39" s="355"/>
    </row>
    <row r="40" spans="1:2" ht="20.1" customHeight="1">
      <c r="A40" s="145" t="s">
        <v>66</v>
      </c>
      <c r="B40" s="144"/>
    </row>
    <row r="41" spans="1:2" ht="20.1" customHeight="1" thickBot="1">
      <c r="A41" s="147" t="s">
        <v>68</v>
      </c>
      <c r="B41" s="144"/>
    </row>
    <row r="42" spans="1:2" ht="20.1" customHeight="1">
      <c r="A42" s="143" t="s">
        <v>237</v>
      </c>
      <c r="B42" s="144"/>
    </row>
    <row r="43" spans="1:2" ht="20.1" customHeight="1">
      <c r="A43" s="148"/>
      <c r="B43" s="146"/>
    </row>
    <row r="44" spans="1:2" ht="15">
      <c r="A44" s="149"/>
      <c r="B44" s="150"/>
    </row>
    <row r="45" spans="1:2" ht="15">
      <c r="A45" s="151"/>
      <c r="B45" s="152"/>
    </row>
  </sheetData>
  <mergeCells count="9">
    <mergeCell ref="A28:B28"/>
    <mergeCell ref="A33:B33"/>
    <mergeCell ref="A39:B39"/>
    <mergeCell ref="A3:B3"/>
    <mergeCell ref="A16:B16"/>
    <mergeCell ref="A23:B23"/>
    <mergeCell ref="A24:B24"/>
    <mergeCell ref="A25:B25"/>
    <mergeCell ref="A26:B26"/>
  </mergeCells>
  <printOptions/>
  <pageMargins left="0.44" right="0.41" top="0.51" bottom="0.43" header="0.29" footer="0.26"/>
  <pageSetup fitToHeight="1" fitToWidth="1" horizontalDpi="600" verticalDpi="600" orientation="portrait"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0"/>
  <sheetViews>
    <sheetView workbookViewId="0" topLeftCell="A1">
      <pane xSplit="3" ySplit="2" topLeftCell="D3" activePane="bottomRight" state="frozen"/>
      <selection pane="topRight" activeCell="D1" sqref="D1"/>
      <selection pane="bottomLeft" activeCell="A3" sqref="A3"/>
      <selection pane="bottomRight" activeCell="B1" sqref="B1:C1048576"/>
    </sheetView>
  </sheetViews>
  <sheetFormatPr defaultColWidth="8.8515625" defaultRowHeight="15"/>
  <cols>
    <col min="2" max="2" width="30.7109375" style="0" hidden="1" customWidth="1"/>
    <col min="3" max="3" width="41.28125" style="0" hidden="1" customWidth="1"/>
    <col min="4" max="4" width="14.00390625" style="0" customWidth="1"/>
    <col min="5" max="5" width="13.140625" style="0" customWidth="1"/>
    <col min="6" max="6" width="12.421875" style="0" customWidth="1"/>
    <col min="7" max="21" width="10.28125" style="0" customWidth="1"/>
    <col min="22" max="23" width="14.00390625" style="0" customWidth="1"/>
    <col min="24" max="24" width="11.00390625" style="0" customWidth="1"/>
    <col min="25" max="34" width="10.421875" style="0" customWidth="1"/>
    <col min="35" max="35" width="12.28125" style="0" customWidth="1"/>
    <col min="36" max="38" width="10.421875" style="0" customWidth="1"/>
    <col min="40" max="41" width="11.28125" style="0" customWidth="1"/>
    <col min="42" max="42" width="12.140625" style="0" customWidth="1"/>
    <col min="43" max="44" width="11.28125" style="0" customWidth="1"/>
    <col min="45" max="45" width="12.28125" style="0" customWidth="1"/>
    <col min="46" max="54" width="11.28125" style="0" customWidth="1"/>
    <col min="56" max="56" width="11.7109375" style="0" customWidth="1"/>
  </cols>
  <sheetData>
    <row r="1" spans="4:54" ht="15">
      <c r="D1" s="242">
        <f>SUM(D2:D54)</f>
        <v>23809400</v>
      </c>
      <c r="F1" t="s">
        <v>188</v>
      </c>
      <c r="U1" t="s">
        <v>202</v>
      </c>
      <c r="X1" s="247" t="s">
        <v>209</v>
      </c>
      <c r="Y1" s="247"/>
      <c r="Z1" s="247"/>
      <c r="AA1" s="247"/>
      <c r="AB1" s="247"/>
      <c r="AC1" s="247"/>
      <c r="AD1" s="247"/>
      <c r="AE1" s="247"/>
      <c r="AF1" s="247"/>
      <c r="AG1" s="247"/>
      <c r="AH1" s="247"/>
      <c r="AI1" s="247"/>
      <c r="AJ1" s="247"/>
      <c r="AK1" s="247"/>
      <c r="AL1" s="247"/>
      <c r="AM1" s="248"/>
      <c r="AN1" s="247" t="s">
        <v>210</v>
      </c>
      <c r="AO1" s="247"/>
      <c r="AP1" s="247"/>
      <c r="AQ1" s="247"/>
      <c r="AR1" s="247"/>
      <c r="AS1" s="247"/>
      <c r="AT1" s="247"/>
      <c r="AU1" s="247"/>
      <c r="AV1" s="247"/>
      <c r="AW1" s="247"/>
      <c r="AX1" s="247"/>
      <c r="AY1" s="247"/>
      <c r="AZ1" s="247"/>
      <c r="BA1" s="247"/>
      <c r="BB1" s="247"/>
    </row>
    <row r="2" spans="1:56" ht="15">
      <c r="A2" t="s">
        <v>165</v>
      </c>
      <c r="D2" t="s">
        <v>186</v>
      </c>
      <c r="F2" s="239">
        <v>42552</v>
      </c>
      <c r="G2" s="239">
        <v>42644</v>
      </c>
      <c r="H2" s="239">
        <v>42736</v>
      </c>
      <c r="I2" s="239">
        <v>42826</v>
      </c>
      <c r="J2" s="239">
        <v>42917</v>
      </c>
      <c r="K2" s="239">
        <v>43009</v>
      </c>
      <c r="L2" s="239">
        <v>43101</v>
      </c>
      <c r="M2" s="239">
        <v>43191</v>
      </c>
      <c r="N2" s="239">
        <v>43282</v>
      </c>
      <c r="O2" s="239">
        <v>43374</v>
      </c>
      <c r="P2" s="239">
        <v>43466</v>
      </c>
      <c r="Q2" s="239">
        <v>43556</v>
      </c>
      <c r="R2" s="239">
        <v>43647</v>
      </c>
      <c r="S2" s="239">
        <v>43739</v>
      </c>
      <c r="T2" s="239">
        <v>43831</v>
      </c>
      <c r="V2" s="319"/>
      <c r="W2" s="319"/>
      <c r="X2" s="249">
        <v>42552</v>
      </c>
      <c r="Y2" s="249">
        <v>42644</v>
      </c>
      <c r="Z2" s="249">
        <v>42736</v>
      </c>
      <c r="AA2" s="249">
        <v>42826</v>
      </c>
      <c r="AB2" s="249">
        <v>42917</v>
      </c>
      <c r="AC2" s="249">
        <v>43009</v>
      </c>
      <c r="AD2" s="249">
        <v>43101</v>
      </c>
      <c r="AE2" s="249">
        <v>43191</v>
      </c>
      <c r="AF2" s="249">
        <v>43282</v>
      </c>
      <c r="AG2" s="249">
        <v>43374</v>
      </c>
      <c r="AH2" s="249">
        <v>43466</v>
      </c>
      <c r="AI2" s="249">
        <v>43556</v>
      </c>
      <c r="AJ2" s="249">
        <v>43647</v>
      </c>
      <c r="AK2" s="249">
        <v>43739</v>
      </c>
      <c r="AL2" s="249">
        <v>43831</v>
      </c>
      <c r="AM2" s="248"/>
      <c r="AN2" s="249">
        <v>42552</v>
      </c>
      <c r="AO2" s="249">
        <v>42644</v>
      </c>
      <c r="AP2" s="249">
        <v>42736</v>
      </c>
      <c r="AQ2" s="249">
        <v>42826</v>
      </c>
      <c r="AR2" s="249">
        <v>42917</v>
      </c>
      <c r="AS2" s="249">
        <v>43009</v>
      </c>
      <c r="AT2" s="249">
        <v>43101</v>
      </c>
      <c r="AU2" s="249">
        <v>43191</v>
      </c>
      <c r="AV2" s="249">
        <v>43282</v>
      </c>
      <c r="AW2" s="249">
        <v>43374</v>
      </c>
      <c r="AX2" s="249">
        <v>43466</v>
      </c>
      <c r="AY2" s="249">
        <v>43556</v>
      </c>
      <c r="AZ2" s="249">
        <v>43647</v>
      </c>
      <c r="BA2" s="249">
        <v>43739</v>
      </c>
      <c r="BB2" s="249">
        <v>43831</v>
      </c>
      <c r="BD2" t="s">
        <v>215</v>
      </c>
    </row>
    <row r="3" spans="5:54" ht="15">
      <c r="E3" t="s">
        <v>187</v>
      </c>
      <c r="F3" t="s">
        <v>185</v>
      </c>
      <c r="G3" t="s">
        <v>189</v>
      </c>
      <c r="H3" t="s">
        <v>190</v>
      </c>
      <c r="I3" t="s">
        <v>191</v>
      </c>
      <c r="J3" t="s">
        <v>192</v>
      </c>
      <c r="K3" t="s">
        <v>193</v>
      </c>
      <c r="L3" t="s">
        <v>194</v>
      </c>
      <c r="M3" t="s">
        <v>195</v>
      </c>
      <c r="N3" t="s">
        <v>196</v>
      </c>
      <c r="O3" t="s">
        <v>197</v>
      </c>
      <c r="P3" t="s">
        <v>198</v>
      </c>
      <c r="Q3" t="s">
        <v>199</v>
      </c>
      <c r="R3" t="s">
        <v>200</v>
      </c>
      <c r="S3" t="s">
        <v>201</v>
      </c>
      <c r="T3" t="s">
        <v>203</v>
      </c>
      <c r="V3" s="319"/>
      <c r="W3" s="319"/>
      <c r="X3" s="247" t="s">
        <v>185</v>
      </c>
      <c r="Y3" s="247" t="s">
        <v>189</v>
      </c>
      <c r="Z3" s="247" t="s">
        <v>190</v>
      </c>
      <c r="AA3" s="247" t="s">
        <v>191</v>
      </c>
      <c r="AB3" s="247" t="s">
        <v>192</v>
      </c>
      <c r="AC3" s="247" t="s">
        <v>193</v>
      </c>
      <c r="AD3" s="247" t="s">
        <v>194</v>
      </c>
      <c r="AE3" s="247" t="s">
        <v>195</v>
      </c>
      <c r="AF3" s="247" t="s">
        <v>196</v>
      </c>
      <c r="AG3" s="247" t="s">
        <v>197</v>
      </c>
      <c r="AH3" s="247" t="s">
        <v>198</v>
      </c>
      <c r="AI3" s="247" t="s">
        <v>199</v>
      </c>
      <c r="AJ3" s="247" t="s">
        <v>200</v>
      </c>
      <c r="AK3" s="247" t="s">
        <v>201</v>
      </c>
      <c r="AL3" s="247" t="s">
        <v>203</v>
      </c>
      <c r="AM3" s="248"/>
      <c r="AN3" s="247" t="s">
        <v>185</v>
      </c>
      <c r="AO3" s="247" t="s">
        <v>189</v>
      </c>
      <c r="AP3" s="247" t="s">
        <v>190</v>
      </c>
      <c r="AQ3" s="247" t="s">
        <v>191</v>
      </c>
      <c r="AR3" s="247" t="s">
        <v>192</v>
      </c>
      <c r="AS3" s="247" t="s">
        <v>193</v>
      </c>
      <c r="AT3" s="247" t="s">
        <v>194</v>
      </c>
      <c r="AU3" s="247" t="s">
        <v>195</v>
      </c>
      <c r="AV3" s="247" t="s">
        <v>196</v>
      </c>
      <c r="AW3" s="247" t="s">
        <v>197</v>
      </c>
      <c r="AX3" s="247" t="s">
        <v>198</v>
      </c>
      <c r="AY3" s="247" t="s">
        <v>199</v>
      </c>
      <c r="AZ3" s="247" t="s">
        <v>200</v>
      </c>
      <c r="BA3" s="247" t="s">
        <v>201</v>
      </c>
      <c r="BB3" s="247" t="s">
        <v>203</v>
      </c>
    </row>
    <row r="4" spans="1:56" ht="15">
      <c r="A4" t="s">
        <v>166</v>
      </c>
      <c r="B4" s="255"/>
      <c r="D4" s="242">
        <v>8500000</v>
      </c>
      <c r="E4" t="s">
        <v>204</v>
      </c>
      <c r="H4" s="241">
        <v>0.03</v>
      </c>
      <c r="I4" s="241">
        <v>0.05</v>
      </c>
      <c r="J4" s="241">
        <v>0.05</v>
      </c>
      <c r="K4" s="241">
        <v>0.05</v>
      </c>
      <c r="L4" s="241">
        <v>0.1</v>
      </c>
      <c r="M4" s="241">
        <v>0.1</v>
      </c>
      <c r="N4" s="241">
        <v>0.1</v>
      </c>
      <c r="O4" s="241">
        <v>0.1</v>
      </c>
      <c r="P4" s="241">
        <v>0.1</v>
      </c>
      <c r="Q4" s="241">
        <v>0.1</v>
      </c>
      <c r="R4" s="241">
        <v>0.1</v>
      </c>
      <c r="S4" s="241">
        <v>0.1</v>
      </c>
      <c r="T4" s="240">
        <v>0.02</v>
      </c>
      <c r="U4" s="240">
        <f aca="true" t="shared" si="0" ref="U4:U38">SUM(F4:T4)</f>
        <v>0.9999999999999999</v>
      </c>
      <c r="V4" s="319"/>
      <c r="W4" s="319"/>
      <c r="X4" s="250">
        <f aca="true" t="shared" si="1" ref="X4:X38">F4*$D4</f>
        <v>0</v>
      </c>
      <c r="Y4" s="250">
        <f aca="true" t="shared" si="2" ref="Y4:Y38">G4*$D4</f>
        <v>0</v>
      </c>
      <c r="Z4" s="250">
        <f aca="true" t="shared" si="3" ref="Z4:Z38">H4*$D4</f>
        <v>255000</v>
      </c>
      <c r="AA4" s="250">
        <f aca="true" t="shared" si="4" ref="AA4:AA38">I4*$D4</f>
        <v>425000</v>
      </c>
      <c r="AB4" s="250">
        <f aca="true" t="shared" si="5" ref="AB4:AB38">J4*$D4</f>
        <v>425000</v>
      </c>
      <c r="AC4" s="250">
        <f aca="true" t="shared" si="6" ref="AC4:AC38">K4*$D4</f>
        <v>425000</v>
      </c>
      <c r="AD4" s="250">
        <f aca="true" t="shared" si="7" ref="AD4:AD38">L4*$D4</f>
        <v>850000</v>
      </c>
      <c r="AE4" s="250">
        <f aca="true" t="shared" si="8" ref="AE4:AE38">M4*$D4</f>
        <v>850000</v>
      </c>
      <c r="AF4" s="250">
        <f aca="true" t="shared" si="9" ref="AF4:AF38">N4*$D4</f>
        <v>850000</v>
      </c>
      <c r="AG4" s="250">
        <f aca="true" t="shared" si="10" ref="AG4:AG38">O4*$D4</f>
        <v>850000</v>
      </c>
      <c r="AH4" s="250">
        <f aca="true" t="shared" si="11" ref="AH4:AH38">P4*$D4</f>
        <v>850000</v>
      </c>
      <c r="AI4" s="250">
        <f aca="true" t="shared" si="12" ref="AI4:AI38">Q4*$D4</f>
        <v>850000</v>
      </c>
      <c r="AJ4" s="250">
        <f aca="true" t="shared" si="13" ref="AJ4:AJ38">R4*$D4</f>
        <v>850000</v>
      </c>
      <c r="AK4" s="250">
        <f aca="true" t="shared" si="14" ref="AK4:AK38">S4*$D4</f>
        <v>850000</v>
      </c>
      <c r="AL4" s="250">
        <f aca="true" t="shared" si="15" ref="AL4:AL38">T4*$D4</f>
        <v>170000</v>
      </c>
      <c r="AM4" s="248"/>
      <c r="AN4" s="250">
        <f aca="true" t="shared" si="16" ref="AN4:BB13">IF(AN$3=$E4,$D4,0)</f>
        <v>0</v>
      </c>
      <c r="AO4" s="250">
        <f t="shared" si="16"/>
        <v>0</v>
      </c>
      <c r="AP4" s="250">
        <f t="shared" si="16"/>
        <v>8500000</v>
      </c>
      <c r="AQ4" s="250">
        <f t="shared" si="16"/>
        <v>0</v>
      </c>
      <c r="AR4" s="250">
        <f t="shared" si="16"/>
        <v>0</v>
      </c>
      <c r="AS4" s="250">
        <f t="shared" si="16"/>
        <v>0</v>
      </c>
      <c r="AT4" s="250">
        <f t="shared" si="16"/>
        <v>0</v>
      </c>
      <c r="AU4" s="250">
        <f t="shared" si="16"/>
        <v>0</v>
      </c>
      <c r="AV4" s="250">
        <f t="shared" si="16"/>
        <v>0</v>
      </c>
      <c r="AW4" s="250">
        <f t="shared" si="16"/>
        <v>0</v>
      </c>
      <c r="AX4" s="250">
        <f t="shared" si="16"/>
        <v>0</v>
      </c>
      <c r="AY4" s="250">
        <f t="shared" si="16"/>
        <v>0</v>
      </c>
      <c r="AZ4" s="250">
        <f t="shared" si="16"/>
        <v>0</v>
      </c>
      <c r="BA4" s="250">
        <f t="shared" si="16"/>
        <v>0</v>
      </c>
      <c r="BB4" s="250">
        <f t="shared" si="16"/>
        <v>0</v>
      </c>
      <c r="BD4" s="243">
        <f aca="true" t="shared" si="17" ref="BD4:BD27">SUM(X4:AL4)-SUM(AN4:BB4)</f>
        <v>0</v>
      </c>
    </row>
    <row r="5" spans="1:56" ht="15">
      <c r="A5" t="s">
        <v>166</v>
      </c>
      <c r="B5" s="255"/>
      <c r="D5" s="242">
        <v>200000</v>
      </c>
      <c r="E5" t="s">
        <v>206</v>
      </c>
      <c r="H5" s="319"/>
      <c r="I5" s="319"/>
      <c r="J5" s="319"/>
      <c r="K5" s="319"/>
      <c r="L5" s="322">
        <v>0.25</v>
      </c>
      <c r="M5" s="322">
        <v>0.25</v>
      </c>
      <c r="N5" s="322">
        <v>0.25</v>
      </c>
      <c r="O5" s="322">
        <v>0.25</v>
      </c>
      <c r="P5" s="319"/>
      <c r="Q5" s="319"/>
      <c r="R5" s="319"/>
      <c r="S5" s="319"/>
      <c r="T5" s="319"/>
      <c r="U5" s="240">
        <f t="shared" si="0"/>
        <v>1</v>
      </c>
      <c r="V5" s="319"/>
      <c r="W5" s="319"/>
      <c r="X5" s="250">
        <f t="shared" si="1"/>
        <v>0</v>
      </c>
      <c r="Y5" s="250">
        <f t="shared" si="2"/>
        <v>0</v>
      </c>
      <c r="Z5" s="250">
        <f t="shared" si="3"/>
        <v>0</v>
      </c>
      <c r="AA5" s="250">
        <f t="shared" si="4"/>
        <v>0</v>
      </c>
      <c r="AB5" s="250">
        <f t="shared" si="5"/>
        <v>0</v>
      </c>
      <c r="AC5" s="250">
        <f t="shared" si="6"/>
        <v>0</v>
      </c>
      <c r="AD5" s="250">
        <f t="shared" si="7"/>
        <v>50000</v>
      </c>
      <c r="AE5" s="250">
        <f t="shared" si="8"/>
        <v>50000</v>
      </c>
      <c r="AF5" s="250">
        <f t="shared" si="9"/>
        <v>50000</v>
      </c>
      <c r="AG5" s="250">
        <f t="shared" si="10"/>
        <v>50000</v>
      </c>
      <c r="AH5" s="250">
        <f t="shared" si="11"/>
        <v>0</v>
      </c>
      <c r="AI5" s="250">
        <f t="shared" si="12"/>
        <v>0</v>
      </c>
      <c r="AJ5" s="250">
        <f t="shared" si="13"/>
        <v>0</v>
      </c>
      <c r="AK5" s="250">
        <f t="shared" si="14"/>
        <v>0</v>
      </c>
      <c r="AL5" s="250">
        <f t="shared" si="15"/>
        <v>0</v>
      </c>
      <c r="AM5" s="248"/>
      <c r="AN5" s="250">
        <f t="shared" si="16"/>
        <v>0</v>
      </c>
      <c r="AO5" s="250">
        <f t="shared" si="16"/>
        <v>0</v>
      </c>
      <c r="AP5" s="250">
        <f t="shared" si="16"/>
        <v>0</v>
      </c>
      <c r="AQ5" s="250">
        <f t="shared" si="16"/>
        <v>0</v>
      </c>
      <c r="AR5" s="250">
        <f t="shared" si="16"/>
        <v>0</v>
      </c>
      <c r="AS5" s="250">
        <f t="shared" si="16"/>
        <v>0</v>
      </c>
      <c r="AT5" s="250">
        <f t="shared" si="16"/>
        <v>200000</v>
      </c>
      <c r="AU5" s="250">
        <f t="shared" si="16"/>
        <v>0</v>
      </c>
      <c r="AV5" s="250">
        <f t="shared" si="16"/>
        <v>0</v>
      </c>
      <c r="AW5" s="250">
        <f t="shared" si="16"/>
        <v>0</v>
      </c>
      <c r="AX5" s="250">
        <f t="shared" si="16"/>
        <v>0</v>
      </c>
      <c r="AY5" s="250">
        <f t="shared" si="16"/>
        <v>0</v>
      </c>
      <c r="AZ5" s="250">
        <f t="shared" si="16"/>
        <v>0</v>
      </c>
      <c r="BA5" s="250">
        <f t="shared" si="16"/>
        <v>0</v>
      </c>
      <c r="BB5" s="250">
        <f t="shared" si="16"/>
        <v>0</v>
      </c>
      <c r="BD5" s="243">
        <f t="shared" si="17"/>
        <v>0</v>
      </c>
    </row>
    <row r="6" spans="1:56" ht="15">
      <c r="A6" t="s">
        <v>167</v>
      </c>
      <c r="B6" s="255"/>
      <c r="D6" s="242">
        <v>3000000</v>
      </c>
      <c r="E6" t="s">
        <v>205</v>
      </c>
      <c r="H6" s="241"/>
      <c r="I6" s="241"/>
      <c r="J6" s="241"/>
      <c r="K6" s="241"/>
      <c r="L6" s="241">
        <v>0.125</v>
      </c>
      <c r="M6" s="241">
        <v>0.125</v>
      </c>
      <c r="N6" s="241">
        <v>0.125</v>
      </c>
      <c r="O6" s="241">
        <v>0.125</v>
      </c>
      <c r="P6" s="241">
        <v>0.125</v>
      </c>
      <c r="Q6" s="241">
        <v>0.125</v>
      </c>
      <c r="R6" s="241">
        <v>0.125</v>
      </c>
      <c r="S6" s="241">
        <v>0.125</v>
      </c>
      <c r="T6" s="240"/>
      <c r="U6" s="240">
        <f t="shared" si="0"/>
        <v>1</v>
      </c>
      <c r="V6" s="319"/>
      <c r="W6" s="319"/>
      <c r="X6" s="250">
        <f t="shared" si="1"/>
        <v>0</v>
      </c>
      <c r="Y6" s="250">
        <f t="shared" si="2"/>
        <v>0</v>
      </c>
      <c r="Z6" s="250">
        <f t="shared" si="3"/>
        <v>0</v>
      </c>
      <c r="AA6" s="250">
        <f t="shared" si="4"/>
        <v>0</v>
      </c>
      <c r="AB6" s="250">
        <f t="shared" si="5"/>
        <v>0</v>
      </c>
      <c r="AC6" s="250">
        <f t="shared" si="6"/>
        <v>0</v>
      </c>
      <c r="AD6" s="250">
        <f t="shared" si="7"/>
        <v>375000</v>
      </c>
      <c r="AE6" s="250">
        <f t="shared" si="8"/>
        <v>375000</v>
      </c>
      <c r="AF6" s="250">
        <f t="shared" si="9"/>
        <v>375000</v>
      </c>
      <c r="AG6" s="250">
        <f t="shared" si="10"/>
        <v>375000</v>
      </c>
      <c r="AH6" s="250">
        <f t="shared" si="11"/>
        <v>375000</v>
      </c>
      <c r="AI6" s="250">
        <f t="shared" si="12"/>
        <v>375000</v>
      </c>
      <c r="AJ6" s="250">
        <f t="shared" si="13"/>
        <v>375000</v>
      </c>
      <c r="AK6" s="250">
        <f t="shared" si="14"/>
        <v>375000</v>
      </c>
      <c r="AL6" s="250">
        <f t="shared" si="15"/>
        <v>0</v>
      </c>
      <c r="AM6" s="248"/>
      <c r="AN6" s="250">
        <f t="shared" si="16"/>
        <v>0</v>
      </c>
      <c r="AO6" s="250">
        <f t="shared" si="16"/>
        <v>0</v>
      </c>
      <c r="AP6" s="250">
        <f t="shared" si="16"/>
        <v>0</v>
      </c>
      <c r="AQ6" s="250">
        <f t="shared" si="16"/>
        <v>0</v>
      </c>
      <c r="AR6" s="250">
        <f t="shared" si="16"/>
        <v>0</v>
      </c>
      <c r="AS6" s="250">
        <f t="shared" si="16"/>
        <v>3000000</v>
      </c>
      <c r="AT6" s="250">
        <f t="shared" si="16"/>
        <v>0</v>
      </c>
      <c r="AU6" s="250">
        <f t="shared" si="16"/>
        <v>0</v>
      </c>
      <c r="AV6" s="250">
        <f t="shared" si="16"/>
        <v>0</v>
      </c>
      <c r="AW6" s="250">
        <f t="shared" si="16"/>
        <v>0</v>
      </c>
      <c r="AX6" s="250">
        <f t="shared" si="16"/>
        <v>0</v>
      </c>
      <c r="AY6" s="250">
        <f t="shared" si="16"/>
        <v>0</v>
      </c>
      <c r="AZ6" s="250">
        <f t="shared" si="16"/>
        <v>0</v>
      </c>
      <c r="BA6" s="250">
        <f t="shared" si="16"/>
        <v>0</v>
      </c>
      <c r="BB6" s="250">
        <f t="shared" si="16"/>
        <v>0</v>
      </c>
      <c r="BD6" s="243">
        <f t="shared" si="17"/>
        <v>0</v>
      </c>
    </row>
    <row r="7" spans="1:56" ht="15">
      <c r="A7" t="s">
        <v>169</v>
      </c>
      <c r="B7" s="255"/>
      <c r="C7" s="258"/>
      <c r="D7" s="325">
        <v>4000000</v>
      </c>
      <c r="E7" t="s">
        <v>212</v>
      </c>
      <c r="J7" s="322">
        <v>0.05</v>
      </c>
      <c r="K7" s="322">
        <v>0.1</v>
      </c>
      <c r="L7" s="240">
        <v>0.1</v>
      </c>
      <c r="M7" s="240">
        <v>0.1</v>
      </c>
      <c r="N7" s="240">
        <v>0.1</v>
      </c>
      <c r="O7" s="240">
        <v>0.1</v>
      </c>
      <c r="P7" s="322">
        <v>0.1</v>
      </c>
      <c r="Q7" s="322">
        <v>0.1</v>
      </c>
      <c r="R7" s="322">
        <v>0.1</v>
      </c>
      <c r="S7" s="322">
        <v>0.1</v>
      </c>
      <c r="T7" s="322">
        <v>0.05</v>
      </c>
      <c r="U7" s="240">
        <f t="shared" si="0"/>
        <v>0.9999999999999999</v>
      </c>
      <c r="V7" s="319"/>
      <c r="W7" s="319"/>
      <c r="X7" s="250">
        <f t="shared" si="1"/>
        <v>0</v>
      </c>
      <c r="Y7" s="250">
        <f t="shared" si="2"/>
        <v>0</v>
      </c>
      <c r="Z7" s="250">
        <f t="shared" si="3"/>
        <v>0</v>
      </c>
      <c r="AA7" s="250">
        <f t="shared" si="4"/>
        <v>0</v>
      </c>
      <c r="AB7" s="250">
        <f t="shared" si="5"/>
        <v>200000</v>
      </c>
      <c r="AC7" s="250">
        <f t="shared" si="6"/>
        <v>400000</v>
      </c>
      <c r="AD7" s="250">
        <f t="shared" si="7"/>
        <v>400000</v>
      </c>
      <c r="AE7" s="250">
        <f t="shared" si="8"/>
        <v>400000</v>
      </c>
      <c r="AF7" s="250">
        <f t="shared" si="9"/>
        <v>400000</v>
      </c>
      <c r="AG7" s="250">
        <f t="shared" si="10"/>
        <v>400000</v>
      </c>
      <c r="AH7" s="250">
        <f t="shared" si="11"/>
        <v>400000</v>
      </c>
      <c r="AI7" s="250">
        <f t="shared" si="12"/>
        <v>400000</v>
      </c>
      <c r="AJ7" s="250">
        <f t="shared" si="13"/>
        <v>400000</v>
      </c>
      <c r="AK7" s="250">
        <f t="shared" si="14"/>
        <v>400000</v>
      </c>
      <c r="AL7" s="250">
        <f t="shared" si="15"/>
        <v>200000</v>
      </c>
      <c r="AM7" s="248"/>
      <c r="AN7" s="250">
        <f t="shared" si="16"/>
        <v>0</v>
      </c>
      <c r="AO7" s="250">
        <f t="shared" si="16"/>
        <v>0</v>
      </c>
      <c r="AP7" s="250">
        <f t="shared" si="16"/>
        <v>0</v>
      </c>
      <c r="AQ7" s="250">
        <f t="shared" si="16"/>
        <v>0</v>
      </c>
      <c r="AR7" s="250">
        <f t="shared" si="16"/>
        <v>4000000</v>
      </c>
      <c r="AS7" s="250">
        <f t="shared" si="16"/>
        <v>0</v>
      </c>
      <c r="AT7" s="250">
        <f t="shared" si="16"/>
        <v>0</v>
      </c>
      <c r="AU7" s="250">
        <f t="shared" si="16"/>
        <v>0</v>
      </c>
      <c r="AV7" s="250">
        <f t="shared" si="16"/>
        <v>0</v>
      </c>
      <c r="AW7" s="250">
        <f t="shared" si="16"/>
        <v>0</v>
      </c>
      <c r="AX7" s="250">
        <f t="shared" si="16"/>
        <v>0</v>
      </c>
      <c r="AY7" s="250">
        <f t="shared" si="16"/>
        <v>0</v>
      </c>
      <c r="AZ7" s="250">
        <f t="shared" si="16"/>
        <v>0</v>
      </c>
      <c r="BA7" s="250">
        <f t="shared" si="16"/>
        <v>0</v>
      </c>
      <c r="BB7" s="250">
        <f t="shared" si="16"/>
        <v>0</v>
      </c>
      <c r="BD7" s="243">
        <f t="shared" si="17"/>
        <v>0</v>
      </c>
    </row>
    <row r="8" spans="1:56" ht="15">
      <c r="A8" t="s">
        <v>170</v>
      </c>
      <c r="B8" s="255"/>
      <c r="D8" s="269">
        <v>2500000</v>
      </c>
      <c r="E8" t="s">
        <v>204</v>
      </c>
      <c r="G8" s="319"/>
      <c r="H8" s="241">
        <v>0.03</v>
      </c>
      <c r="I8" s="241">
        <v>0.05</v>
      </c>
      <c r="J8" s="241">
        <v>0.05</v>
      </c>
      <c r="K8" s="241">
        <v>0.05</v>
      </c>
      <c r="L8" s="241">
        <v>0.1</v>
      </c>
      <c r="M8" s="241">
        <v>0.1</v>
      </c>
      <c r="N8" s="241">
        <v>0.1</v>
      </c>
      <c r="O8" s="241">
        <v>0.1</v>
      </c>
      <c r="P8" s="241">
        <v>0.1</v>
      </c>
      <c r="Q8" s="241">
        <v>0.1</v>
      </c>
      <c r="R8" s="241">
        <v>0.1</v>
      </c>
      <c r="S8" s="241">
        <v>0.1</v>
      </c>
      <c r="T8" s="322">
        <v>0.02</v>
      </c>
      <c r="U8" s="240">
        <f t="shared" si="0"/>
        <v>0.9999999999999999</v>
      </c>
      <c r="V8" s="319"/>
      <c r="W8" s="319"/>
      <c r="X8" s="250">
        <f t="shared" si="1"/>
        <v>0</v>
      </c>
      <c r="Y8" s="250">
        <f t="shared" si="2"/>
        <v>0</v>
      </c>
      <c r="Z8" s="250">
        <f t="shared" si="3"/>
        <v>75000</v>
      </c>
      <c r="AA8" s="250">
        <f t="shared" si="4"/>
        <v>125000</v>
      </c>
      <c r="AB8" s="250">
        <f t="shared" si="5"/>
        <v>125000</v>
      </c>
      <c r="AC8" s="250">
        <f t="shared" si="6"/>
        <v>125000</v>
      </c>
      <c r="AD8" s="250">
        <f t="shared" si="7"/>
        <v>250000</v>
      </c>
      <c r="AE8" s="250">
        <f t="shared" si="8"/>
        <v>250000</v>
      </c>
      <c r="AF8" s="250">
        <f t="shared" si="9"/>
        <v>250000</v>
      </c>
      <c r="AG8" s="250">
        <f t="shared" si="10"/>
        <v>250000</v>
      </c>
      <c r="AH8" s="250">
        <f t="shared" si="11"/>
        <v>250000</v>
      </c>
      <c r="AI8" s="250">
        <f t="shared" si="12"/>
        <v>250000</v>
      </c>
      <c r="AJ8" s="250">
        <f t="shared" si="13"/>
        <v>250000</v>
      </c>
      <c r="AK8" s="250">
        <f t="shared" si="14"/>
        <v>250000</v>
      </c>
      <c r="AL8" s="250">
        <f t="shared" si="15"/>
        <v>50000</v>
      </c>
      <c r="AM8" s="248"/>
      <c r="AN8" s="250">
        <f t="shared" si="16"/>
        <v>0</v>
      </c>
      <c r="AO8" s="250">
        <f t="shared" si="16"/>
        <v>0</v>
      </c>
      <c r="AP8" s="250">
        <f t="shared" si="16"/>
        <v>2500000</v>
      </c>
      <c r="AQ8" s="250">
        <f t="shared" si="16"/>
        <v>0</v>
      </c>
      <c r="AR8" s="250">
        <f t="shared" si="16"/>
        <v>0</v>
      </c>
      <c r="AS8" s="250">
        <f t="shared" si="16"/>
        <v>0</v>
      </c>
      <c r="AT8" s="250">
        <f t="shared" si="16"/>
        <v>0</v>
      </c>
      <c r="AU8" s="250">
        <f t="shared" si="16"/>
        <v>0</v>
      </c>
      <c r="AV8" s="250">
        <f t="shared" si="16"/>
        <v>0</v>
      </c>
      <c r="AW8" s="250">
        <f t="shared" si="16"/>
        <v>0</v>
      </c>
      <c r="AX8" s="250">
        <f t="shared" si="16"/>
        <v>0</v>
      </c>
      <c r="AY8" s="250">
        <f t="shared" si="16"/>
        <v>0</v>
      </c>
      <c r="AZ8" s="250">
        <f t="shared" si="16"/>
        <v>0</v>
      </c>
      <c r="BA8" s="250">
        <f t="shared" si="16"/>
        <v>0</v>
      </c>
      <c r="BB8" s="250">
        <f t="shared" si="16"/>
        <v>0</v>
      </c>
      <c r="BD8" s="243">
        <f t="shared" si="17"/>
        <v>0</v>
      </c>
    </row>
    <row r="9" spans="1:56" s="319" customFormat="1" ht="15">
      <c r="A9" s="319" t="s">
        <v>173</v>
      </c>
      <c r="B9" s="331"/>
      <c r="D9" s="242">
        <v>140000</v>
      </c>
      <c r="E9" s="319" t="s">
        <v>204</v>
      </c>
      <c r="G9" s="322"/>
      <c r="H9" s="322">
        <v>0.25</v>
      </c>
      <c r="I9" s="322">
        <v>0.25</v>
      </c>
      <c r="J9" s="322">
        <v>0.25</v>
      </c>
      <c r="K9" s="322">
        <v>0.25</v>
      </c>
      <c r="L9" s="322"/>
      <c r="M9" s="322"/>
      <c r="N9" s="322"/>
      <c r="O9" s="322"/>
      <c r="P9" s="322"/>
      <c r="Q9" s="322"/>
      <c r="U9" s="322">
        <f t="shared" si="0"/>
        <v>1</v>
      </c>
      <c r="X9" s="324">
        <f t="shared" si="1"/>
        <v>0</v>
      </c>
      <c r="Y9" s="324">
        <f t="shared" si="2"/>
        <v>0</v>
      </c>
      <c r="Z9" s="324">
        <f t="shared" si="3"/>
        <v>35000</v>
      </c>
      <c r="AA9" s="324">
        <f t="shared" si="4"/>
        <v>35000</v>
      </c>
      <c r="AB9" s="324">
        <f t="shared" si="5"/>
        <v>35000</v>
      </c>
      <c r="AC9" s="324">
        <f t="shared" si="6"/>
        <v>35000</v>
      </c>
      <c r="AD9" s="324">
        <f t="shared" si="7"/>
        <v>0</v>
      </c>
      <c r="AE9" s="324">
        <f t="shared" si="8"/>
        <v>0</v>
      </c>
      <c r="AF9" s="324">
        <f t="shared" si="9"/>
        <v>0</v>
      </c>
      <c r="AG9" s="324">
        <f t="shared" si="10"/>
        <v>0</v>
      </c>
      <c r="AH9" s="324">
        <f t="shared" si="11"/>
        <v>0</v>
      </c>
      <c r="AI9" s="324">
        <f t="shared" si="12"/>
        <v>0</v>
      </c>
      <c r="AJ9" s="324">
        <f t="shared" si="13"/>
        <v>0</v>
      </c>
      <c r="AK9" s="324">
        <f t="shared" si="14"/>
        <v>0</v>
      </c>
      <c r="AL9" s="324">
        <f t="shared" si="15"/>
        <v>0</v>
      </c>
      <c r="AM9" s="248"/>
      <c r="AN9" s="324">
        <f t="shared" si="16"/>
        <v>0</v>
      </c>
      <c r="AO9" s="324">
        <f t="shared" si="16"/>
        <v>0</v>
      </c>
      <c r="AP9" s="324">
        <f t="shared" si="16"/>
        <v>140000</v>
      </c>
      <c r="AQ9" s="324">
        <f t="shared" si="16"/>
        <v>0</v>
      </c>
      <c r="AR9" s="324">
        <f t="shared" si="16"/>
        <v>0</v>
      </c>
      <c r="AS9" s="324">
        <f t="shared" si="16"/>
        <v>0</v>
      </c>
      <c r="AT9" s="324">
        <f t="shared" si="16"/>
        <v>0</v>
      </c>
      <c r="AU9" s="324">
        <f t="shared" si="16"/>
        <v>0</v>
      </c>
      <c r="AV9" s="324">
        <f t="shared" si="16"/>
        <v>0</v>
      </c>
      <c r="AW9" s="324">
        <f t="shared" si="16"/>
        <v>0</v>
      </c>
      <c r="AX9" s="324">
        <f t="shared" si="16"/>
        <v>0</v>
      </c>
      <c r="AY9" s="324">
        <f t="shared" si="16"/>
        <v>0</v>
      </c>
      <c r="AZ9" s="324">
        <f t="shared" si="16"/>
        <v>0</v>
      </c>
      <c r="BA9" s="324">
        <f t="shared" si="16"/>
        <v>0</v>
      </c>
      <c r="BB9" s="324">
        <f t="shared" si="16"/>
        <v>0</v>
      </c>
      <c r="BD9" s="323">
        <f t="shared" si="17"/>
        <v>0</v>
      </c>
    </row>
    <row r="10" spans="1:56" s="319" customFormat="1" ht="15">
      <c r="A10" s="319" t="s">
        <v>173</v>
      </c>
      <c r="B10" s="331"/>
      <c r="D10" s="242">
        <v>140000</v>
      </c>
      <c r="E10" s="319" t="s">
        <v>206</v>
      </c>
      <c r="G10" s="322"/>
      <c r="H10" s="322"/>
      <c r="I10" s="322"/>
      <c r="J10" s="322"/>
      <c r="K10" s="322"/>
      <c r="L10" s="322">
        <v>0.25</v>
      </c>
      <c r="M10" s="322">
        <v>0.25</v>
      </c>
      <c r="N10" s="322">
        <v>0.25</v>
      </c>
      <c r="O10" s="322">
        <v>0.25</v>
      </c>
      <c r="P10" s="322"/>
      <c r="Q10" s="322"/>
      <c r="U10" s="322">
        <f t="shared" si="0"/>
        <v>1</v>
      </c>
      <c r="X10" s="324">
        <f t="shared" si="1"/>
        <v>0</v>
      </c>
      <c r="Y10" s="324">
        <f t="shared" si="2"/>
        <v>0</v>
      </c>
      <c r="Z10" s="324">
        <f t="shared" si="3"/>
        <v>0</v>
      </c>
      <c r="AA10" s="324">
        <f t="shared" si="4"/>
        <v>0</v>
      </c>
      <c r="AB10" s="324">
        <f t="shared" si="5"/>
        <v>0</v>
      </c>
      <c r="AC10" s="324">
        <f t="shared" si="6"/>
        <v>0</v>
      </c>
      <c r="AD10" s="324">
        <f t="shared" si="7"/>
        <v>35000</v>
      </c>
      <c r="AE10" s="324">
        <f t="shared" si="8"/>
        <v>35000</v>
      </c>
      <c r="AF10" s="324">
        <f t="shared" si="9"/>
        <v>35000</v>
      </c>
      <c r="AG10" s="324">
        <f t="shared" si="10"/>
        <v>35000</v>
      </c>
      <c r="AH10" s="324">
        <f t="shared" si="11"/>
        <v>0</v>
      </c>
      <c r="AI10" s="324">
        <f t="shared" si="12"/>
        <v>0</v>
      </c>
      <c r="AJ10" s="324">
        <f t="shared" si="13"/>
        <v>0</v>
      </c>
      <c r="AK10" s="324">
        <f t="shared" si="14"/>
        <v>0</v>
      </c>
      <c r="AL10" s="324">
        <f t="shared" si="15"/>
        <v>0</v>
      </c>
      <c r="AM10" s="248"/>
      <c r="AN10" s="324">
        <f t="shared" si="16"/>
        <v>0</v>
      </c>
      <c r="AO10" s="324">
        <f t="shared" si="16"/>
        <v>0</v>
      </c>
      <c r="AP10" s="324">
        <f t="shared" si="16"/>
        <v>0</v>
      </c>
      <c r="AQ10" s="324">
        <f t="shared" si="16"/>
        <v>0</v>
      </c>
      <c r="AR10" s="324">
        <f t="shared" si="16"/>
        <v>0</v>
      </c>
      <c r="AS10" s="324">
        <f t="shared" si="16"/>
        <v>0</v>
      </c>
      <c r="AT10" s="324">
        <f t="shared" si="16"/>
        <v>140000</v>
      </c>
      <c r="AU10" s="324">
        <f t="shared" si="16"/>
        <v>0</v>
      </c>
      <c r="AV10" s="324">
        <f t="shared" si="16"/>
        <v>0</v>
      </c>
      <c r="AW10" s="324">
        <f t="shared" si="16"/>
        <v>0</v>
      </c>
      <c r="AX10" s="324">
        <f t="shared" si="16"/>
        <v>0</v>
      </c>
      <c r="AY10" s="324">
        <f t="shared" si="16"/>
        <v>0</v>
      </c>
      <c r="AZ10" s="324">
        <f t="shared" si="16"/>
        <v>0</v>
      </c>
      <c r="BA10" s="324">
        <f t="shared" si="16"/>
        <v>0</v>
      </c>
      <c r="BB10" s="324">
        <f t="shared" si="16"/>
        <v>0</v>
      </c>
      <c r="BD10" s="323">
        <f t="shared" si="17"/>
        <v>0</v>
      </c>
    </row>
    <row r="11" spans="1:56" ht="15">
      <c r="A11" t="s">
        <v>173</v>
      </c>
      <c r="B11" s="331"/>
      <c r="D11" s="242">
        <v>4000</v>
      </c>
      <c r="E11" t="s">
        <v>211</v>
      </c>
      <c r="G11" s="322">
        <v>1</v>
      </c>
      <c r="I11" s="322"/>
      <c r="J11" s="240"/>
      <c r="K11" s="240"/>
      <c r="L11" s="240"/>
      <c r="M11" s="240"/>
      <c r="N11" s="322"/>
      <c r="U11" s="240">
        <f t="shared" si="0"/>
        <v>1</v>
      </c>
      <c r="V11" s="319"/>
      <c r="W11" s="319"/>
      <c r="X11" s="250">
        <f t="shared" si="1"/>
        <v>0</v>
      </c>
      <c r="Y11" s="250">
        <f t="shared" si="2"/>
        <v>4000</v>
      </c>
      <c r="Z11" s="250">
        <f t="shared" si="3"/>
        <v>0</v>
      </c>
      <c r="AA11" s="250">
        <f t="shared" si="4"/>
        <v>0</v>
      </c>
      <c r="AB11" s="250">
        <f t="shared" si="5"/>
        <v>0</v>
      </c>
      <c r="AC11" s="250">
        <f t="shared" si="6"/>
        <v>0</v>
      </c>
      <c r="AD11" s="250">
        <f t="shared" si="7"/>
        <v>0</v>
      </c>
      <c r="AE11" s="250">
        <f t="shared" si="8"/>
        <v>0</v>
      </c>
      <c r="AF11" s="250">
        <f t="shared" si="9"/>
        <v>0</v>
      </c>
      <c r="AG11" s="250">
        <f t="shared" si="10"/>
        <v>0</v>
      </c>
      <c r="AH11" s="250">
        <f t="shared" si="11"/>
        <v>0</v>
      </c>
      <c r="AI11" s="250">
        <f t="shared" si="12"/>
        <v>0</v>
      </c>
      <c r="AJ11" s="250">
        <f t="shared" si="13"/>
        <v>0</v>
      </c>
      <c r="AK11" s="250">
        <f t="shared" si="14"/>
        <v>0</v>
      </c>
      <c r="AL11" s="250">
        <f t="shared" si="15"/>
        <v>0</v>
      </c>
      <c r="AM11" s="248"/>
      <c r="AN11" s="250">
        <f t="shared" si="16"/>
        <v>0</v>
      </c>
      <c r="AO11" s="250">
        <f t="shared" si="16"/>
        <v>4000</v>
      </c>
      <c r="AP11" s="250">
        <f t="shared" si="16"/>
        <v>0</v>
      </c>
      <c r="AQ11" s="250">
        <f t="shared" si="16"/>
        <v>0</v>
      </c>
      <c r="AR11" s="250">
        <f t="shared" si="16"/>
        <v>0</v>
      </c>
      <c r="AS11" s="250">
        <f t="shared" si="16"/>
        <v>0</v>
      </c>
      <c r="AT11" s="250">
        <f t="shared" si="16"/>
        <v>0</v>
      </c>
      <c r="AU11" s="250">
        <f t="shared" si="16"/>
        <v>0</v>
      </c>
      <c r="AV11" s="250">
        <f t="shared" si="16"/>
        <v>0</v>
      </c>
      <c r="AW11" s="250">
        <f t="shared" si="16"/>
        <v>0</v>
      </c>
      <c r="AX11" s="250">
        <f t="shared" si="16"/>
        <v>0</v>
      </c>
      <c r="AY11" s="250">
        <f t="shared" si="16"/>
        <v>0</v>
      </c>
      <c r="AZ11" s="250">
        <f t="shared" si="16"/>
        <v>0</v>
      </c>
      <c r="BA11" s="250">
        <f t="shared" si="16"/>
        <v>0</v>
      </c>
      <c r="BB11" s="250">
        <f t="shared" si="16"/>
        <v>0</v>
      </c>
      <c r="BD11" s="243">
        <f t="shared" si="17"/>
        <v>0</v>
      </c>
    </row>
    <row r="12" spans="1:56" ht="15">
      <c r="A12" t="s">
        <v>173</v>
      </c>
      <c r="B12" s="331"/>
      <c r="D12" s="242">
        <v>100000</v>
      </c>
      <c r="E12" t="s">
        <v>211</v>
      </c>
      <c r="G12" s="322">
        <v>0.25</v>
      </c>
      <c r="H12" s="322">
        <v>0.25</v>
      </c>
      <c r="I12" s="322">
        <v>0.25</v>
      </c>
      <c r="J12" s="322">
        <v>0.25</v>
      </c>
      <c r="K12" s="322"/>
      <c r="L12" s="322"/>
      <c r="M12" s="322"/>
      <c r="N12" s="322"/>
      <c r="U12" s="240">
        <f t="shared" si="0"/>
        <v>1</v>
      </c>
      <c r="V12" s="319"/>
      <c r="W12" s="319"/>
      <c r="X12" s="250">
        <f t="shared" si="1"/>
        <v>0</v>
      </c>
      <c r="Y12" s="250">
        <f t="shared" si="2"/>
        <v>25000</v>
      </c>
      <c r="Z12" s="250">
        <f t="shared" si="3"/>
        <v>25000</v>
      </c>
      <c r="AA12" s="250">
        <f t="shared" si="4"/>
        <v>25000</v>
      </c>
      <c r="AB12" s="250">
        <f t="shared" si="5"/>
        <v>25000</v>
      </c>
      <c r="AC12" s="250">
        <f t="shared" si="6"/>
        <v>0</v>
      </c>
      <c r="AD12" s="250">
        <f t="shared" si="7"/>
        <v>0</v>
      </c>
      <c r="AE12" s="250">
        <f t="shared" si="8"/>
        <v>0</v>
      </c>
      <c r="AF12" s="250">
        <f t="shared" si="9"/>
        <v>0</v>
      </c>
      <c r="AG12" s="250">
        <f t="shared" si="10"/>
        <v>0</v>
      </c>
      <c r="AH12" s="250">
        <f t="shared" si="11"/>
        <v>0</v>
      </c>
      <c r="AI12" s="250">
        <f t="shared" si="12"/>
        <v>0</v>
      </c>
      <c r="AJ12" s="250">
        <f t="shared" si="13"/>
        <v>0</v>
      </c>
      <c r="AK12" s="250">
        <f t="shared" si="14"/>
        <v>0</v>
      </c>
      <c r="AL12" s="250">
        <f t="shared" si="15"/>
        <v>0</v>
      </c>
      <c r="AM12" s="248"/>
      <c r="AN12" s="250">
        <f t="shared" si="16"/>
        <v>0</v>
      </c>
      <c r="AO12" s="250">
        <f t="shared" si="16"/>
        <v>100000</v>
      </c>
      <c r="AP12" s="250">
        <f t="shared" si="16"/>
        <v>0</v>
      </c>
      <c r="AQ12" s="250">
        <f t="shared" si="16"/>
        <v>0</v>
      </c>
      <c r="AR12" s="250">
        <f t="shared" si="16"/>
        <v>0</v>
      </c>
      <c r="AS12" s="250">
        <f t="shared" si="16"/>
        <v>0</v>
      </c>
      <c r="AT12" s="250">
        <f t="shared" si="16"/>
        <v>0</v>
      </c>
      <c r="AU12" s="250">
        <f t="shared" si="16"/>
        <v>0</v>
      </c>
      <c r="AV12" s="250">
        <f t="shared" si="16"/>
        <v>0</v>
      </c>
      <c r="AW12" s="250">
        <f t="shared" si="16"/>
        <v>0</v>
      </c>
      <c r="AX12" s="250">
        <f t="shared" si="16"/>
        <v>0</v>
      </c>
      <c r="AY12" s="250">
        <f t="shared" si="16"/>
        <v>0</v>
      </c>
      <c r="AZ12" s="250">
        <f t="shared" si="16"/>
        <v>0</v>
      </c>
      <c r="BA12" s="250">
        <f t="shared" si="16"/>
        <v>0</v>
      </c>
      <c r="BB12" s="250">
        <f t="shared" si="16"/>
        <v>0</v>
      </c>
      <c r="BD12" s="243">
        <f t="shared" si="17"/>
        <v>0</v>
      </c>
    </row>
    <row r="13" spans="1:56" ht="15">
      <c r="A13" t="s">
        <v>173</v>
      </c>
      <c r="B13" s="331"/>
      <c r="D13" s="242"/>
      <c r="G13" s="322"/>
      <c r="H13" s="322">
        <v>0.1</v>
      </c>
      <c r="I13" s="240">
        <v>0.25</v>
      </c>
      <c r="J13" s="322">
        <v>0.25</v>
      </c>
      <c r="K13" s="322">
        <v>0.25</v>
      </c>
      <c r="L13" s="240">
        <v>0.15</v>
      </c>
      <c r="M13" s="322"/>
      <c r="N13" s="322"/>
      <c r="O13" s="322"/>
      <c r="P13" s="322"/>
      <c r="Q13" s="322"/>
      <c r="U13" s="240">
        <f t="shared" si="0"/>
        <v>1</v>
      </c>
      <c r="V13" s="319"/>
      <c r="W13" s="319"/>
      <c r="X13" s="250">
        <f t="shared" si="1"/>
        <v>0</v>
      </c>
      <c r="Y13" s="250">
        <f t="shared" si="2"/>
        <v>0</v>
      </c>
      <c r="Z13" s="250">
        <f t="shared" si="3"/>
        <v>0</v>
      </c>
      <c r="AA13" s="250">
        <f t="shared" si="4"/>
        <v>0</v>
      </c>
      <c r="AB13" s="250">
        <f t="shared" si="5"/>
        <v>0</v>
      </c>
      <c r="AC13" s="250">
        <f t="shared" si="6"/>
        <v>0</v>
      </c>
      <c r="AD13" s="250">
        <f t="shared" si="7"/>
        <v>0</v>
      </c>
      <c r="AE13" s="250">
        <f t="shared" si="8"/>
        <v>0</v>
      </c>
      <c r="AF13" s="250">
        <f t="shared" si="9"/>
        <v>0</v>
      </c>
      <c r="AG13" s="250">
        <f t="shared" si="10"/>
        <v>0</v>
      </c>
      <c r="AH13" s="250">
        <f t="shared" si="11"/>
        <v>0</v>
      </c>
      <c r="AI13" s="250">
        <f t="shared" si="12"/>
        <v>0</v>
      </c>
      <c r="AJ13" s="250">
        <f t="shared" si="13"/>
        <v>0</v>
      </c>
      <c r="AK13" s="250">
        <f t="shared" si="14"/>
        <v>0</v>
      </c>
      <c r="AL13" s="250">
        <f t="shared" si="15"/>
        <v>0</v>
      </c>
      <c r="AM13" s="248"/>
      <c r="AN13" s="250">
        <f t="shared" si="16"/>
        <v>0</v>
      </c>
      <c r="AO13" s="250">
        <f t="shared" si="16"/>
        <v>0</v>
      </c>
      <c r="AP13" s="250">
        <f t="shared" si="16"/>
        <v>0</v>
      </c>
      <c r="AQ13" s="250">
        <f t="shared" si="16"/>
        <v>0</v>
      </c>
      <c r="AR13" s="250">
        <f t="shared" si="16"/>
        <v>0</v>
      </c>
      <c r="AS13" s="250">
        <f t="shared" si="16"/>
        <v>0</v>
      </c>
      <c r="AT13" s="250">
        <f t="shared" si="16"/>
        <v>0</v>
      </c>
      <c r="AU13" s="250">
        <f t="shared" si="16"/>
        <v>0</v>
      </c>
      <c r="AV13" s="250">
        <f t="shared" si="16"/>
        <v>0</v>
      </c>
      <c r="AW13" s="250">
        <f t="shared" si="16"/>
        <v>0</v>
      </c>
      <c r="AX13" s="250">
        <f t="shared" si="16"/>
        <v>0</v>
      </c>
      <c r="AY13" s="250">
        <f t="shared" si="16"/>
        <v>0</v>
      </c>
      <c r="AZ13" s="250">
        <f t="shared" si="16"/>
        <v>0</v>
      </c>
      <c r="BA13" s="250">
        <f t="shared" si="16"/>
        <v>0</v>
      </c>
      <c r="BB13" s="250">
        <f t="shared" si="16"/>
        <v>0</v>
      </c>
      <c r="BD13" s="243">
        <f t="shared" si="17"/>
        <v>0</v>
      </c>
    </row>
    <row r="14" spans="1:56" ht="15">
      <c r="A14" t="s">
        <v>174</v>
      </c>
      <c r="B14" s="332"/>
      <c r="D14" s="242">
        <v>150000</v>
      </c>
      <c r="E14" t="s">
        <v>213</v>
      </c>
      <c r="G14" s="322">
        <v>0.25</v>
      </c>
      <c r="H14" s="240">
        <v>0.25</v>
      </c>
      <c r="I14" s="240">
        <v>0.25</v>
      </c>
      <c r="J14" s="240">
        <v>0.25</v>
      </c>
      <c r="K14" s="319"/>
      <c r="U14" s="240">
        <f t="shared" si="0"/>
        <v>1</v>
      </c>
      <c r="V14" s="319"/>
      <c r="W14" s="319"/>
      <c r="X14" s="250">
        <f t="shared" si="1"/>
        <v>0</v>
      </c>
      <c r="Y14" s="250">
        <f t="shared" si="2"/>
        <v>37500</v>
      </c>
      <c r="Z14" s="250">
        <f t="shared" si="3"/>
        <v>37500</v>
      </c>
      <c r="AA14" s="250">
        <f t="shared" si="4"/>
        <v>37500</v>
      </c>
      <c r="AB14" s="250">
        <f t="shared" si="5"/>
        <v>37500</v>
      </c>
      <c r="AC14" s="250">
        <f t="shared" si="6"/>
        <v>0</v>
      </c>
      <c r="AD14" s="250">
        <f t="shared" si="7"/>
        <v>0</v>
      </c>
      <c r="AE14" s="250">
        <f t="shared" si="8"/>
        <v>0</v>
      </c>
      <c r="AF14" s="250">
        <f t="shared" si="9"/>
        <v>0</v>
      </c>
      <c r="AG14" s="250">
        <f t="shared" si="10"/>
        <v>0</v>
      </c>
      <c r="AH14" s="250">
        <f t="shared" si="11"/>
        <v>0</v>
      </c>
      <c r="AI14" s="250">
        <f t="shared" si="12"/>
        <v>0</v>
      </c>
      <c r="AJ14" s="250">
        <f t="shared" si="13"/>
        <v>0</v>
      </c>
      <c r="AK14" s="250">
        <f t="shared" si="14"/>
        <v>0</v>
      </c>
      <c r="AL14" s="250">
        <f t="shared" si="15"/>
        <v>0</v>
      </c>
      <c r="AM14" s="248"/>
      <c r="AN14" s="250">
        <f aca="true" t="shared" si="18" ref="AN14:BB23">IF(AN$3=$E14,$D14,0)</f>
        <v>150000</v>
      </c>
      <c r="AO14" s="250">
        <f t="shared" si="18"/>
        <v>0</v>
      </c>
      <c r="AP14" s="250">
        <f t="shared" si="18"/>
        <v>0</v>
      </c>
      <c r="AQ14" s="250">
        <f t="shared" si="18"/>
        <v>0</v>
      </c>
      <c r="AR14" s="250">
        <f t="shared" si="18"/>
        <v>0</v>
      </c>
      <c r="AS14" s="250">
        <f t="shared" si="18"/>
        <v>0</v>
      </c>
      <c r="AT14" s="250">
        <f t="shared" si="18"/>
        <v>0</v>
      </c>
      <c r="AU14" s="250">
        <f t="shared" si="18"/>
        <v>0</v>
      </c>
      <c r="AV14" s="250">
        <f t="shared" si="18"/>
        <v>0</v>
      </c>
      <c r="AW14" s="250">
        <f t="shared" si="18"/>
        <v>0</v>
      </c>
      <c r="AX14" s="250">
        <f t="shared" si="18"/>
        <v>0</v>
      </c>
      <c r="AY14" s="250">
        <f t="shared" si="18"/>
        <v>0</v>
      </c>
      <c r="AZ14" s="250">
        <f t="shared" si="18"/>
        <v>0</v>
      </c>
      <c r="BA14" s="250">
        <f t="shared" si="18"/>
        <v>0</v>
      </c>
      <c r="BB14" s="250">
        <f t="shared" si="18"/>
        <v>0</v>
      </c>
      <c r="BD14" s="243">
        <f t="shared" si="17"/>
        <v>0</v>
      </c>
    </row>
    <row r="15" spans="1:56" ht="15">
      <c r="A15" t="s">
        <v>174</v>
      </c>
      <c r="B15" s="332"/>
      <c r="D15" s="242">
        <v>150000</v>
      </c>
      <c r="E15" t="s">
        <v>212</v>
      </c>
      <c r="J15" s="319"/>
      <c r="K15" s="240">
        <v>0.25</v>
      </c>
      <c r="L15" s="240">
        <v>0.25</v>
      </c>
      <c r="M15" s="240">
        <v>0.25</v>
      </c>
      <c r="N15" s="322">
        <v>0.25</v>
      </c>
      <c r="U15" s="240">
        <f t="shared" si="0"/>
        <v>1</v>
      </c>
      <c r="V15" s="319"/>
      <c r="W15" s="319"/>
      <c r="X15" s="250">
        <f t="shared" si="1"/>
        <v>0</v>
      </c>
      <c r="Y15" s="250">
        <f t="shared" si="2"/>
        <v>0</v>
      </c>
      <c r="Z15" s="250">
        <f t="shared" si="3"/>
        <v>0</v>
      </c>
      <c r="AA15" s="250">
        <f t="shared" si="4"/>
        <v>0</v>
      </c>
      <c r="AB15" s="250">
        <f t="shared" si="5"/>
        <v>0</v>
      </c>
      <c r="AC15" s="250">
        <f t="shared" si="6"/>
        <v>37500</v>
      </c>
      <c r="AD15" s="250">
        <f t="shared" si="7"/>
        <v>37500</v>
      </c>
      <c r="AE15" s="250">
        <f t="shared" si="8"/>
        <v>37500</v>
      </c>
      <c r="AF15" s="250">
        <f t="shared" si="9"/>
        <v>37500</v>
      </c>
      <c r="AG15" s="250">
        <f t="shared" si="10"/>
        <v>0</v>
      </c>
      <c r="AH15" s="250">
        <f t="shared" si="11"/>
        <v>0</v>
      </c>
      <c r="AI15" s="250">
        <f t="shared" si="12"/>
        <v>0</v>
      </c>
      <c r="AJ15" s="250">
        <f t="shared" si="13"/>
        <v>0</v>
      </c>
      <c r="AK15" s="250">
        <f t="shared" si="14"/>
        <v>0</v>
      </c>
      <c r="AL15" s="250">
        <f t="shared" si="15"/>
        <v>0</v>
      </c>
      <c r="AM15" s="248"/>
      <c r="AN15" s="250">
        <f t="shared" si="18"/>
        <v>0</v>
      </c>
      <c r="AO15" s="250">
        <f t="shared" si="18"/>
        <v>0</v>
      </c>
      <c r="AP15" s="250">
        <f t="shared" si="18"/>
        <v>0</v>
      </c>
      <c r="AQ15" s="250">
        <f t="shared" si="18"/>
        <v>0</v>
      </c>
      <c r="AR15" s="250">
        <f t="shared" si="18"/>
        <v>150000</v>
      </c>
      <c r="AS15" s="250">
        <f t="shared" si="18"/>
        <v>0</v>
      </c>
      <c r="AT15" s="250">
        <f t="shared" si="18"/>
        <v>0</v>
      </c>
      <c r="AU15" s="250">
        <f t="shared" si="18"/>
        <v>0</v>
      </c>
      <c r="AV15" s="250">
        <f t="shared" si="18"/>
        <v>0</v>
      </c>
      <c r="AW15" s="250">
        <f t="shared" si="18"/>
        <v>0</v>
      </c>
      <c r="AX15" s="250">
        <f t="shared" si="18"/>
        <v>0</v>
      </c>
      <c r="AY15" s="250">
        <f t="shared" si="18"/>
        <v>0</v>
      </c>
      <c r="AZ15" s="250">
        <f t="shared" si="18"/>
        <v>0</v>
      </c>
      <c r="BA15" s="250">
        <f t="shared" si="18"/>
        <v>0</v>
      </c>
      <c r="BB15" s="250">
        <f t="shared" si="18"/>
        <v>0</v>
      </c>
      <c r="BD15" s="243">
        <f t="shared" si="17"/>
        <v>0</v>
      </c>
    </row>
    <row r="16" spans="1:56" ht="15">
      <c r="A16" t="s">
        <v>174</v>
      </c>
      <c r="B16" s="332"/>
      <c r="D16" s="242">
        <v>73500</v>
      </c>
      <c r="E16" t="s">
        <v>213</v>
      </c>
      <c r="F16" s="240"/>
      <c r="G16" s="240">
        <v>0.166666666666667</v>
      </c>
      <c r="H16" s="240">
        <v>0.25</v>
      </c>
      <c r="I16" s="240">
        <v>0.25</v>
      </c>
      <c r="J16" s="240">
        <v>0.25</v>
      </c>
      <c r="K16" s="240">
        <v>0.08333333333333333</v>
      </c>
      <c r="L16" s="240"/>
      <c r="M16" s="240"/>
      <c r="N16" s="240"/>
      <c r="O16" s="240"/>
      <c r="P16" s="240"/>
      <c r="Q16" s="240"/>
      <c r="U16" s="240">
        <f t="shared" si="0"/>
        <v>1.0000000000000002</v>
      </c>
      <c r="V16" s="319"/>
      <c r="W16" s="319"/>
      <c r="X16" s="262">
        <f t="shared" si="1"/>
        <v>0</v>
      </c>
      <c r="Y16" s="250">
        <f t="shared" si="2"/>
        <v>12250.000000000024</v>
      </c>
      <c r="Z16" s="250">
        <f t="shared" si="3"/>
        <v>18375</v>
      </c>
      <c r="AA16" s="250">
        <f t="shared" si="4"/>
        <v>18375</v>
      </c>
      <c r="AB16" s="250">
        <f t="shared" si="5"/>
        <v>18375</v>
      </c>
      <c r="AC16" s="250">
        <f t="shared" si="6"/>
        <v>6125</v>
      </c>
      <c r="AD16" s="250">
        <f t="shared" si="7"/>
        <v>0</v>
      </c>
      <c r="AE16" s="250">
        <f t="shared" si="8"/>
        <v>0</v>
      </c>
      <c r="AF16" s="250">
        <f t="shared" si="9"/>
        <v>0</v>
      </c>
      <c r="AG16" s="250">
        <f t="shared" si="10"/>
        <v>0</v>
      </c>
      <c r="AH16" s="250">
        <f t="shared" si="11"/>
        <v>0</v>
      </c>
      <c r="AI16" s="250">
        <f t="shared" si="12"/>
        <v>0</v>
      </c>
      <c r="AJ16" s="250">
        <f t="shared" si="13"/>
        <v>0</v>
      </c>
      <c r="AK16" s="250">
        <f t="shared" si="14"/>
        <v>0</v>
      </c>
      <c r="AL16" s="250">
        <f t="shared" si="15"/>
        <v>0</v>
      </c>
      <c r="AM16" s="248"/>
      <c r="AN16" s="250">
        <f t="shared" si="18"/>
        <v>73500</v>
      </c>
      <c r="AO16" s="250">
        <f t="shared" si="18"/>
        <v>0</v>
      </c>
      <c r="AP16" s="250">
        <f t="shared" si="18"/>
        <v>0</v>
      </c>
      <c r="AQ16" s="250">
        <f t="shared" si="18"/>
        <v>0</v>
      </c>
      <c r="AR16" s="250">
        <f t="shared" si="18"/>
        <v>0</v>
      </c>
      <c r="AS16" s="250">
        <f t="shared" si="18"/>
        <v>0</v>
      </c>
      <c r="AT16" s="250">
        <f t="shared" si="18"/>
        <v>0</v>
      </c>
      <c r="AU16" s="250">
        <f t="shared" si="18"/>
        <v>0</v>
      </c>
      <c r="AV16" s="250">
        <f t="shared" si="18"/>
        <v>0</v>
      </c>
      <c r="AW16" s="250">
        <f t="shared" si="18"/>
        <v>0</v>
      </c>
      <c r="AX16" s="250">
        <f t="shared" si="18"/>
        <v>0</v>
      </c>
      <c r="AY16" s="250">
        <f t="shared" si="18"/>
        <v>0</v>
      </c>
      <c r="AZ16" s="250">
        <f t="shared" si="18"/>
        <v>0</v>
      </c>
      <c r="BA16" s="250">
        <f t="shared" si="18"/>
        <v>0</v>
      </c>
      <c r="BB16" s="250">
        <f t="shared" si="18"/>
        <v>0</v>
      </c>
      <c r="BD16" s="243">
        <f t="shared" si="17"/>
        <v>0</v>
      </c>
    </row>
    <row r="17" spans="1:56" ht="15">
      <c r="A17" t="s">
        <v>174</v>
      </c>
      <c r="B17" s="332"/>
      <c r="D17" s="242">
        <f>12250*12</f>
        <v>147000</v>
      </c>
      <c r="E17" t="s">
        <v>214</v>
      </c>
      <c r="F17" s="240"/>
      <c r="G17" s="240"/>
      <c r="H17" s="240"/>
      <c r="I17" s="240"/>
      <c r="J17" s="240"/>
      <c r="K17" s="240">
        <v>0.166666666666667</v>
      </c>
      <c r="L17" s="240">
        <v>0.25</v>
      </c>
      <c r="M17" s="240">
        <v>0.25</v>
      </c>
      <c r="N17" s="240">
        <v>0.25</v>
      </c>
      <c r="O17" s="240">
        <v>0.08333333333333333</v>
      </c>
      <c r="P17" s="240"/>
      <c r="Q17" s="240"/>
      <c r="U17" s="240">
        <f t="shared" si="0"/>
        <v>1.0000000000000002</v>
      </c>
      <c r="V17" s="319"/>
      <c r="W17" s="319"/>
      <c r="X17" s="262">
        <f t="shared" si="1"/>
        <v>0</v>
      </c>
      <c r="Y17" s="250">
        <f t="shared" si="2"/>
        <v>0</v>
      </c>
      <c r="Z17" s="250">
        <f t="shared" si="3"/>
        <v>0</v>
      </c>
      <c r="AA17" s="250">
        <f t="shared" si="4"/>
        <v>0</v>
      </c>
      <c r="AB17" s="250">
        <f t="shared" si="5"/>
        <v>0</v>
      </c>
      <c r="AC17" s="250">
        <f t="shared" si="6"/>
        <v>24500.000000000047</v>
      </c>
      <c r="AD17" s="250">
        <f t="shared" si="7"/>
        <v>36750</v>
      </c>
      <c r="AE17" s="250">
        <f t="shared" si="8"/>
        <v>36750</v>
      </c>
      <c r="AF17" s="250">
        <f t="shared" si="9"/>
        <v>36750</v>
      </c>
      <c r="AG17" s="250">
        <f t="shared" si="10"/>
        <v>12250</v>
      </c>
      <c r="AH17" s="250">
        <f t="shared" si="11"/>
        <v>0</v>
      </c>
      <c r="AI17" s="250">
        <f t="shared" si="12"/>
        <v>0</v>
      </c>
      <c r="AJ17" s="250">
        <f t="shared" si="13"/>
        <v>0</v>
      </c>
      <c r="AK17" s="250">
        <f t="shared" si="14"/>
        <v>0</v>
      </c>
      <c r="AL17" s="250">
        <f t="shared" si="15"/>
        <v>0</v>
      </c>
      <c r="AM17" s="248"/>
      <c r="AN17" s="250">
        <f t="shared" si="18"/>
        <v>0</v>
      </c>
      <c r="AO17" s="250">
        <f t="shared" si="18"/>
        <v>0</v>
      </c>
      <c r="AP17" s="250">
        <f t="shared" si="18"/>
        <v>0</v>
      </c>
      <c r="AQ17" s="250">
        <f t="shared" si="18"/>
        <v>147000</v>
      </c>
      <c r="AR17" s="250">
        <f t="shared" si="18"/>
        <v>0</v>
      </c>
      <c r="AS17" s="250">
        <f t="shared" si="18"/>
        <v>0</v>
      </c>
      <c r="AT17" s="250">
        <f t="shared" si="18"/>
        <v>0</v>
      </c>
      <c r="AU17" s="250">
        <f t="shared" si="18"/>
        <v>0</v>
      </c>
      <c r="AV17" s="250">
        <f t="shared" si="18"/>
        <v>0</v>
      </c>
      <c r="AW17" s="250">
        <f t="shared" si="18"/>
        <v>0</v>
      </c>
      <c r="AX17" s="250">
        <f t="shared" si="18"/>
        <v>0</v>
      </c>
      <c r="AY17" s="250">
        <f t="shared" si="18"/>
        <v>0</v>
      </c>
      <c r="AZ17" s="250">
        <f t="shared" si="18"/>
        <v>0</v>
      </c>
      <c r="BA17" s="250">
        <f t="shared" si="18"/>
        <v>0</v>
      </c>
      <c r="BB17" s="250">
        <f t="shared" si="18"/>
        <v>0</v>
      </c>
      <c r="BD17" s="243">
        <f t="shared" si="17"/>
        <v>0</v>
      </c>
    </row>
    <row r="18" spans="1:56" ht="15">
      <c r="A18" t="s">
        <v>174</v>
      </c>
      <c r="B18" s="332"/>
      <c r="D18" s="242">
        <f>12250*12</f>
        <v>147000</v>
      </c>
      <c r="E18" t="s">
        <v>235</v>
      </c>
      <c r="F18" s="240"/>
      <c r="G18" s="240"/>
      <c r="H18" s="240"/>
      <c r="I18" s="240"/>
      <c r="J18" s="240"/>
      <c r="K18" s="240"/>
      <c r="L18" s="240"/>
      <c r="M18" s="240"/>
      <c r="N18" s="240"/>
      <c r="O18" s="240">
        <v>0.166666666666667</v>
      </c>
      <c r="P18" s="240">
        <v>0.25</v>
      </c>
      <c r="Q18" s="240">
        <v>0.25</v>
      </c>
      <c r="R18" s="240">
        <v>0.25</v>
      </c>
      <c r="S18" s="240">
        <v>0.08333333333333333</v>
      </c>
      <c r="U18" s="240">
        <f t="shared" si="0"/>
        <v>1.0000000000000002</v>
      </c>
      <c r="V18" s="319"/>
      <c r="W18" s="319"/>
      <c r="X18" s="262">
        <f t="shared" si="1"/>
        <v>0</v>
      </c>
      <c r="Y18" s="250">
        <f t="shared" si="2"/>
        <v>0</v>
      </c>
      <c r="Z18" s="250">
        <f t="shared" si="3"/>
        <v>0</v>
      </c>
      <c r="AA18" s="250">
        <f t="shared" si="4"/>
        <v>0</v>
      </c>
      <c r="AB18" s="250">
        <f t="shared" si="5"/>
        <v>0</v>
      </c>
      <c r="AC18" s="250">
        <f t="shared" si="6"/>
        <v>0</v>
      </c>
      <c r="AD18" s="250">
        <f t="shared" si="7"/>
        <v>0</v>
      </c>
      <c r="AE18" s="250">
        <f t="shared" si="8"/>
        <v>0</v>
      </c>
      <c r="AF18" s="250">
        <f t="shared" si="9"/>
        <v>0</v>
      </c>
      <c r="AG18" s="250">
        <f t="shared" si="10"/>
        <v>24500.000000000047</v>
      </c>
      <c r="AH18" s="250">
        <f t="shared" si="11"/>
        <v>36750</v>
      </c>
      <c r="AI18" s="250">
        <f t="shared" si="12"/>
        <v>36750</v>
      </c>
      <c r="AJ18" s="250">
        <f t="shared" si="13"/>
        <v>36750</v>
      </c>
      <c r="AK18" s="250">
        <f t="shared" si="14"/>
        <v>12250</v>
      </c>
      <c r="AL18" s="250">
        <f t="shared" si="15"/>
        <v>0</v>
      </c>
      <c r="AM18" s="248"/>
      <c r="AN18" s="250">
        <f t="shared" si="18"/>
        <v>0</v>
      </c>
      <c r="AO18" s="250">
        <f t="shared" si="18"/>
        <v>0</v>
      </c>
      <c r="AP18" s="250">
        <f t="shared" si="18"/>
        <v>0</v>
      </c>
      <c r="AQ18" s="250">
        <f t="shared" si="18"/>
        <v>0</v>
      </c>
      <c r="AR18" s="250">
        <f t="shared" si="18"/>
        <v>0</v>
      </c>
      <c r="AS18" s="250">
        <f t="shared" si="18"/>
        <v>0</v>
      </c>
      <c r="AT18" s="250">
        <f t="shared" si="18"/>
        <v>0</v>
      </c>
      <c r="AU18" s="250">
        <f t="shared" si="18"/>
        <v>147000</v>
      </c>
      <c r="AV18" s="250">
        <f t="shared" si="18"/>
        <v>0</v>
      </c>
      <c r="AW18" s="250">
        <f t="shared" si="18"/>
        <v>0</v>
      </c>
      <c r="AX18" s="250">
        <f t="shared" si="18"/>
        <v>0</v>
      </c>
      <c r="AY18" s="250">
        <f t="shared" si="18"/>
        <v>0</v>
      </c>
      <c r="AZ18" s="250">
        <f t="shared" si="18"/>
        <v>0</v>
      </c>
      <c r="BA18" s="250">
        <f t="shared" si="18"/>
        <v>0</v>
      </c>
      <c r="BB18" s="250">
        <f t="shared" si="18"/>
        <v>0</v>
      </c>
      <c r="BD18" s="243">
        <f t="shared" si="17"/>
        <v>0</v>
      </c>
    </row>
    <row r="19" spans="1:56" ht="15">
      <c r="A19" t="s">
        <v>174</v>
      </c>
      <c r="B19" s="332"/>
      <c r="D19" s="242">
        <v>120000</v>
      </c>
      <c r="E19" t="s">
        <v>211</v>
      </c>
      <c r="G19" s="240"/>
      <c r="H19" s="240">
        <v>0.1</v>
      </c>
      <c r="I19" s="240">
        <v>0.1</v>
      </c>
      <c r="J19" s="240">
        <v>0.1</v>
      </c>
      <c r="K19" s="240">
        <v>0.1</v>
      </c>
      <c r="L19" s="240">
        <v>0.1</v>
      </c>
      <c r="M19" s="240">
        <v>0.1</v>
      </c>
      <c r="N19" s="240">
        <v>0.1</v>
      </c>
      <c r="O19" s="240">
        <v>0.1</v>
      </c>
      <c r="P19" s="240">
        <v>0.1</v>
      </c>
      <c r="Q19" s="240">
        <v>0.1</v>
      </c>
      <c r="U19" s="240">
        <f t="shared" si="0"/>
        <v>0.9999999999999999</v>
      </c>
      <c r="V19" s="319"/>
      <c r="W19" s="319"/>
      <c r="X19" s="250">
        <f t="shared" si="1"/>
        <v>0</v>
      </c>
      <c r="Y19" s="250">
        <f t="shared" si="2"/>
        <v>0</v>
      </c>
      <c r="Z19" s="250">
        <f t="shared" si="3"/>
        <v>12000</v>
      </c>
      <c r="AA19" s="250">
        <f t="shared" si="4"/>
        <v>12000</v>
      </c>
      <c r="AB19" s="250">
        <f t="shared" si="5"/>
        <v>12000</v>
      </c>
      <c r="AC19" s="250">
        <f t="shared" si="6"/>
        <v>12000</v>
      </c>
      <c r="AD19" s="250">
        <f t="shared" si="7"/>
        <v>12000</v>
      </c>
      <c r="AE19" s="250">
        <f t="shared" si="8"/>
        <v>12000</v>
      </c>
      <c r="AF19" s="250">
        <f t="shared" si="9"/>
        <v>12000</v>
      </c>
      <c r="AG19" s="250">
        <f t="shared" si="10"/>
        <v>12000</v>
      </c>
      <c r="AH19" s="250">
        <f t="shared" si="11"/>
        <v>12000</v>
      </c>
      <c r="AI19" s="250">
        <f t="shared" si="12"/>
        <v>12000</v>
      </c>
      <c r="AJ19" s="250">
        <f t="shared" si="13"/>
        <v>0</v>
      </c>
      <c r="AK19" s="250">
        <f t="shared" si="14"/>
        <v>0</v>
      </c>
      <c r="AL19" s="250">
        <f t="shared" si="15"/>
        <v>0</v>
      </c>
      <c r="AM19" s="248"/>
      <c r="AN19" s="250">
        <f t="shared" si="18"/>
        <v>0</v>
      </c>
      <c r="AO19" s="250">
        <f t="shared" si="18"/>
        <v>120000</v>
      </c>
      <c r="AP19" s="250">
        <f t="shared" si="18"/>
        <v>0</v>
      </c>
      <c r="AQ19" s="250">
        <f t="shared" si="18"/>
        <v>0</v>
      </c>
      <c r="AR19" s="250">
        <f t="shared" si="18"/>
        <v>0</v>
      </c>
      <c r="AS19" s="250">
        <f t="shared" si="18"/>
        <v>0</v>
      </c>
      <c r="AT19" s="250">
        <f t="shared" si="18"/>
        <v>0</v>
      </c>
      <c r="AU19" s="250">
        <f t="shared" si="18"/>
        <v>0</v>
      </c>
      <c r="AV19" s="250">
        <f t="shared" si="18"/>
        <v>0</v>
      </c>
      <c r="AW19" s="250">
        <f t="shared" si="18"/>
        <v>0</v>
      </c>
      <c r="AX19" s="250">
        <f t="shared" si="18"/>
        <v>0</v>
      </c>
      <c r="AY19" s="250">
        <f t="shared" si="18"/>
        <v>0</v>
      </c>
      <c r="AZ19" s="250">
        <f t="shared" si="18"/>
        <v>0</v>
      </c>
      <c r="BA19" s="250">
        <f t="shared" si="18"/>
        <v>0</v>
      </c>
      <c r="BB19" s="250">
        <f t="shared" si="18"/>
        <v>0</v>
      </c>
      <c r="BD19" s="243">
        <f t="shared" si="17"/>
        <v>0</v>
      </c>
    </row>
    <row r="20" spans="1:56" ht="15">
      <c r="A20" t="s">
        <v>175</v>
      </c>
      <c r="B20" s="332"/>
      <c r="C20" s="319"/>
      <c r="D20" s="242">
        <v>500000</v>
      </c>
      <c r="E20" t="s">
        <v>204</v>
      </c>
      <c r="H20" s="322">
        <v>0.25</v>
      </c>
      <c r="I20" s="322">
        <v>0.25</v>
      </c>
      <c r="J20" s="322">
        <v>0.25</v>
      </c>
      <c r="K20" s="322">
        <v>0.25</v>
      </c>
      <c r="L20" s="322"/>
      <c r="M20" s="322"/>
      <c r="N20" s="322"/>
      <c r="P20" s="319"/>
      <c r="Q20" s="319"/>
      <c r="T20" s="319"/>
      <c r="U20" s="240">
        <f t="shared" si="0"/>
        <v>1</v>
      </c>
      <c r="V20" s="319"/>
      <c r="W20" s="319"/>
      <c r="X20" s="250">
        <f t="shared" si="1"/>
        <v>0</v>
      </c>
      <c r="Y20" s="250">
        <f t="shared" si="2"/>
        <v>0</v>
      </c>
      <c r="Z20" s="250">
        <f t="shared" si="3"/>
        <v>125000</v>
      </c>
      <c r="AA20" s="250">
        <f t="shared" si="4"/>
        <v>125000</v>
      </c>
      <c r="AB20" s="250">
        <f t="shared" si="5"/>
        <v>125000</v>
      </c>
      <c r="AC20" s="250">
        <f t="shared" si="6"/>
        <v>125000</v>
      </c>
      <c r="AD20" s="250">
        <f t="shared" si="7"/>
        <v>0</v>
      </c>
      <c r="AE20" s="250">
        <f t="shared" si="8"/>
        <v>0</v>
      </c>
      <c r="AF20" s="250">
        <f t="shared" si="9"/>
        <v>0</v>
      </c>
      <c r="AG20" s="250">
        <f t="shared" si="10"/>
        <v>0</v>
      </c>
      <c r="AH20" s="250">
        <f t="shared" si="11"/>
        <v>0</v>
      </c>
      <c r="AI20" s="250">
        <f t="shared" si="12"/>
        <v>0</v>
      </c>
      <c r="AJ20" s="250">
        <f t="shared" si="13"/>
        <v>0</v>
      </c>
      <c r="AK20" s="250">
        <f t="shared" si="14"/>
        <v>0</v>
      </c>
      <c r="AL20" s="250">
        <f t="shared" si="15"/>
        <v>0</v>
      </c>
      <c r="AM20" s="248"/>
      <c r="AN20" s="250">
        <f t="shared" si="18"/>
        <v>0</v>
      </c>
      <c r="AO20" s="250">
        <f t="shared" si="18"/>
        <v>0</v>
      </c>
      <c r="AP20" s="250">
        <f t="shared" si="18"/>
        <v>500000</v>
      </c>
      <c r="AQ20" s="250">
        <f t="shared" si="18"/>
        <v>0</v>
      </c>
      <c r="AR20" s="250">
        <f t="shared" si="18"/>
        <v>0</v>
      </c>
      <c r="AS20" s="250">
        <f t="shared" si="18"/>
        <v>0</v>
      </c>
      <c r="AT20" s="250">
        <f t="shared" si="18"/>
        <v>0</v>
      </c>
      <c r="AU20" s="250">
        <f t="shared" si="18"/>
        <v>0</v>
      </c>
      <c r="AV20" s="250">
        <f t="shared" si="18"/>
        <v>0</v>
      </c>
      <c r="AW20" s="250">
        <f t="shared" si="18"/>
        <v>0</v>
      </c>
      <c r="AX20" s="250">
        <f t="shared" si="18"/>
        <v>0</v>
      </c>
      <c r="AY20" s="250">
        <f t="shared" si="18"/>
        <v>0</v>
      </c>
      <c r="AZ20" s="250">
        <f t="shared" si="18"/>
        <v>0</v>
      </c>
      <c r="BA20" s="250">
        <f t="shared" si="18"/>
        <v>0</v>
      </c>
      <c r="BB20" s="250">
        <f t="shared" si="18"/>
        <v>0</v>
      </c>
      <c r="BD20" s="243">
        <f t="shared" si="17"/>
        <v>0</v>
      </c>
    </row>
    <row r="21" spans="1:56" ht="15">
      <c r="A21" t="s">
        <v>175</v>
      </c>
      <c r="B21" s="332"/>
      <c r="C21" s="319"/>
      <c r="D21" s="242">
        <v>200000</v>
      </c>
      <c r="E21" t="s">
        <v>212</v>
      </c>
      <c r="G21" s="319"/>
      <c r="J21" s="322">
        <v>0.25</v>
      </c>
      <c r="K21" s="322">
        <v>0.25</v>
      </c>
      <c r="L21" s="322">
        <v>0.25</v>
      </c>
      <c r="M21" s="322">
        <v>0.25</v>
      </c>
      <c r="U21" s="240">
        <f t="shared" si="0"/>
        <v>1</v>
      </c>
      <c r="V21" s="319"/>
      <c r="W21" s="319"/>
      <c r="X21" s="250">
        <f t="shared" si="1"/>
        <v>0</v>
      </c>
      <c r="Y21" s="250">
        <f t="shared" si="2"/>
        <v>0</v>
      </c>
      <c r="Z21" s="250">
        <f t="shared" si="3"/>
        <v>0</v>
      </c>
      <c r="AA21" s="250">
        <f t="shared" si="4"/>
        <v>0</v>
      </c>
      <c r="AB21" s="250">
        <f t="shared" si="5"/>
        <v>50000</v>
      </c>
      <c r="AC21" s="250">
        <f t="shared" si="6"/>
        <v>50000</v>
      </c>
      <c r="AD21" s="250">
        <f t="shared" si="7"/>
        <v>50000</v>
      </c>
      <c r="AE21" s="250">
        <f t="shared" si="8"/>
        <v>50000</v>
      </c>
      <c r="AF21" s="250">
        <f t="shared" si="9"/>
        <v>0</v>
      </c>
      <c r="AG21" s="250">
        <f t="shared" si="10"/>
        <v>0</v>
      </c>
      <c r="AH21" s="250">
        <f t="shared" si="11"/>
        <v>0</v>
      </c>
      <c r="AI21" s="250">
        <f t="shared" si="12"/>
        <v>0</v>
      </c>
      <c r="AJ21" s="250">
        <f t="shared" si="13"/>
        <v>0</v>
      </c>
      <c r="AK21" s="250">
        <f t="shared" si="14"/>
        <v>0</v>
      </c>
      <c r="AL21" s="250">
        <f t="shared" si="15"/>
        <v>0</v>
      </c>
      <c r="AM21" s="248"/>
      <c r="AN21" s="250">
        <f t="shared" si="18"/>
        <v>0</v>
      </c>
      <c r="AO21" s="250">
        <f t="shared" si="18"/>
        <v>0</v>
      </c>
      <c r="AP21" s="250">
        <f t="shared" si="18"/>
        <v>0</v>
      </c>
      <c r="AQ21" s="250">
        <f t="shared" si="18"/>
        <v>0</v>
      </c>
      <c r="AR21" s="250">
        <f t="shared" si="18"/>
        <v>200000</v>
      </c>
      <c r="AS21" s="250">
        <f t="shared" si="18"/>
        <v>0</v>
      </c>
      <c r="AT21" s="250">
        <f t="shared" si="18"/>
        <v>0</v>
      </c>
      <c r="AU21" s="250">
        <f t="shared" si="18"/>
        <v>0</v>
      </c>
      <c r="AV21" s="250">
        <f t="shared" si="18"/>
        <v>0</v>
      </c>
      <c r="AW21" s="250">
        <f t="shared" si="18"/>
        <v>0</v>
      </c>
      <c r="AX21" s="250">
        <f t="shared" si="18"/>
        <v>0</v>
      </c>
      <c r="AY21" s="250">
        <f t="shared" si="18"/>
        <v>0</v>
      </c>
      <c r="AZ21" s="250">
        <f t="shared" si="18"/>
        <v>0</v>
      </c>
      <c r="BA21" s="250">
        <f t="shared" si="18"/>
        <v>0</v>
      </c>
      <c r="BB21" s="250">
        <f t="shared" si="18"/>
        <v>0</v>
      </c>
      <c r="BD21" s="243">
        <f t="shared" si="17"/>
        <v>0</v>
      </c>
    </row>
    <row r="22" spans="1:56" ht="15">
      <c r="A22" t="s">
        <v>175</v>
      </c>
      <c r="B22" s="332"/>
      <c r="D22" s="242">
        <v>350000</v>
      </c>
      <c r="H22" s="319"/>
      <c r="I22" s="319"/>
      <c r="J22" s="319"/>
      <c r="K22" s="319"/>
      <c r="U22" s="322">
        <f t="shared" si="0"/>
        <v>0</v>
      </c>
      <c r="V22" s="319"/>
      <c r="W22" s="319"/>
      <c r="X22" s="324">
        <f t="shared" si="1"/>
        <v>0</v>
      </c>
      <c r="Y22" s="324">
        <f t="shared" si="2"/>
        <v>0</v>
      </c>
      <c r="Z22" s="324">
        <f t="shared" si="3"/>
        <v>0</v>
      </c>
      <c r="AA22" s="324">
        <f t="shared" si="4"/>
        <v>0</v>
      </c>
      <c r="AB22" s="324">
        <f t="shared" si="5"/>
        <v>0</v>
      </c>
      <c r="AC22" s="324">
        <f t="shared" si="6"/>
        <v>0</v>
      </c>
      <c r="AD22" s="324">
        <f t="shared" si="7"/>
        <v>0</v>
      </c>
      <c r="AE22" s="324">
        <f t="shared" si="8"/>
        <v>0</v>
      </c>
      <c r="AF22" s="324">
        <f t="shared" si="9"/>
        <v>0</v>
      </c>
      <c r="AG22" s="324">
        <f t="shared" si="10"/>
        <v>0</v>
      </c>
      <c r="AH22" s="324">
        <f t="shared" si="11"/>
        <v>0</v>
      </c>
      <c r="AI22" s="324">
        <f t="shared" si="12"/>
        <v>0</v>
      </c>
      <c r="AJ22" s="324">
        <f t="shared" si="13"/>
        <v>0</v>
      </c>
      <c r="AK22" s="324">
        <f t="shared" si="14"/>
        <v>0</v>
      </c>
      <c r="AL22" s="324">
        <f t="shared" si="15"/>
        <v>0</v>
      </c>
      <c r="AM22" s="248"/>
      <c r="AN22" s="250">
        <f t="shared" si="18"/>
        <v>0</v>
      </c>
      <c r="AO22" s="250">
        <f t="shared" si="18"/>
        <v>0</v>
      </c>
      <c r="AP22" s="250">
        <f t="shared" si="18"/>
        <v>0</v>
      </c>
      <c r="AQ22" s="250">
        <f t="shared" si="18"/>
        <v>0</v>
      </c>
      <c r="AR22" s="250">
        <f t="shared" si="18"/>
        <v>0</v>
      </c>
      <c r="AS22" s="250">
        <f t="shared" si="18"/>
        <v>0</v>
      </c>
      <c r="AT22" s="250">
        <f t="shared" si="18"/>
        <v>0</v>
      </c>
      <c r="AU22" s="250">
        <f t="shared" si="18"/>
        <v>0</v>
      </c>
      <c r="AV22" s="250">
        <f t="shared" si="18"/>
        <v>0</v>
      </c>
      <c r="AW22" s="250">
        <f t="shared" si="18"/>
        <v>0</v>
      </c>
      <c r="AX22" s="250">
        <f t="shared" si="18"/>
        <v>0</v>
      </c>
      <c r="AY22" s="250">
        <f t="shared" si="18"/>
        <v>0</v>
      </c>
      <c r="AZ22" s="250">
        <f t="shared" si="18"/>
        <v>0</v>
      </c>
      <c r="BA22" s="250">
        <f t="shared" si="18"/>
        <v>0</v>
      </c>
      <c r="BB22" s="250">
        <f t="shared" si="18"/>
        <v>0</v>
      </c>
      <c r="BD22" s="243">
        <f t="shared" si="17"/>
        <v>0</v>
      </c>
    </row>
    <row r="23" spans="1:56" ht="15">
      <c r="A23" t="s">
        <v>175</v>
      </c>
      <c r="B23" s="332"/>
      <c r="D23" s="242">
        <v>200000</v>
      </c>
      <c r="E23" t="s">
        <v>214</v>
      </c>
      <c r="I23" s="240">
        <v>0.25</v>
      </c>
      <c r="J23" s="240">
        <v>0.25</v>
      </c>
      <c r="K23" s="240">
        <v>0.25</v>
      </c>
      <c r="L23" s="240">
        <v>0.25</v>
      </c>
      <c r="M23" s="319"/>
      <c r="N23" s="319"/>
      <c r="U23" s="322">
        <f t="shared" si="0"/>
        <v>1</v>
      </c>
      <c r="V23" s="319"/>
      <c r="W23" s="319"/>
      <c r="X23" s="324">
        <f t="shared" si="1"/>
        <v>0</v>
      </c>
      <c r="Y23" s="324">
        <f t="shared" si="2"/>
        <v>0</v>
      </c>
      <c r="Z23" s="324">
        <f t="shared" si="3"/>
        <v>0</v>
      </c>
      <c r="AA23" s="324">
        <f t="shared" si="4"/>
        <v>50000</v>
      </c>
      <c r="AB23" s="324">
        <f t="shared" si="5"/>
        <v>50000</v>
      </c>
      <c r="AC23" s="324">
        <f t="shared" si="6"/>
        <v>50000</v>
      </c>
      <c r="AD23" s="324">
        <f t="shared" si="7"/>
        <v>50000</v>
      </c>
      <c r="AE23" s="324">
        <f t="shared" si="8"/>
        <v>0</v>
      </c>
      <c r="AF23" s="324">
        <f t="shared" si="9"/>
        <v>0</v>
      </c>
      <c r="AG23" s="324">
        <f t="shared" si="10"/>
        <v>0</v>
      </c>
      <c r="AH23" s="324">
        <f t="shared" si="11"/>
        <v>0</v>
      </c>
      <c r="AI23" s="324">
        <f t="shared" si="12"/>
        <v>0</v>
      </c>
      <c r="AJ23" s="324">
        <f t="shared" si="13"/>
        <v>0</v>
      </c>
      <c r="AK23" s="324">
        <f t="shared" si="14"/>
        <v>0</v>
      </c>
      <c r="AL23" s="324">
        <f t="shared" si="15"/>
        <v>0</v>
      </c>
      <c r="AM23" s="248"/>
      <c r="AN23" s="250">
        <f t="shared" si="18"/>
        <v>0</v>
      </c>
      <c r="AO23" s="250">
        <f t="shared" si="18"/>
        <v>0</v>
      </c>
      <c r="AP23" s="250">
        <f t="shared" si="18"/>
        <v>0</v>
      </c>
      <c r="AQ23" s="250">
        <f t="shared" si="18"/>
        <v>200000</v>
      </c>
      <c r="AR23" s="250">
        <f t="shared" si="18"/>
        <v>0</v>
      </c>
      <c r="AS23" s="250">
        <f t="shared" si="18"/>
        <v>0</v>
      </c>
      <c r="AT23" s="250">
        <f t="shared" si="18"/>
        <v>0</v>
      </c>
      <c r="AU23" s="250">
        <f t="shared" si="18"/>
        <v>0</v>
      </c>
      <c r="AV23" s="250">
        <f t="shared" si="18"/>
        <v>0</v>
      </c>
      <c r="AW23" s="250">
        <f t="shared" si="18"/>
        <v>0</v>
      </c>
      <c r="AX23" s="250">
        <f t="shared" si="18"/>
        <v>0</v>
      </c>
      <c r="AY23" s="250">
        <f t="shared" si="18"/>
        <v>0</v>
      </c>
      <c r="AZ23" s="250">
        <f t="shared" si="18"/>
        <v>0</v>
      </c>
      <c r="BA23" s="250">
        <f t="shared" si="18"/>
        <v>0</v>
      </c>
      <c r="BB23" s="250">
        <f t="shared" si="18"/>
        <v>0</v>
      </c>
      <c r="BD23" s="243">
        <f t="shared" si="17"/>
        <v>0</v>
      </c>
    </row>
    <row r="24" spans="1:56" ht="15">
      <c r="A24" t="s">
        <v>175</v>
      </c>
      <c r="B24" s="332"/>
      <c r="D24" s="242">
        <v>350000</v>
      </c>
      <c r="E24" t="s">
        <v>204</v>
      </c>
      <c r="G24" s="319"/>
      <c r="H24" s="322">
        <v>0.25</v>
      </c>
      <c r="I24" s="240">
        <v>0.25</v>
      </c>
      <c r="J24" s="240">
        <v>0.25</v>
      </c>
      <c r="K24" s="240">
        <v>0.25</v>
      </c>
      <c r="L24" s="319"/>
      <c r="M24" s="319"/>
      <c r="N24" s="319"/>
      <c r="U24" s="322">
        <f t="shared" si="0"/>
        <v>1</v>
      </c>
      <c r="V24" s="319"/>
      <c r="W24" s="319"/>
      <c r="X24" s="324">
        <f t="shared" si="1"/>
        <v>0</v>
      </c>
      <c r="Y24" s="324">
        <f t="shared" si="2"/>
        <v>0</v>
      </c>
      <c r="Z24" s="324">
        <f t="shared" si="3"/>
        <v>87500</v>
      </c>
      <c r="AA24" s="324">
        <f t="shared" si="4"/>
        <v>87500</v>
      </c>
      <c r="AB24" s="324">
        <f t="shared" si="5"/>
        <v>87500</v>
      </c>
      <c r="AC24" s="324">
        <f t="shared" si="6"/>
        <v>87500</v>
      </c>
      <c r="AD24" s="324">
        <f t="shared" si="7"/>
        <v>0</v>
      </c>
      <c r="AE24" s="324">
        <f t="shared" si="8"/>
        <v>0</v>
      </c>
      <c r="AF24" s="324">
        <f t="shared" si="9"/>
        <v>0</v>
      </c>
      <c r="AG24" s="324">
        <f t="shared" si="10"/>
        <v>0</v>
      </c>
      <c r="AH24" s="324">
        <f t="shared" si="11"/>
        <v>0</v>
      </c>
      <c r="AI24" s="324">
        <f t="shared" si="12"/>
        <v>0</v>
      </c>
      <c r="AJ24" s="324">
        <f t="shared" si="13"/>
        <v>0</v>
      </c>
      <c r="AK24" s="324">
        <f t="shared" si="14"/>
        <v>0</v>
      </c>
      <c r="AL24" s="324">
        <f t="shared" si="15"/>
        <v>0</v>
      </c>
      <c r="AM24" s="248"/>
      <c r="AN24" s="250">
        <f aca="true" t="shared" si="19" ref="AN24:BB38">IF(AN$3=$E24,$D24,0)</f>
        <v>0</v>
      </c>
      <c r="AO24" s="250">
        <f t="shared" si="19"/>
        <v>0</v>
      </c>
      <c r="AP24" s="250">
        <f t="shared" si="19"/>
        <v>350000</v>
      </c>
      <c r="AQ24" s="250">
        <f t="shared" si="19"/>
        <v>0</v>
      </c>
      <c r="AR24" s="250">
        <f t="shared" si="19"/>
        <v>0</v>
      </c>
      <c r="AS24" s="250">
        <f t="shared" si="19"/>
        <v>0</v>
      </c>
      <c r="AT24" s="250">
        <f t="shared" si="19"/>
        <v>0</v>
      </c>
      <c r="AU24" s="250">
        <f t="shared" si="19"/>
        <v>0</v>
      </c>
      <c r="AV24" s="250">
        <f t="shared" si="19"/>
        <v>0</v>
      </c>
      <c r="AW24" s="250">
        <f t="shared" si="19"/>
        <v>0</v>
      </c>
      <c r="AX24" s="250">
        <f t="shared" si="19"/>
        <v>0</v>
      </c>
      <c r="AY24" s="250">
        <f t="shared" si="19"/>
        <v>0</v>
      </c>
      <c r="AZ24" s="250">
        <f t="shared" si="19"/>
        <v>0</v>
      </c>
      <c r="BA24" s="250">
        <f t="shared" si="19"/>
        <v>0</v>
      </c>
      <c r="BB24" s="250">
        <f t="shared" si="19"/>
        <v>0</v>
      </c>
      <c r="BD24" s="323">
        <f t="shared" si="17"/>
        <v>0</v>
      </c>
    </row>
    <row r="25" spans="1:56" ht="15">
      <c r="A25" t="s">
        <v>175</v>
      </c>
      <c r="B25" s="332"/>
      <c r="D25" s="242">
        <v>50000</v>
      </c>
      <c r="E25" t="s">
        <v>212</v>
      </c>
      <c r="G25" s="319"/>
      <c r="H25" s="319"/>
      <c r="I25" s="319"/>
      <c r="J25" s="240">
        <v>0.25</v>
      </c>
      <c r="K25" s="240">
        <v>0.25</v>
      </c>
      <c r="L25" s="240">
        <v>0.25</v>
      </c>
      <c r="M25" s="240">
        <v>0.25</v>
      </c>
      <c r="N25" s="319"/>
      <c r="U25" s="322">
        <f t="shared" si="0"/>
        <v>1</v>
      </c>
      <c r="V25" s="319"/>
      <c r="W25" s="319"/>
      <c r="X25" s="324">
        <f t="shared" si="1"/>
        <v>0</v>
      </c>
      <c r="Y25" s="324">
        <f t="shared" si="2"/>
        <v>0</v>
      </c>
      <c r="Z25" s="324">
        <f t="shared" si="3"/>
        <v>0</v>
      </c>
      <c r="AA25" s="324">
        <f t="shared" si="4"/>
        <v>0</v>
      </c>
      <c r="AB25" s="324">
        <f t="shared" si="5"/>
        <v>12500</v>
      </c>
      <c r="AC25" s="324">
        <f t="shared" si="6"/>
        <v>12500</v>
      </c>
      <c r="AD25" s="324">
        <f t="shared" si="7"/>
        <v>12500</v>
      </c>
      <c r="AE25" s="324">
        <f t="shared" si="8"/>
        <v>12500</v>
      </c>
      <c r="AF25" s="324">
        <f t="shared" si="9"/>
        <v>0</v>
      </c>
      <c r="AG25" s="324">
        <f t="shared" si="10"/>
        <v>0</v>
      </c>
      <c r="AH25" s="324">
        <f t="shared" si="11"/>
        <v>0</v>
      </c>
      <c r="AI25" s="324">
        <f t="shared" si="12"/>
        <v>0</v>
      </c>
      <c r="AJ25" s="324">
        <f t="shared" si="13"/>
        <v>0</v>
      </c>
      <c r="AK25" s="324">
        <f t="shared" si="14"/>
        <v>0</v>
      </c>
      <c r="AL25" s="324">
        <f t="shared" si="15"/>
        <v>0</v>
      </c>
      <c r="AM25" s="248"/>
      <c r="AN25" s="250">
        <f t="shared" si="19"/>
        <v>0</v>
      </c>
      <c r="AO25" s="250">
        <f t="shared" si="19"/>
        <v>0</v>
      </c>
      <c r="AP25" s="250">
        <f t="shared" si="19"/>
        <v>0</v>
      </c>
      <c r="AQ25" s="250">
        <f t="shared" si="19"/>
        <v>0</v>
      </c>
      <c r="AR25" s="250">
        <f t="shared" si="19"/>
        <v>50000</v>
      </c>
      <c r="AS25" s="250">
        <f t="shared" si="19"/>
        <v>0</v>
      </c>
      <c r="AT25" s="250">
        <f t="shared" si="19"/>
        <v>0</v>
      </c>
      <c r="AU25" s="250">
        <f t="shared" si="19"/>
        <v>0</v>
      </c>
      <c r="AV25" s="250">
        <f t="shared" si="19"/>
        <v>0</v>
      </c>
      <c r="AW25" s="250">
        <f t="shared" si="19"/>
        <v>0</v>
      </c>
      <c r="AX25" s="250">
        <f t="shared" si="19"/>
        <v>0</v>
      </c>
      <c r="AY25" s="250">
        <f t="shared" si="19"/>
        <v>0</v>
      </c>
      <c r="AZ25" s="250">
        <f t="shared" si="19"/>
        <v>0</v>
      </c>
      <c r="BA25" s="250">
        <f t="shared" si="19"/>
        <v>0</v>
      </c>
      <c r="BB25" s="250">
        <f t="shared" si="19"/>
        <v>0</v>
      </c>
      <c r="BD25" s="323">
        <f t="shared" si="17"/>
        <v>0</v>
      </c>
    </row>
    <row r="26" spans="1:56" ht="15">
      <c r="A26" t="s">
        <v>177</v>
      </c>
      <c r="B26" s="267"/>
      <c r="C26" s="258"/>
      <c r="D26" s="325">
        <v>100000</v>
      </c>
      <c r="E26" t="s">
        <v>206</v>
      </c>
      <c r="G26" s="319"/>
      <c r="H26" s="240">
        <v>0.25</v>
      </c>
      <c r="I26" s="240">
        <v>0.25</v>
      </c>
      <c r="J26" s="240">
        <v>0.25</v>
      </c>
      <c r="K26" s="240">
        <v>0.25</v>
      </c>
      <c r="L26" s="319"/>
      <c r="M26" s="319"/>
      <c r="N26" s="319"/>
      <c r="O26" s="319"/>
      <c r="P26" s="319"/>
      <c r="Q26" s="319"/>
      <c r="U26" s="322">
        <f t="shared" si="0"/>
        <v>1</v>
      </c>
      <c r="V26" s="319"/>
      <c r="W26" s="319"/>
      <c r="X26" s="324">
        <f t="shared" si="1"/>
        <v>0</v>
      </c>
      <c r="Y26" s="324">
        <f t="shared" si="2"/>
        <v>0</v>
      </c>
      <c r="Z26" s="324">
        <f t="shared" si="3"/>
        <v>25000</v>
      </c>
      <c r="AA26" s="324">
        <f t="shared" si="4"/>
        <v>25000</v>
      </c>
      <c r="AB26" s="324">
        <f t="shared" si="5"/>
        <v>25000</v>
      </c>
      <c r="AC26" s="324">
        <f t="shared" si="6"/>
        <v>25000</v>
      </c>
      <c r="AD26" s="324">
        <f t="shared" si="7"/>
        <v>0</v>
      </c>
      <c r="AE26" s="324">
        <f t="shared" si="8"/>
        <v>0</v>
      </c>
      <c r="AF26" s="324">
        <f t="shared" si="9"/>
        <v>0</v>
      </c>
      <c r="AG26" s="324">
        <f t="shared" si="10"/>
        <v>0</v>
      </c>
      <c r="AH26" s="324">
        <f t="shared" si="11"/>
        <v>0</v>
      </c>
      <c r="AI26" s="324">
        <f t="shared" si="12"/>
        <v>0</v>
      </c>
      <c r="AJ26" s="324">
        <f t="shared" si="13"/>
        <v>0</v>
      </c>
      <c r="AK26" s="324">
        <f t="shared" si="14"/>
        <v>0</v>
      </c>
      <c r="AL26" s="324">
        <f t="shared" si="15"/>
        <v>0</v>
      </c>
      <c r="AM26" s="248"/>
      <c r="AN26" s="250">
        <f t="shared" si="19"/>
        <v>0</v>
      </c>
      <c r="AO26" s="250">
        <f t="shared" si="19"/>
        <v>0</v>
      </c>
      <c r="AP26" s="250">
        <f t="shared" si="19"/>
        <v>0</v>
      </c>
      <c r="AQ26" s="250">
        <f t="shared" si="19"/>
        <v>0</v>
      </c>
      <c r="AR26" s="250">
        <f t="shared" si="19"/>
        <v>0</v>
      </c>
      <c r="AS26" s="250">
        <f t="shared" si="19"/>
        <v>0</v>
      </c>
      <c r="AT26" s="250">
        <f t="shared" si="19"/>
        <v>100000</v>
      </c>
      <c r="AU26" s="250">
        <f t="shared" si="19"/>
        <v>0</v>
      </c>
      <c r="AV26" s="250">
        <f t="shared" si="19"/>
        <v>0</v>
      </c>
      <c r="AW26" s="250">
        <f t="shared" si="19"/>
        <v>0</v>
      </c>
      <c r="AX26" s="250">
        <f t="shared" si="19"/>
        <v>0</v>
      </c>
      <c r="AY26" s="250">
        <f t="shared" si="19"/>
        <v>0</v>
      </c>
      <c r="AZ26" s="250">
        <f t="shared" si="19"/>
        <v>0</v>
      </c>
      <c r="BA26" s="250">
        <f t="shared" si="19"/>
        <v>0</v>
      </c>
      <c r="BB26" s="250">
        <f t="shared" si="19"/>
        <v>0</v>
      </c>
      <c r="BD26" s="323">
        <f t="shared" si="17"/>
        <v>0</v>
      </c>
    </row>
    <row r="27" spans="1:56" ht="15">
      <c r="A27" t="s">
        <v>177</v>
      </c>
      <c r="B27" s="267"/>
      <c r="C27" s="258"/>
      <c r="D27" s="253">
        <v>500000</v>
      </c>
      <c r="E27" t="s">
        <v>226</v>
      </c>
      <c r="J27" s="319"/>
      <c r="K27" s="319"/>
      <c r="L27" s="319"/>
      <c r="M27" s="319"/>
      <c r="N27" s="319"/>
      <c r="O27" s="319"/>
      <c r="P27" s="319"/>
      <c r="Q27" s="240">
        <v>0.25</v>
      </c>
      <c r="R27" s="240">
        <v>0.25</v>
      </c>
      <c r="S27" s="240">
        <v>0.25</v>
      </c>
      <c r="T27" s="240">
        <v>0.25</v>
      </c>
      <c r="U27" s="322">
        <f t="shared" si="0"/>
        <v>1</v>
      </c>
      <c r="V27" s="319"/>
      <c r="W27" s="319"/>
      <c r="X27" s="324">
        <f t="shared" si="1"/>
        <v>0</v>
      </c>
      <c r="Y27" s="324">
        <f t="shared" si="2"/>
        <v>0</v>
      </c>
      <c r="Z27" s="324">
        <f t="shared" si="3"/>
        <v>0</v>
      </c>
      <c r="AA27" s="324">
        <f t="shared" si="4"/>
        <v>0</v>
      </c>
      <c r="AB27" s="324">
        <f t="shared" si="5"/>
        <v>0</v>
      </c>
      <c r="AC27" s="324">
        <f t="shared" si="6"/>
        <v>0</v>
      </c>
      <c r="AD27" s="324">
        <f t="shared" si="7"/>
        <v>0</v>
      </c>
      <c r="AE27" s="324">
        <f t="shared" si="8"/>
        <v>0</v>
      </c>
      <c r="AF27" s="324">
        <f t="shared" si="9"/>
        <v>0</v>
      </c>
      <c r="AG27" s="324">
        <f t="shared" si="10"/>
        <v>0</v>
      </c>
      <c r="AH27" s="324">
        <f t="shared" si="11"/>
        <v>0</v>
      </c>
      <c r="AI27" s="324">
        <f t="shared" si="12"/>
        <v>125000</v>
      </c>
      <c r="AJ27" s="324">
        <f t="shared" si="13"/>
        <v>125000</v>
      </c>
      <c r="AK27" s="324">
        <f t="shared" si="14"/>
        <v>125000</v>
      </c>
      <c r="AL27" s="324">
        <f t="shared" si="15"/>
        <v>125000</v>
      </c>
      <c r="AM27" s="248"/>
      <c r="AN27" s="250">
        <f t="shared" si="19"/>
        <v>0</v>
      </c>
      <c r="AO27" s="250">
        <f t="shared" si="19"/>
        <v>0</v>
      </c>
      <c r="AP27" s="250">
        <f t="shared" si="19"/>
        <v>0</v>
      </c>
      <c r="AQ27" s="250">
        <f t="shared" si="19"/>
        <v>0</v>
      </c>
      <c r="AR27" s="250">
        <f t="shared" si="19"/>
        <v>0</v>
      </c>
      <c r="AS27" s="250">
        <f t="shared" si="19"/>
        <v>0</v>
      </c>
      <c r="AT27" s="250">
        <f t="shared" si="19"/>
        <v>0</v>
      </c>
      <c r="AU27" s="250">
        <f t="shared" si="19"/>
        <v>0</v>
      </c>
      <c r="AV27" s="250">
        <f t="shared" si="19"/>
        <v>0</v>
      </c>
      <c r="AW27" s="250">
        <f t="shared" si="19"/>
        <v>0</v>
      </c>
      <c r="AX27" s="250">
        <f t="shared" si="19"/>
        <v>0</v>
      </c>
      <c r="AY27" s="250">
        <f t="shared" si="19"/>
        <v>0</v>
      </c>
      <c r="AZ27" s="250">
        <f t="shared" si="19"/>
        <v>0</v>
      </c>
      <c r="BA27" s="250">
        <f t="shared" si="19"/>
        <v>0</v>
      </c>
      <c r="BB27" s="250">
        <f t="shared" si="19"/>
        <v>500000</v>
      </c>
      <c r="BD27" s="243">
        <f t="shared" si="17"/>
        <v>0</v>
      </c>
    </row>
    <row r="28" spans="1:56" ht="15">
      <c r="A28" t="s">
        <v>177</v>
      </c>
      <c r="B28" s="267"/>
      <c r="C28" s="258"/>
      <c r="D28" s="242">
        <v>7200</v>
      </c>
      <c r="E28" t="s">
        <v>211</v>
      </c>
      <c r="G28" s="322">
        <v>0.3</v>
      </c>
      <c r="H28" s="240">
        <v>0.7</v>
      </c>
      <c r="I28" s="319"/>
      <c r="J28" s="319"/>
      <c r="K28" s="319"/>
      <c r="Q28" s="322"/>
      <c r="R28" s="322"/>
      <c r="S28" s="322"/>
      <c r="T28" s="322"/>
      <c r="U28" s="322">
        <f t="shared" si="0"/>
        <v>1</v>
      </c>
      <c r="V28" s="319"/>
      <c r="W28" s="319"/>
      <c r="X28" s="324">
        <f t="shared" si="1"/>
        <v>0</v>
      </c>
      <c r="Y28" s="324">
        <f t="shared" si="2"/>
        <v>2160</v>
      </c>
      <c r="Z28" s="324">
        <f t="shared" si="3"/>
        <v>5040</v>
      </c>
      <c r="AA28" s="324">
        <f t="shared" si="4"/>
        <v>0</v>
      </c>
      <c r="AB28" s="324">
        <f t="shared" si="5"/>
        <v>0</v>
      </c>
      <c r="AC28" s="324">
        <f t="shared" si="6"/>
        <v>0</v>
      </c>
      <c r="AD28" s="324">
        <f t="shared" si="7"/>
        <v>0</v>
      </c>
      <c r="AE28" s="324">
        <f t="shared" si="8"/>
        <v>0</v>
      </c>
      <c r="AF28" s="324">
        <f t="shared" si="9"/>
        <v>0</v>
      </c>
      <c r="AG28" s="324">
        <f t="shared" si="10"/>
        <v>0</v>
      </c>
      <c r="AH28" s="324">
        <f t="shared" si="11"/>
        <v>0</v>
      </c>
      <c r="AI28" s="324">
        <f t="shared" si="12"/>
        <v>0</v>
      </c>
      <c r="AJ28" s="324">
        <f t="shared" si="13"/>
        <v>0</v>
      </c>
      <c r="AK28" s="324">
        <f t="shared" si="14"/>
        <v>0</v>
      </c>
      <c r="AL28" s="324">
        <f t="shared" si="15"/>
        <v>0</v>
      </c>
      <c r="AM28" s="248"/>
      <c r="AN28" s="250">
        <f t="shared" si="19"/>
        <v>0</v>
      </c>
      <c r="AO28" s="250">
        <f t="shared" si="19"/>
        <v>7200</v>
      </c>
      <c r="AP28" s="250">
        <f t="shared" si="19"/>
        <v>0</v>
      </c>
      <c r="AQ28" s="250">
        <f t="shared" si="19"/>
        <v>0</v>
      </c>
      <c r="AR28" s="250">
        <f t="shared" si="19"/>
        <v>0</v>
      </c>
      <c r="AS28" s="250">
        <f t="shared" si="19"/>
        <v>0</v>
      </c>
      <c r="AT28" s="250">
        <f t="shared" si="19"/>
        <v>0</v>
      </c>
      <c r="AU28" s="250">
        <f t="shared" si="19"/>
        <v>0</v>
      </c>
      <c r="AV28" s="250">
        <f t="shared" si="19"/>
        <v>0</v>
      </c>
      <c r="AW28" s="250">
        <f t="shared" si="19"/>
        <v>0</v>
      </c>
      <c r="AX28" s="250">
        <f t="shared" si="19"/>
        <v>0</v>
      </c>
      <c r="AY28" s="250">
        <f t="shared" si="19"/>
        <v>0</v>
      </c>
      <c r="AZ28" s="250">
        <f t="shared" si="19"/>
        <v>0</v>
      </c>
      <c r="BA28" s="250">
        <f t="shared" si="19"/>
        <v>0</v>
      </c>
      <c r="BB28" s="250">
        <f t="shared" si="19"/>
        <v>0</v>
      </c>
      <c r="BD28" s="243"/>
    </row>
    <row r="29" spans="1:56" ht="15">
      <c r="A29" t="s">
        <v>177</v>
      </c>
      <c r="B29" s="267"/>
      <c r="C29" s="258"/>
      <c r="D29" s="242">
        <v>19200</v>
      </c>
      <c r="E29" t="s">
        <v>211</v>
      </c>
      <c r="G29" s="322">
        <v>0.3</v>
      </c>
      <c r="H29" s="322">
        <v>0.7</v>
      </c>
      <c r="I29" s="319"/>
      <c r="J29" s="319"/>
      <c r="K29" s="319"/>
      <c r="L29" s="319"/>
      <c r="Q29" s="322"/>
      <c r="R29" s="322"/>
      <c r="S29" s="322"/>
      <c r="T29" s="322"/>
      <c r="U29" s="322">
        <f t="shared" si="0"/>
        <v>1</v>
      </c>
      <c r="V29" s="319"/>
      <c r="W29" s="319"/>
      <c r="X29" s="324">
        <f t="shared" si="1"/>
        <v>0</v>
      </c>
      <c r="Y29" s="324">
        <f t="shared" si="2"/>
        <v>5760</v>
      </c>
      <c r="Z29" s="324">
        <f t="shared" si="3"/>
        <v>13440</v>
      </c>
      <c r="AA29" s="324">
        <f t="shared" si="4"/>
        <v>0</v>
      </c>
      <c r="AB29" s="324">
        <f t="shared" si="5"/>
        <v>0</v>
      </c>
      <c r="AC29" s="324">
        <f t="shared" si="6"/>
        <v>0</v>
      </c>
      <c r="AD29" s="324">
        <f t="shared" si="7"/>
        <v>0</v>
      </c>
      <c r="AE29" s="324">
        <f t="shared" si="8"/>
        <v>0</v>
      </c>
      <c r="AF29" s="324">
        <f t="shared" si="9"/>
        <v>0</v>
      </c>
      <c r="AG29" s="324">
        <f t="shared" si="10"/>
        <v>0</v>
      </c>
      <c r="AH29" s="324">
        <f t="shared" si="11"/>
        <v>0</v>
      </c>
      <c r="AI29" s="324">
        <f t="shared" si="12"/>
        <v>0</v>
      </c>
      <c r="AJ29" s="324">
        <f t="shared" si="13"/>
        <v>0</v>
      </c>
      <c r="AK29" s="324">
        <f t="shared" si="14"/>
        <v>0</v>
      </c>
      <c r="AL29" s="324">
        <f t="shared" si="15"/>
        <v>0</v>
      </c>
      <c r="AM29" s="248"/>
      <c r="AN29" s="250">
        <f t="shared" si="19"/>
        <v>0</v>
      </c>
      <c r="AO29" s="250">
        <f t="shared" si="19"/>
        <v>19200</v>
      </c>
      <c r="AP29" s="250">
        <f t="shared" si="19"/>
        <v>0</v>
      </c>
      <c r="AQ29" s="250">
        <f t="shared" si="19"/>
        <v>0</v>
      </c>
      <c r="AR29" s="250">
        <f t="shared" si="19"/>
        <v>0</v>
      </c>
      <c r="AS29" s="250">
        <f t="shared" si="19"/>
        <v>0</v>
      </c>
      <c r="AT29" s="250">
        <f t="shared" si="19"/>
        <v>0</v>
      </c>
      <c r="AU29" s="250">
        <f t="shared" si="19"/>
        <v>0</v>
      </c>
      <c r="AV29" s="250">
        <f t="shared" si="19"/>
        <v>0</v>
      </c>
      <c r="AW29" s="250">
        <f t="shared" si="19"/>
        <v>0</v>
      </c>
      <c r="AX29" s="250">
        <f t="shared" si="19"/>
        <v>0</v>
      </c>
      <c r="AY29" s="250">
        <f t="shared" si="19"/>
        <v>0</v>
      </c>
      <c r="AZ29" s="250">
        <f t="shared" si="19"/>
        <v>0</v>
      </c>
      <c r="BA29" s="250">
        <f t="shared" si="19"/>
        <v>0</v>
      </c>
      <c r="BB29" s="250">
        <f t="shared" si="19"/>
        <v>0</v>
      </c>
      <c r="BD29" s="243"/>
    </row>
    <row r="30" spans="1:56" ht="15">
      <c r="A30" t="s">
        <v>177</v>
      </c>
      <c r="B30" s="267"/>
      <c r="C30" s="258"/>
      <c r="D30" s="242">
        <v>8000</v>
      </c>
      <c r="E30" t="s">
        <v>211</v>
      </c>
      <c r="G30" s="322">
        <v>0.3</v>
      </c>
      <c r="H30" s="322">
        <v>0.7</v>
      </c>
      <c r="L30" s="319"/>
      <c r="M30" s="319"/>
      <c r="N30" s="319"/>
      <c r="O30" s="319"/>
      <c r="Q30" s="322"/>
      <c r="R30" s="322"/>
      <c r="S30" s="322"/>
      <c r="T30" s="322"/>
      <c r="U30" s="322">
        <f t="shared" si="0"/>
        <v>1</v>
      </c>
      <c r="V30" s="319"/>
      <c r="W30" s="319"/>
      <c r="X30" s="324">
        <f t="shared" si="1"/>
        <v>0</v>
      </c>
      <c r="Y30" s="324">
        <f t="shared" si="2"/>
        <v>2400</v>
      </c>
      <c r="Z30" s="324">
        <f t="shared" si="3"/>
        <v>5600</v>
      </c>
      <c r="AA30" s="324">
        <f t="shared" si="4"/>
        <v>0</v>
      </c>
      <c r="AB30" s="324">
        <f t="shared" si="5"/>
        <v>0</v>
      </c>
      <c r="AC30" s="324">
        <f t="shared" si="6"/>
        <v>0</v>
      </c>
      <c r="AD30" s="324">
        <f t="shared" si="7"/>
        <v>0</v>
      </c>
      <c r="AE30" s="324">
        <f t="shared" si="8"/>
        <v>0</v>
      </c>
      <c r="AF30" s="324">
        <f t="shared" si="9"/>
        <v>0</v>
      </c>
      <c r="AG30" s="324">
        <f t="shared" si="10"/>
        <v>0</v>
      </c>
      <c r="AH30" s="324">
        <f t="shared" si="11"/>
        <v>0</v>
      </c>
      <c r="AI30" s="324">
        <f t="shared" si="12"/>
        <v>0</v>
      </c>
      <c r="AJ30" s="324">
        <f t="shared" si="13"/>
        <v>0</v>
      </c>
      <c r="AK30" s="324">
        <f t="shared" si="14"/>
        <v>0</v>
      </c>
      <c r="AL30" s="324">
        <f t="shared" si="15"/>
        <v>0</v>
      </c>
      <c r="AM30" s="248"/>
      <c r="AN30" s="250">
        <f t="shared" si="19"/>
        <v>0</v>
      </c>
      <c r="AO30" s="250">
        <f t="shared" si="19"/>
        <v>8000</v>
      </c>
      <c r="AP30" s="250">
        <f t="shared" si="19"/>
        <v>0</v>
      </c>
      <c r="AQ30" s="250">
        <f t="shared" si="19"/>
        <v>0</v>
      </c>
      <c r="AR30" s="250">
        <f t="shared" si="19"/>
        <v>0</v>
      </c>
      <c r="AS30" s="250">
        <f t="shared" si="19"/>
        <v>0</v>
      </c>
      <c r="AT30" s="250">
        <f t="shared" si="19"/>
        <v>0</v>
      </c>
      <c r="AU30" s="250">
        <f t="shared" si="19"/>
        <v>0</v>
      </c>
      <c r="AV30" s="250">
        <f t="shared" si="19"/>
        <v>0</v>
      </c>
      <c r="AW30" s="250">
        <f t="shared" si="19"/>
        <v>0</v>
      </c>
      <c r="AX30" s="250">
        <f t="shared" si="19"/>
        <v>0</v>
      </c>
      <c r="AY30" s="250">
        <f t="shared" si="19"/>
        <v>0</v>
      </c>
      <c r="AZ30" s="250">
        <f t="shared" si="19"/>
        <v>0</v>
      </c>
      <c r="BA30" s="250">
        <f t="shared" si="19"/>
        <v>0</v>
      </c>
      <c r="BB30" s="250">
        <f t="shared" si="19"/>
        <v>0</v>
      </c>
      <c r="BD30" s="243"/>
    </row>
    <row r="31" spans="1:56" ht="15">
      <c r="A31" t="s">
        <v>177</v>
      </c>
      <c r="B31" s="267"/>
      <c r="C31" s="258"/>
      <c r="D31" s="242">
        <v>72000</v>
      </c>
      <c r="E31" t="s">
        <v>211</v>
      </c>
      <c r="H31" s="322">
        <v>0.0833333333333333</v>
      </c>
      <c r="I31" s="322">
        <v>0.0833333333333333</v>
      </c>
      <c r="J31" s="322">
        <v>0.0833333333333333</v>
      </c>
      <c r="K31" s="322">
        <v>0.0833333333333333</v>
      </c>
      <c r="L31" s="322">
        <v>0.0833333333333333</v>
      </c>
      <c r="M31" s="322">
        <v>0.0833333333333333</v>
      </c>
      <c r="N31" s="322">
        <v>0.0833333333333333</v>
      </c>
      <c r="O31" s="322">
        <v>0.0833333333333333</v>
      </c>
      <c r="P31" s="322">
        <v>0.0833333333333333</v>
      </c>
      <c r="Q31" s="240">
        <v>0.0833333333333333</v>
      </c>
      <c r="R31" s="240">
        <v>0.0833333333333333</v>
      </c>
      <c r="S31" s="240">
        <v>0.0833333333333333</v>
      </c>
      <c r="T31" s="240"/>
      <c r="U31" s="322">
        <f t="shared" si="0"/>
        <v>0.9999999999999994</v>
      </c>
      <c r="V31" s="319"/>
      <c r="W31" s="319"/>
      <c r="X31" s="324">
        <f t="shared" si="1"/>
        <v>0</v>
      </c>
      <c r="Y31" s="324">
        <f t="shared" si="2"/>
        <v>0</v>
      </c>
      <c r="Z31" s="324">
        <f t="shared" si="3"/>
        <v>5999.999999999997</v>
      </c>
      <c r="AA31" s="324">
        <f t="shared" si="4"/>
        <v>5999.999999999997</v>
      </c>
      <c r="AB31" s="324">
        <f t="shared" si="5"/>
        <v>5999.999999999997</v>
      </c>
      <c r="AC31" s="324">
        <f t="shared" si="6"/>
        <v>5999.999999999997</v>
      </c>
      <c r="AD31" s="324">
        <f t="shared" si="7"/>
        <v>5999.999999999997</v>
      </c>
      <c r="AE31" s="324">
        <f t="shared" si="8"/>
        <v>5999.999999999997</v>
      </c>
      <c r="AF31" s="324">
        <f t="shared" si="9"/>
        <v>5999.999999999997</v>
      </c>
      <c r="AG31" s="324">
        <f t="shared" si="10"/>
        <v>5999.999999999997</v>
      </c>
      <c r="AH31" s="324">
        <f t="shared" si="11"/>
        <v>5999.999999999997</v>
      </c>
      <c r="AI31" s="324">
        <f t="shared" si="12"/>
        <v>5999.999999999997</v>
      </c>
      <c r="AJ31" s="324">
        <f t="shared" si="13"/>
        <v>5999.999999999997</v>
      </c>
      <c r="AK31" s="324">
        <f t="shared" si="14"/>
        <v>5999.999999999997</v>
      </c>
      <c r="AL31" s="324">
        <f t="shared" si="15"/>
        <v>0</v>
      </c>
      <c r="AM31" s="248"/>
      <c r="AN31" s="250">
        <f t="shared" si="19"/>
        <v>0</v>
      </c>
      <c r="AO31" s="250">
        <f t="shared" si="19"/>
        <v>72000</v>
      </c>
      <c r="AP31" s="250">
        <f t="shared" si="19"/>
        <v>0</v>
      </c>
      <c r="AQ31" s="250">
        <f t="shared" si="19"/>
        <v>0</v>
      </c>
      <c r="AR31" s="250">
        <f t="shared" si="19"/>
        <v>0</v>
      </c>
      <c r="AS31" s="250">
        <f t="shared" si="19"/>
        <v>0</v>
      </c>
      <c r="AT31" s="250">
        <f t="shared" si="19"/>
        <v>0</v>
      </c>
      <c r="AU31" s="250">
        <f t="shared" si="19"/>
        <v>0</v>
      </c>
      <c r="AV31" s="250">
        <f t="shared" si="19"/>
        <v>0</v>
      </c>
      <c r="AW31" s="250">
        <f t="shared" si="19"/>
        <v>0</v>
      </c>
      <c r="AX31" s="250">
        <f t="shared" si="19"/>
        <v>0</v>
      </c>
      <c r="AY31" s="250">
        <f t="shared" si="19"/>
        <v>0</v>
      </c>
      <c r="AZ31" s="250">
        <f t="shared" si="19"/>
        <v>0</v>
      </c>
      <c r="BA31" s="250">
        <f t="shared" si="19"/>
        <v>0</v>
      </c>
      <c r="BB31" s="250">
        <f t="shared" si="19"/>
        <v>0</v>
      </c>
      <c r="BD31" s="243"/>
    </row>
    <row r="32" spans="1:56" ht="15">
      <c r="A32" t="s">
        <v>178</v>
      </c>
      <c r="B32" s="267"/>
      <c r="C32" s="258"/>
      <c r="D32" s="242">
        <v>100000</v>
      </c>
      <c r="E32" t="s">
        <v>204</v>
      </c>
      <c r="I32" s="322">
        <v>0.25</v>
      </c>
      <c r="J32" s="322">
        <v>0.25</v>
      </c>
      <c r="K32" s="322">
        <v>0.25</v>
      </c>
      <c r="L32" s="322">
        <v>0.25</v>
      </c>
      <c r="Q32" s="319"/>
      <c r="R32" s="319"/>
      <c r="S32" s="319"/>
      <c r="T32" s="319"/>
      <c r="U32" s="322">
        <f t="shared" si="0"/>
        <v>1</v>
      </c>
      <c r="V32" s="319"/>
      <c r="W32" s="319"/>
      <c r="X32" s="324">
        <f t="shared" si="1"/>
        <v>0</v>
      </c>
      <c r="Y32" s="324">
        <f t="shared" si="2"/>
        <v>0</v>
      </c>
      <c r="Z32" s="324">
        <f t="shared" si="3"/>
        <v>0</v>
      </c>
      <c r="AA32" s="324">
        <f t="shared" si="4"/>
        <v>25000</v>
      </c>
      <c r="AB32" s="324">
        <f t="shared" si="5"/>
        <v>25000</v>
      </c>
      <c r="AC32" s="324">
        <f t="shared" si="6"/>
        <v>25000</v>
      </c>
      <c r="AD32" s="324">
        <f t="shared" si="7"/>
        <v>25000</v>
      </c>
      <c r="AE32" s="324">
        <f t="shared" si="8"/>
        <v>0</v>
      </c>
      <c r="AF32" s="324">
        <f t="shared" si="9"/>
        <v>0</v>
      </c>
      <c r="AG32" s="324">
        <f t="shared" si="10"/>
        <v>0</v>
      </c>
      <c r="AH32" s="324">
        <f t="shared" si="11"/>
        <v>0</v>
      </c>
      <c r="AI32" s="324">
        <f t="shared" si="12"/>
        <v>0</v>
      </c>
      <c r="AJ32" s="324">
        <f t="shared" si="13"/>
        <v>0</v>
      </c>
      <c r="AK32" s="324">
        <f t="shared" si="14"/>
        <v>0</v>
      </c>
      <c r="AL32" s="324">
        <f t="shared" si="15"/>
        <v>0</v>
      </c>
      <c r="AM32" s="248"/>
      <c r="AN32" s="250">
        <f t="shared" si="19"/>
        <v>0</v>
      </c>
      <c r="AO32" s="250">
        <f t="shared" si="19"/>
        <v>0</v>
      </c>
      <c r="AP32" s="250">
        <f t="shared" si="19"/>
        <v>100000</v>
      </c>
      <c r="AQ32" s="250">
        <f t="shared" si="19"/>
        <v>0</v>
      </c>
      <c r="AR32" s="250">
        <f t="shared" si="19"/>
        <v>0</v>
      </c>
      <c r="AS32" s="250">
        <f t="shared" si="19"/>
        <v>0</v>
      </c>
      <c r="AT32" s="250">
        <f t="shared" si="19"/>
        <v>0</v>
      </c>
      <c r="AU32" s="250">
        <f t="shared" si="19"/>
        <v>0</v>
      </c>
      <c r="AV32" s="250">
        <f t="shared" si="19"/>
        <v>0</v>
      </c>
      <c r="AW32" s="250">
        <f t="shared" si="19"/>
        <v>0</v>
      </c>
      <c r="AX32" s="250">
        <f t="shared" si="19"/>
        <v>0</v>
      </c>
      <c r="AY32" s="250">
        <f t="shared" si="19"/>
        <v>0</v>
      </c>
      <c r="AZ32" s="250">
        <f t="shared" si="19"/>
        <v>0</v>
      </c>
      <c r="BA32" s="250">
        <f t="shared" si="19"/>
        <v>0</v>
      </c>
      <c r="BB32" s="250">
        <f t="shared" si="19"/>
        <v>0</v>
      </c>
      <c r="BD32" s="243">
        <f aca="true" t="shared" si="20" ref="BD32:BD38">SUM(X32:AL32)-SUM(AN32:BB32)</f>
        <v>0</v>
      </c>
    </row>
    <row r="33" spans="1:56" ht="15">
      <c r="A33" t="s">
        <v>178</v>
      </c>
      <c r="B33" s="267"/>
      <c r="C33" s="258"/>
      <c r="D33" s="242">
        <v>200000</v>
      </c>
      <c r="E33" t="s">
        <v>226</v>
      </c>
      <c r="Q33" s="240">
        <v>0.25</v>
      </c>
      <c r="R33" s="240">
        <v>0.25</v>
      </c>
      <c r="S33" s="240">
        <v>0.25</v>
      </c>
      <c r="T33" s="240">
        <v>0.25</v>
      </c>
      <c r="U33" s="322">
        <f t="shared" si="0"/>
        <v>1</v>
      </c>
      <c r="V33" s="319"/>
      <c r="W33" s="319"/>
      <c r="X33" s="324">
        <f t="shared" si="1"/>
        <v>0</v>
      </c>
      <c r="Y33" s="324">
        <f t="shared" si="2"/>
        <v>0</v>
      </c>
      <c r="Z33" s="324">
        <f t="shared" si="3"/>
        <v>0</v>
      </c>
      <c r="AA33" s="324">
        <f t="shared" si="4"/>
        <v>0</v>
      </c>
      <c r="AB33" s="324">
        <f t="shared" si="5"/>
        <v>0</v>
      </c>
      <c r="AC33" s="324">
        <f t="shared" si="6"/>
        <v>0</v>
      </c>
      <c r="AD33" s="324">
        <f t="shared" si="7"/>
        <v>0</v>
      </c>
      <c r="AE33" s="324">
        <f t="shared" si="8"/>
        <v>0</v>
      </c>
      <c r="AF33" s="324">
        <f t="shared" si="9"/>
        <v>0</v>
      </c>
      <c r="AG33" s="324">
        <f t="shared" si="10"/>
        <v>0</v>
      </c>
      <c r="AH33" s="324">
        <f t="shared" si="11"/>
        <v>0</v>
      </c>
      <c r="AI33" s="324">
        <f t="shared" si="12"/>
        <v>50000</v>
      </c>
      <c r="AJ33" s="324">
        <f t="shared" si="13"/>
        <v>50000</v>
      </c>
      <c r="AK33" s="324">
        <f t="shared" si="14"/>
        <v>50000</v>
      </c>
      <c r="AL33" s="324">
        <f t="shared" si="15"/>
        <v>50000</v>
      </c>
      <c r="AM33" s="248"/>
      <c r="AN33" s="250">
        <f t="shared" si="19"/>
        <v>0</v>
      </c>
      <c r="AO33" s="250">
        <f t="shared" si="19"/>
        <v>0</v>
      </c>
      <c r="AP33" s="250">
        <f t="shared" si="19"/>
        <v>0</v>
      </c>
      <c r="AQ33" s="250">
        <f t="shared" si="19"/>
        <v>0</v>
      </c>
      <c r="AR33" s="250">
        <f t="shared" si="19"/>
        <v>0</v>
      </c>
      <c r="AS33" s="250">
        <f t="shared" si="19"/>
        <v>0</v>
      </c>
      <c r="AT33" s="250">
        <f t="shared" si="19"/>
        <v>0</v>
      </c>
      <c r="AU33" s="250">
        <f t="shared" si="19"/>
        <v>0</v>
      </c>
      <c r="AV33" s="250">
        <f t="shared" si="19"/>
        <v>0</v>
      </c>
      <c r="AW33" s="250">
        <f t="shared" si="19"/>
        <v>0</v>
      </c>
      <c r="AX33" s="250">
        <f t="shared" si="19"/>
        <v>0</v>
      </c>
      <c r="AY33" s="250">
        <f t="shared" si="19"/>
        <v>0</v>
      </c>
      <c r="AZ33" s="250">
        <f t="shared" si="19"/>
        <v>0</v>
      </c>
      <c r="BA33" s="250">
        <f t="shared" si="19"/>
        <v>0</v>
      </c>
      <c r="BB33" s="250">
        <f t="shared" si="19"/>
        <v>200000</v>
      </c>
      <c r="BD33" s="243">
        <f t="shared" si="20"/>
        <v>0</v>
      </c>
    </row>
    <row r="34" spans="1:56" ht="15">
      <c r="A34" t="s">
        <v>179</v>
      </c>
      <c r="B34" s="267"/>
      <c r="C34" s="258"/>
      <c r="D34" s="242">
        <v>100000</v>
      </c>
      <c r="E34" t="s">
        <v>206</v>
      </c>
      <c r="L34" s="322">
        <v>0.25</v>
      </c>
      <c r="M34" s="322">
        <v>0.25</v>
      </c>
      <c r="N34" s="322">
        <v>0.25</v>
      </c>
      <c r="O34" s="322">
        <v>0.25</v>
      </c>
      <c r="Q34" s="319"/>
      <c r="R34" s="319"/>
      <c r="S34" s="319"/>
      <c r="T34" s="319"/>
      <c r="U34" s="322">
        <f t="shared" si="0"/>
        <v>1</v>
      </c>
      <c r="V34" s="319"/>
      <c r="W34" s="319"/>
      <c r="X34" s="250">
        <f t="shared" si="1"/>
        <v>0</v>
      </c>
      <c r="Y34" s="250">
        <f t="shared" si="2"/>
        <v>0</v>
      </c>
      <c r="Z34" s="250">
        <f t="shared" si="3"/>
        <v>0</v>
      </c>
      <c r="AA34" s="250">
        <f t="shared" si="4"/>
        <v>0</v>
      </c>
      <c r="AB34" s="250">
        <f t="shared" si="5"/>
        <v>0</v>
      </c>
      <c r="AC34" s="250">
        <f t="shared" si="6"/>
        <v>0</v>
      </c>
      <c r="AD34" s="250">
        <f t="shared" si="7"/>
        <v>25000</v>
      </c>
      <c r="AE34" s="250">
        <f t="shared" si="8"/>
        <v>25000</v>
      </c>
      <c r="AF34" s="250">
        <f t="shared" si="9"/>
        <v>25000</v>
      </c>
      <c r="AG34" s="250">
        <f t="shared" si="10"/>
        <v>25000</v>
      </c>
      <c r="AH34" s="250">
        <f t="shared" si="11"/>
        <v>0</v>
      </c>
      <c r="AI34" s="250">
        <f t="shared" si="12"/>
        <v>0</v>
      </c>
      <c r="AJ34" s="250">
        <f t="shared" si="13"/>
        <v>0</v>
      </c>
      <c r="AK34" s="250">
        <f t="shared" si="14"/>
        <v>0</v>
      </c>
      <c r="AL34" s="250">
        <f t="shared" si="15"/>
        <v>0</v>
      </c>
      <c r="AM34" s="248"/>
      <c r="AN34" s="250">
        <f t="shared" si="19"/>
        <v>0</v>
      </c>
      <c r="AO34" s="250">
        <f t="shared" si="19"/>
        <v>0</v>
      </c>
      <c r="AP34" s="250">
        <f t="shared" si="19"/>
        <v>0</v>
      </c>
      <c r="AQ34" s="250">
        <f t="shared" si="19"/>
        <v>0</v>
      </c>
      <c r="AR34" s="250">
        <f t="shared" si="19"/>
        <v>0</v>
      </c>
      <c r="AS34" s="250">
        <f t="shared" si="19"/>
        <v>0</v>
      </c>
      <c r="AT34" s="250">
        <f t="shared" si="19"/>
        <v>100000</v>
      </c>
      <c r="AU34" s="250">
        <f t="shared" si="19"/>
        <v>0</v>
      </c>
      <c r="AV34" s="250">
        <f t="shared" si="19"/>
        <v>0</v>
      </c>
      <c r="AW34" s="250">
        <f t="shared" si="19"/>
        <v>0</v>
      </c>
      <c r="AX34" s="250">
        <f t="shared" si="19"/>
        <v>0</v>
      </c>
      <c r="AY34" s="250">
        <f t="shared" si="19"/>
        <v>0</v>
      </c>
      <c r="AZ34" s="250">
        <f t="shared" si="19"/>
        <v>0</v>
      </c>
      <c r="BA34" s="250">
        <f t="shared" si="19"/>
        <v>0</v>
      </c>
      <c r="BB34" s="250">
        <f t="shared" si="19"/>
        <v>0</v>
      </c>
      <c r="BD34" s="243">
        <f t="shared" si="20"/>
        <v>0</v>
      </c>
    </row>
    <row r="35" spans="1:56" s="319" customFormat="1" ht="15">
      <c r="A35" s="319" t="s">
        <v>179</v>
      </c>
      <c r="B35" s="267"/>
      <c r="C35" s="258"/>
      <c r="D35" s="242">
        <v>200000</v>
      </c>
      <c r="E35" s="319" t="s">
        <v>226</v>
      </c>
      <c r="Q35" s="322">
        <v>0.25</v>
      </c>
      <c r="R35" s="322">
        <v>0.25</v>
      </c>
      <c r="S35" s="322">
        <v>0.25</v>
      </c>
      <c r="T35" s="322">
        <v>0.25</v>
      </c>
      <c r="U35" s="322">
        <f t="shared" si="0"/>
        <v>1</v>
      </c>
      <c r="X35" s="324">
        <f t="shared" si="1"/>
        <v>0</v>
      </c>
      <c r="Y35" s="324">
        <f t="shared" si="2"/>
        <v>0</v>
      </c>
      <c r="Z35" s="324">
        <f t="shared" si="3"/>
        <v>0</v>
      </c>
      <c r="AA35" s="324">
        <f t="shared" si="4"/>
        <v>0</v>
      </c>
      <c r="AB35" s="324">
        <f t="shared" si="5"/>
        <v>0</v>
      </c>
      <c r="AC35" s="324">
        <f t="shared" si="6"/>
        <v>0</v>
      </c>
      <c r="AD35" s="324">
        <f t="shared" si="7"/>
        <v>0</v>
      </c>
      <c r="AE35" s="324">
        <f t="shared" si="8"/>
        <v>0</v>
      </c>
      <c r="AF35" s="324">
        <f t="shared" si="9"/>
        <v>0</v>
      </c>
      <c r="AG35" s="324">
        <f t="shared" si="10"/>
        <v>0</v>
      </c>
      <c r="AH35" s="324">
        <f t="shared" si="11"/>
        <v>0</v>
      </c>
      <c r="AI35" s="324">
        <f t="shared" si="12"/>
        <v>50000</v>
      </c>
      <c r="AJ35" s="324">
        <f t="shared" si="13"/>
        <v>50000</v>
      </c>
      <c r="AK35" s="324">
        <f t="shared" si="14"/>
        <v>50000</v>
      </c>
      <c r="AL35" s="324">
        <f t="shared" si="15"/>
        <v>50000</v>
      </c>
      <c r="AM35" s="248"/>
      <c r="AN35" s="324">
        <f t="shared" si="19"/>
        <v>0</v>
      </c>
      <c r="AO35" s="324">
        <f t="shared" si="19"/>
        <v>0</v>
      </c>
      <c r="AP35" s="324">
        <f t="shared" si="19"/>
        <v>0</v>
      </c>
      <c r="AQ35" s="324">
        <f t="shared" si="19"/>
        <v>0</v>
      </c>
      <c r="AR35" s="324">
        <f t="shared" si="19"/>
        <v>0</v>
      </c>
      <c r="AS35" s="324">
        <f t="shared" si="19"/>
        <v>0</v>
      </c>
      <c r="AT35" s="324">
        <f t="shared" si="19"/>
        <v>0</v>
      </c>
      <c r="AU35" s="324">
        <f t="shared" si="19"/>
        <v>0</v>
      </c>
      <c r="AV35" s="324">
        <f t="shared" si="19"/>
        <v>0</v>
      </c>
      <c r="AW35" s="324">
        <f t="shared" si="19"/>
        <v>0</v>
      </c>
      <c r="AX35" s="324">
        <f t="shared" si="19"/>
        <v>0</v>
      </c>
      <c r="AY35" s="324">
        <f t="shared" si="19"/>
        <v>0</v>
      </c>
      <c r="AZ35" s="324">
        <f t="shared" si="19"/>
        <v>0</v>
      </c>
      <c r="BA35" s="324">
        <f t="shared" si="19"/>
        <v>0</v>
      </c>
      <c r="BB35" s="324">
        <f t="shared" si="19"/>
        <v>200000</v>
      </c>
      <c r="BD35" s="323">
        <f t="shared" si="20"/>
        <v>0</v>
      </c>
    </row>
    <row r="36" spans="1:56" s="319" customFormat="1" ht="15">
      <c r="A36" s="319" t="s">
        <v>180</v>
      </c>
      <c r="B36" s="267"/>
      <c r="C36" s="258"/>
      <c r="D36" s="242">
        <v>200000</v>
      </c>
      <c r="E36" s="319" t="s">
        <v>226</v>
      </c>
      <c r="Q36" s="322">
        <v>0.25</v>
      </c>
      <c r="R36" s="322">
        <v>0.25</v>
      </c>
      <c r="S36" s="322">
        <v>0.25</v>
      </c>
      <c r="T36" s="322">
        <v>0.25</v>
      </c>
      <c r="U36" s="322">
        <f t="shared" si="0"/>
        <v>1</v>
      </c>
      <c r="X36" s="324">
        <f t="shared" si="1"/>
        <v>0</v>
      </c>
      <c r="Y36" s="324">
        <f t="shared" si="2"/>
        <v>0</v>
      </c>
      <c r="Z36" s="324">
        <f t="shared" si="3"/>
        <v>0</v>
      </c>
      <c r="AA36" s="324">
        <f t="shared" si="4"/>
        <v>0</v>
      </c>
      <c r="AB36" s="324">
        <f t="shared" si="5"/>
        <v>0</v>
      </c>
      <c r="AC36" s="324">
        <f t="shared" si="6"/>
        <v>0</v>
      </c>
      <c r="AD36" s="324">
        <f t="shared" si="7"/>
        <v>0</v>
      </c>
      <c r="AE36" s="324">
        <f t="shared" si="8"/>
        <v>0</v>
      </c>
      <c r="AF36" s="324">
        <f t="shared" si="9"/>
        <v>0</v>
      </c>
      <c r="AG36" s="324">
        <f t="shared" si="10"/>
        <v>0</v>
      </c>
      <c r="AH36" s="324">
        <f t="shared" si="11"/>
        <v>0</v>
      </c>
      <c r="AI36" s="324">
        <f t="shared" si="12"/>
        <v>50000</v>
      </c>
      <c r="AJ36" s="324">
        <f t="shared" si="13"/>
        <v>50000</v>
      </c>
      <c r="AK36" s="324">
        <f t="shared" si="14"/>
        <v>50000</v>
      </c>
      <c r="AL36" s="324">
        <f t="shared" si="15"/>
        <v>50000</v>
      </c>
      <c r="AM36" s="248"/>
      <c r="AN36" s="324">
        <f t="shared" si="19"/>
        <v>0</v>
      </c>
      <c r="AO36" s="324">
        <f t="shared" si="19"/>
        <v>0</v>
      </c>
      <c r="AP36" s="324">
        <f t="shared" si="19"/>
        <v>0</v>
      </c>
      <c r="AQ36" s="324">
        <f t="shared" si="19"/>
        <v>0</v>
      </c>
      <c r="AR36" s="324">
        <f t="shared" si="19"/>
        <v>0</v>
      </c>
      <c r="AS36" s="324">
        <f t="shared" si="19"/>
        <v>0</v>
      </c>
      <c r="AT36" s="324">
        <f t="shared" si="19"/>
        <v>0</v>
      </c>
      <c r="AU36" s="324">
        <f t="shared" si="19"/>
        <v>0</v>
      </c>
      <c r="AV36" s="324">
        <f t="shared" si="19"/>
        <v>0</v>
      </c>
      <c r="AW36" s="324">
        <f t="shared" si="19"/>
        <v>0</v>
      </c>
      <c r="AX36" s="324">
        <f t="shared" si="19"/>
        <v>0</v>
      </c>
      <c r="AY36" s="324">
        <f t="shared" si="19"/>
        <v>0</v>
      </c>
      <c r="AZ36" s="324">
        <f t="shared" si="19"/>
        <v>0</v>
      </c>
      <c r="BA36" s="324">
        <f t="shared" si="19"/>
        <v>0</v>
      </c>
      <c r="BB36" s="324">
        <f t="shared" si="19"/>
        <v>200000</v>
      </c>
      <c r="BD36" s="323">
        <f t="shared" si="20"/>
        <v>0</v>
      </c>
    </row>
    <row r="37" spans="1:56" s="319" customFormat="1" ht="15">
      <c r="A37" s="319" t="s">
        <v>183</v>
      </c>
      <c r="B37" s="267"/>
      <c r="C37" s="258"/>
      <c r="D37" s="268">
        <v>150000</v>
      </c>
      <c r="E37" s="319" t="s">
        <v>212</v>
      </c>
      <c r="K37" s="246"/>
      <c r="L37" s="246">
        <f>1/6</f>
        <v>0.16666666666666666</v>
      </c>
      <c r="M37" s="246">
        <f>1/6</f>
        <v>0.16666666666666666</v>
      </c>
      <c r="P37" s="246">
        <f>1/6</f>
        <v>0.16666666666666666</v>
      </c>
      <c r="Q37" s="246">
        <f>1/6</f>
        <v>0.16666666666666666</v>
      </c>
      <c r="T37" s="246">
        <f>1/3</f>
        <v>0.3333333333333333</v>
      </c>
      <c r="U37" s="322">
        <f t="shared" si="0"/>
        <v>1</v>
      </c>
      <c r="X37" s="324">
        <f t="shared" si="1"/>
        <v>0</v>
      </c>
      <c r="Y37" s="324">
        <f t="shared" si="2"/>
        <v>0</v>
      </c>
      <c r="Z37" s="324">
        <f t="shared" si="3"/>
        <v>0</v>
      </c>
      <c r="AA37" s="324">
        <f t="shared" si="4"/>
        <v>0</v>
      </c>
      <c r="AB37" s="324">
        <f t="shared" si="5"/>
        <v>0</v>
      </c>
      <c r="AC37" s="324">
        <f t="shared" si="6"/>
        <v>0</v>
      </c>
      <c r="AD37" s="324">
        <f t="shared" si="7"/>
        <v>25000</v>
      </c>
      <c r="AE37" s="324">
        <f t="shared" si="8"/>
        <v>25000</v>
      </c>
      <c r="AF37" s="324">
        <f t="shared" si="9"/>
        <v>0</v>
      </c>
      <c r="AG37" s="324">
        <f t="shared" si="10"/>
        <v>0</v>
      </c>
      <c r="AH37" s="324">
        <f t="shared" si="11"/>
        <v>25000</v>
      </c>
      <c r="AI37" s="324">
        <f t="shared" si="12"/>
        <v>25000</v>
      </c>
      <c r="AJ37" s="324">
        <f t="shared" si="13"/>
        <v>0</v>
      </c>
      <c r="AK37" s="324">
        <f t="shared" si="14"/>
        <v>0</v>
      </c>
      <c r="AL37" s="324">
        <f t="shared" si="15"/>
        <v>50000</v>
      </c>
      <c r="AM37" s="248"/>
      <c r="AN37" s="324">
        <f t="shared" si="19"/>
        <v>0</v>
      </c>
      <c r="AO37" s="324">
        <f t="shared" si="19"/>
        <v>0</v>
      </c>
      <c r="AP37" s="324">
        <f t="shared" si="19"/>
        <v>0</v>
      </c>
      <c r="AQ37" s="324">
        <f t="shared" si="19"/>
        <v>0</v>
      </c>
      <c r="AR37" s="324">
        <f t="shared" si="19"/>
        <v>150000</v>
      </c>
      <c r="AS37" s="324">
        <f t="shared" si="19"/>
        <v>0</v>
      </c>
      <c r="AT37" s="324">
        <f t="shared" si="19"/>
        <v>0</v>
      </c>
      <c r="AU37" s="324">
        <f t="shared" si="19"/>
        <v>0</v>
      </c>
      <c r="AV37" s="324">
        <f t="shared" si="19"/>
        <v>0</v>
      </c>
      <c r="AW37" s="324">
        <f t="shared" si="19"/>
        <v>0</v>
      </c>
      <c r="AX37" s="324">
        <f t="shared" si="19"/>
        <v>0</v>
      </c>
      <c r="AY37" s="324">
        <f t="shared" si="19"/>
        <v>0</v>
      </c>
      <c r="AZ37" s="324">
        <f t="shared" si="19"/>
        <v>0</v>
      </c>
      <c r="BA37" s="324">
        <f t="shared" si="19"/>
        <v>0</v>
      </c>
      <c r="BB37" s="324">
        <f t="shared" si="19"/>
        <v>0</v>
      </c>
      <c r="BD37" s="323">
        <f t="shared" si="20"/>
        <v>0</v>
      </c>
    </row>
    <row r="38" spans="1:56" s="319" customFormat="1" ht="15">
      <c r="A38" s="319" t="s">
        <v>184</v>
      </c>
      <c r="B38" s="267"/>
      <c r="C38" s="258"/>
      <c r="D38" s="318">
        <f>7500+4000</f>
        <v>11500</v>
      </c>
      <c r="E38" s="319" t="s">
        <v>211</v>
      </c>
      <c r="G38" s="322">
        <v>1</v>
      </c>
      <c r="U38" s="322">
        <f t="shared" si="0"/>
        <v>1</v>
      </c>
      <c r="X38" s="324">
        <f t="shared" si="1"/>
        <v>0</v>
      </c>
      <c r="Y38" s="324">
        <f t="shared" si="2"/>
        <v>11500</v>
      </c>
      <c r="Z38" s="324">
        <f t="shared" si="3"/>
        <v>0</v>
      </c>
      <c r="AA38" s="324">
        <f t="shared" si="4"/>
        <v>0</v>
      </c>
      <c r="AB38" s="324">
        <f t="shared" si="5"/>
        <v>0</v>
      </c>
      <c r="AC38" s="324">
        <f t="shared" si="6"/>
        <v>0</v>
      </c>
      <c r="AD38" s="324">
        <f t="shared" si="7"/>
        <v>0</v>
      </c>
      <c r="AE38" s="324">
        <f t="shared" si="8"/>
        <v>0</v>
      </c>
      <c r="AF38" s="324">
        <f t="shared" si="9"/>
        <v>0</v>
      </c>
      <c r="AG38" s="324">
        <f t="shared" si="10"/>
        <v>0</v>
      </c>
      <c r="AH38" s="324">
        <f t="shared" si="11"/>
        <v>0</v>
      </c>
      <c r="AI38" s="324">
        <f t="shared" si="12"/>
        <v>0</v>
      </c>
      <c r="AJ38" s="324">
        <f t="shared" si="13"/>
        <v>0</v>
      </c>
      <c r="AK38" s="324">
        <f t="shared" si="14"/>
        <v>0</v>
      </c>
      <c r="AL38" s="324">
        <f t="shared" si="15"/>
        <v>0</v>
      </c>
      <c r="AM38" s="248"/>
      <c r="AN38" s="324">
        <f t="shared" si="19"/>
        <v>0</v>
      </c>
      <c r="AO38" s="324">
        <f t="shared" si="19"/>
        <v>11500</v>
      </c>
      <c r="AP38" s="324">
        <f t="shared" si="19"/>
        <v>0</v>
      </c>
      <c r="AQ38" s="324">
        <f t="shared" si="19"/>
        <v>0</v>
      </c>
      <c r="AR38" s="324">
        <f t="shared" si="19"/>
        <v>0</v>
      </c>
      <c r="AS38" s="324">
        <f t="shared" si="19"/>
        <v>0</v>
      </c>
      <c r="AT38" s="324">
        <f t="shared" si="19"/>
        <v>0</v>
      </c>
      <c r="AU38" s="324">
        <f t="shared" si="19"/>
        <v>0</v>
      </c>
      <c r="AV38" s="324">
        <f t="shared" si="19"/>
        <v>0</v>
      </c>
      <c r="AW38" s="324">
        <f t="shared" si="19"/>
        <v>0</v>
      </c>
      <c r="AX38" s="324">
        <f t="shared" si="19"/>
        <v>0</v>
      </c>
      <c r="AY38" s="324">
        <f t="shared" si="19"/>
        <v>0</v>
      </c>
      <c r="AZ38" s="324">
        <f t="shared" si="19"/>
        <v>0</v>
      </c>
      <c r="BA38" s="324">
        <f t="shared" si="19"/>
        <v>0</v>
      </c>
      <c r="BB38" s="324">
        <f t="shared" si="19"/>
        <v>0</v>
      </c>
      <c r="BD38" s="323">
        <f t="shared" si="20"/>
        <v>0</v>
      </c>
    </row>
    <row r="39" spans="2:56" s="319" customFormat="1" ht="15">
      <c r="B39" s="267"/>
      <c r="C39" s="258"/>
      <c r="D39" s="242"/>
      <c r="Q39" s="322"/>
      <c r="R39" s="322"/>
      <c r="S39" s="322"/>
      <c r="T39" s="322"/>
      <c r="U39" s="322"/>
      <c r="X39" s="324"/>
      <c r="Y39" s="324"/>
      <c r="Z39" s="324"/>
      <c r="AA39" s="324"/>
      <c r="AB39" s="324"/>
      <c r="AC39" s="324"/>
      <c r="AD39" s="324"/>
      <c r="AE39" s="324"/>
      <c r="AF39" s="324"/>
      <c r="AG39" s="324"/>
      <c r="AH39" s="324"/>
      <c r="AI39" s="324"/>
      <c r="AJ39" s="324"/>
      <c r="AK39" s="324"/>
      <c r="AL39" s="324"/>
      <c r="AM39" s="248"/>
      <c r="AN39" s="324"/>
      <c r="AO39" s="324"/>
      <c r="AP39" s="324"/>
      <c r="AQ39" s="324"/>
      <c r="AR39" s="324"/>
      <c r="AS39" s="324"/>
      <c r="AT39" s="324"/>
      <c r="AU39" s="324"/>
      <c r="AV39" s="324"/>
      <c r="AW39" s="324"/>
      <c r="AX39" s="324"/>
      <c r="AY39" s="324"/>
      <c r="AZ39" s="324"/>
      <c r="BA39" s="324"/>
      <c r="BB39" s="324"/>
      <c r="BD39" s="323"/>
    </row>
    <row r="40" spans="2:56" ht="15">
      <c r="B40" s="245"/>
      <c r="D40" s="242"/>
      <c r="V40" s="319"/>
      <c r="W40" s="319"/>
      <c r="X40" s="250">
        <f aca="true" t="shared" si="21" ref="X40">F40*$D40</f>
        <v>0</v>
      </c>
      <c r="Y40" s="250">
        <f aca="true" t="shared" si="22" ref="Y40">G40*$D40</f>
        <v>0</v>
      </c>
      <c r="Z40" s="250">
        <f aca="true" t="shared" si="23" ref="Z40">H40*$D40</f>
        <v>0</v>
      </c>
      <c r="AA40" s="250">
        <f aca="true" t="shared" si="24" ref="AA40">I40*$D40</f>
        <v>0</v>
      </c>
      <c r="AB40" s="250">
        <f aca="true" t="shared" si="25" ref="AB40">J40*$D40</f>
        <v>0</v>
      </c>
      <c r="AC40" s="250">
        <f aca="true" t="shared" si="26" ref="AC40">K40*$D40</f>
        <v>0</v>
      </c>
      <c r="AD40" s="250">
        <f aca="true" t="shared" si="27" ref="AD40">L40*$D40</f>
        <v>0</v>
      </c>
      <c r="AE40" s="250">
        <f aca="true" t="shared" si="28" ref="AE40">M40*$D40</f>
        <v>0</v>
      </c>
      <c r="AF40" s="250">
        <f aca="true" t="shared" si="29" ref="AF40">N40*$D40</f>
        <v>0</v>
      </c>
      <c r="AG40" s="250">
        <f aca="true" t="shared" si="30" ref="AG40">O40*$D40</f>
        <v>0</v>
      </c>
      <c r="AH40" s="250">
        <f aca="true" t="shared" si="31" ref="AH40">P40*$D40</f>
        <v>0</v>
      </c>
      <c r="AI40" s="250">
        <f aca="true" t="shared" si="32" ref="AI40">Q40*$D40</f>
        <v>0</v>
      </c>
      <c r="AJ40" s="250">
        <f aca="true" t="shared" si="33" ref="AJ40">R40*$D40</f>
        <v>0</v>
      </c>
      <c r="AK40" s="250">
        <f aca="true" t="shared" si="34" ref="AK40">S40*$D40</f>
        <v>0</v>
      </c>
      <c r="AL40" s="250">
        <f aca="true" t="shared" si="35" ref="AL40">T40*$D40</f>
        <v>0</v>
      </c>
      <c r="AM40" s="248"/>
      <c r="AN40" s="250">
        <f aca="true" t="shared" si="36" ref="AN40:BB40">IF(AN$3=$E40,$D40,0)</f>
        <v>0</v>
      </c>
      <c r="AO40" s="250">
        <f t="shared" si="36"/>
        <v>0</v>
      </c>
      <c r="AP40" s="250">
        <f t="shared" si="36"/>
        <v>0</v>
      </c>
      <c r="AQ40" s="250">
        <f t="shared" si="36"/>
        <v>0</v>
      </c>
      <c r="AR40" s="250">
        <f t="shared" si="36"/>
        <v>0</v>
      </c>
      <c r="AS40" s="250">
        <f t="shared" si="36"/>
        <v>0</v>
      </c>
      <c r="AT40" s="250">
        <f t="shared" si="36"/>
        <v>0</v>
      </c>
      <c r="AU40" s="250">
        <f t="shared" si="36"/>
        <v>0</v>
      </c>
      <c r="AV40" s="250">
        <f t="shared" si="36"/>
        <v>0</v>
      </c>
      <c r="AW40" s="250">
        <f t="shared" si="36"/>
        <v>0</v>
      </c>
      <c r="AX40" s="250">
        <f t="shared" si="36"/>
        <v>0</v>
      </c>
      <c r="AY40" s="250">
        <f t="shared" si="36"/>
        <v>0</v>
      </c>
      <c r="AZ40" s="250">
        <f t="shared" si="36"/>
        <v>0</v>
      </c>
      <c r="BA40" s="250">
        <f t="shared" si="36"/>
        <v>0</v>
      </c>
      <c r="BB40" s="250">
        <f t="shared" si="36"/>
        <v>0</v>
      </c>
      <c r="BD40" s="243">
        <f aca="true" t="shared" si="37" ref="BD40:BD54">SUM(X40:AL40)-SUM(AN40:BB40)</f>
        <v>0</v>
      </c>
    </row>
    <row r="41" spans="4:56" ht="15">
      <c r="D41" t="s">
        <v>202</v>
      </c>
      <c r="F41" t="s">
        <v>185</v>
      </c>
      <c r="G41" t="s">
        <v>189</v>
      </c>
      <c r="H41" t="s">
        <v>190</v>
      </c>
      <c r="I41" t="s">
        <v>191</v>
      </c>
      <c r="J41" t="s">
        <v>192</v>
      </c>
      <c r="K41" t="s">
        <v>193</v>
      </c>
      <c r="L41" t="s">
        <v>194</v>
      </c>
      <c r="M41" t="s">
        <v>195</v>
      </c>
      <c r="N41" t="s">
        <v>196</v>
      </c>
      <c r="O41" t="s">
        <v>197</v>
      </c>
      <c r="P41" t="s">
        <v>198</v>
      </c>
      <c r="Q41" t="s">
        <v>199</v>
      </c>
      <c r="R41" t="s">
        <v>200</v>
      </c>
      <c r="S41" t="s">
        <v>201</v>
      </c>
      <c r="T41" t="s">
        <v>203</v>
      </c>
      <c r="U41" t="s">
        <v>202</v>
      </c>
      <c r="V41" s="319"/>
      <c r="W41" s="319"/>
      <c r="X41" s="250"/>
      <c r="Y41" s="250"/>
      <c r="Z41" s="250"/>
      <c r="AA41" s="250"/>
      <c r="AB41" s="250"/>
      <c r="AC41" s="250"/>
      <c r="AD41" s="250"/>
      <c r="AE41" s="250"/>
      <c r="AF41" s="250"/>
      <c r="AG41" s="250"/>
      <c r="AH41" s="250"/>
      <c r="AI41" s="250"/>
      <c r="AJ41" s="250"/>
      <c r="AK41" s="250"/>
      <c r="AL41" s="250"/>
      <c r="AM41" s="248"/>
      <c r="AN41" s="248"/>
      <c r="AO41" s="248"/>
      <c r="AP41" s="248"/>
      <c r="AQ41" s="248"/>
      <c r="AR41" s="248"/>
      <c r="AS41" s="248"/>
      <c r="AT41" s="248"/>
      <c r="AU41" s="248"/>
      <c r="AV41" s="248"/>
      <c r="AW41" s="248"/>
      <c r="AX41" s="248"/>
      <c r="AY41" s="248"/>
      <c r="AZ41" s="248"/>
      <c r="BA41" s="248"/>
      <c r="BB41" s="248"/>
      <c r="BD41" s="243">
        <f t="shared" si="37"/>
        <v>0</v>
      </c>
    </row>
    <row r="42" spans="1:56" ht="15">
      <c r="A42" s="244" t="s">
        <v>208</v>
      </c>
      <c r="B42" s="244"/>
      <c r="D42" s="242"/>
      <c r="V42" s="319"/>
      <c r="W42" s="319"/>
      <c r="X42" s="262"/>
      <c r="Y42" s="250"/>
      <c r="Z42" s="250"/>
      <c r="AA42" s="250"/>
      <c r="AB42" s="250"/>
      <c r="AC42" s="250"/>
      <c r="AD42" s="250"/>
      <c r="AE42" s="250"/>
      <c r="AF42" s="250"/>
      <c r="AG42" s="250"/>
      <c r="AH42" s="250"/>
      <c r="AI42" s="250"/>
      <c r="AJ42" s="250"/>
      <c r="AK42" s="250"/>
      <c r="AL42" s="250"/>
      <c r="AM42" s="248"/>
      <c r="AN42" s="247" t="s">
        <v>185</v>
      </c>
      <c r="AO42" s="247" t="s">
        <v>189</v>
      </c>
      <c r="AP42" s="247" t="s">
        <v>190</v>
      </c>
      <c r="AQ42" s="247" t="s">
        <v>191</v>
      </c>
      <c r="AR42" s="247" t="s">
        <v>185</v>
      </c>
      <c r="AS42" s="247" t="s">
        <v>189</v>
      </c>
      <c r="AT42" s="247" t="s">
        <v>190</v>
      </c>
      <c r="AU42" s="247" t="s">
        <v>191</v>
      </c>
      <c r="AV42" s="247" t="s">
        <v>185</v>
      </c>
      <c r="AW42" s="247" t="s">
        <v>189</v>
      </c>
      <c r="AX42" s="247" t="s">
        <v>190</v>
      </c>
      <c r="AY42" s="247" t="s">
        <v>191</v>
      </c>
      <c r="AZ42" s="247" t="s">
        <v>185</v>
      </c>
      <c r="BA42" s="247" t="s">
        <v>189</v>
      </c>
      <c r="BB42" s="247" t="s">
        <v>190</v>
      </c>
      <c r="BD42" s="243">
        <f t="shared" si="37"/>
        <v>0</v>
      </c>
    </row>
    <row r="43" spans="1:56" ht="15">
      <c r="A43" t="s">
        <v>171</v>
      </c>
      <c r="B43" s="255"/>
      <c r="D43" s="242">
        <f aca="true" t="shared" si="38" ref="D43:D49">SUM(F43:T43)</f>
        <v>195000</v>
      </c>
      <c r="E43" t="s">
        <v>204</v>
      </c>
      <c r="G43" s="326"/>
      <c r="H43" s="326">
        <v>15000</v>
      </c>
      <c r="I43" s="326">
        <v>15000</v>
      </c>
      <c r="J43" s="326">
        <v>15000</v>
      </c>
      <c r="K43" s="326">
        <v>15000</v>
      </c>
      <c r="L43" s="326">
        <v>15000</v>
      </c>
      <c r="M43" s="326">
        <v>15000</v>
      </c>
      <c r="N43" s="326">
        <v>15000</v>
      </c>
      <c r="O43" s="326">
        <v>15000</v>
      </c>
      <c r="P43" s="326">
        <v>15000</v>
      </c>
      <c r="Q43" s="326">
        <v>15000</v>
      </c>
      <c r="R43" s="326">
        <v>15000</v>
      </c>
      <c r="S43" s="326">
        <v>15000</v>
      </c>
      <c r="T43" s="326">
        <v>15000</v>
      </c>
      <c r="U43" s="326">
        <f>SUM(F43:T43)</f>
        <v>195000</v>
      </c>
      <c r="V43" s="319"/>
      <c r="W43" s="319"/>
      <c r="X43" s="262">
        <f aca="true" t="shared" si="39" ref="X43:X50">F43</f>
        <v>0</v>
      </c>
      <c r="Y43" s="250">
        <f aca="true" t="shared" si="40" ref="Y43:AL50">G43</f>
        <v>0</v>
      </c>
      <c r="Z43" s="250">
        <f t="shared" si="40"/>
        <v>15000</v>
      </c>
      <c r="AA43" s="250">
        <f t="shared" si="40"/>
        <v>15000</v>
      </c>
      <c r="AB43" s="250">
        <f t="shared" si="40"/>
        <v>15000</v>
      </c>
      <c r="AC43" s="250">
        <f t="shared" si="40"/>
        <v>15000</v>
      </c>
      <c r="AD43" s="250">
        <f t="shared" si="40"/>
        <v>15000</v>
      </c>
      <c r="AE43" s="250">
        <f t="shared" si="40"/>
        <v>15000</v>
      </c>
      <c r="AF43" s="250">
        <f t="shared" si="40"/>
        <v>15000</v>
      </c>
      <c r="AG43" s="250">
        <f t="shared" si="40"/>
        <v>15000</v>
      </c>
      <c r="AH43" s="250">
        <f t="shared" si="40"/>
        <v>15000</v>
      </c>
      <c r="AI43" s="250">
        <f t="shared" si="40"/>
        <v>15000</v>
      </c>
      <c r="AJ43" s="250">
        <f t="shared" si="40"/>
        <v>15000</v>
      </c>
      <c r="AK43" s="250">
        <f t="shared" si="40"/>
        <v>15000</v>
      </c>
      <c r="AL43" s="250">
        <f t="shared" si="40"/>
        <v>15000</v>
      </c>
      <c r="AM43" s="248"/>
      <c r="AN43" s="250">
        <f>IF(AN$42=$E43,SUM(X43:AA43),0)</f>
        <v>0</v>
      </c>
      <c r="AO43" s="250">
        <f aca="true" t="shared" si="41" ref="AO43:AY50">IF(AO$42=$E43,SUM(Y43:AB43),0)</f>
        <v>0</v>
      </c>
      <c r="AP43" s="250">
        <f t="shared" si="41"/>
        <v>60000</v>
      </c>
      <c r="AQ43" s="250">
        <f t="shared" si="41"/>
        <v>0</v>
      </c>
      <c r="AR43" s="250">
        <f t="shared" si="41"/>
        <v>0</v>
      </c>
      <c r="AS43" s="250">
        <f t="shared" si="41"/>
        <v>0</v>
      </c>
      <c r="AT43" s="250">
        <f t="shared" si="41"/>
        <v>60000</v>
      </c>
      <c r="AU43" s="250">
        <f t="shared" si="41"/>
        <v>0</v>
      </c>
      <c r="AV43" s="250">
        <f t="shared" si="41"/>
        <v>0</v>
      </c>
      <c r="AW43" s="250">
        <f t="shared" si="41"/>
        <v>0</v>
      </c>
      <c r="AX43" s="250">
        <f t="shared" si="41"/>
        <v>60000</v>
      </c>
      <c r="AY43" s="250">
        <f t="shared" si="41"/>
        <v>0</v>
      </c>
      <c r="AZ43" s="250">
        <f>IF(AZ$42=$E43,SUM(AJ43:$AL43),0)</f>
        <v>0</v>
      </c>
      <c r="BA43" s="250">
        <f>IF(BA$42=$E43,SUM(AK43:$AL43),0)</f>
        <v>0</v>
      </c>
      <c r="BB43" s="250">
        <f>IF(BB$42=$E43,SUM(AL43:$AL43),0)</f>
        <v>15000</v>
      </c>
      <c r="BD43" s="243">
        <f t="shared" si="37"/>
        <v>0</v>
      </c>
    </row>
    <row r="44" spans="1:56" ht="15">
      <c r="A44" t="s">
        <v>171</v>
      </c>
      <c r="B44" s="255"/>
      <c r="D44" s="242">
        <f t="shared" si="38"/>
        <v>84000</v>
      </c>
      <c r="E44" t="s">
        <v>211</v>
      </c>
      <c r="G44" s="326">
        <v>6000</v>
      </c>
      <c r="H44" s="326">
        <v>6000</v>
      </c>
      <c r="I44" s="326">
        <v>6000</v>
      </c>
      <c r="J44" s="326">
        <v>6000</v>
      </c>
      <c r="K44" s="326">
        <v>6000</v>
      </c>
      <c r="L44" s="326">
        <v>6000</v>
      </c>
      <c r="M44" s="326">
        <v>6000</v>
      </c>
      <c r="N44" s="326">
        <v>6000</v>
      </c>
      <c r="O44" s="326">
        <v>6000</v>
      </c>
      <c r="P44" s="326">
        <v>6000</v>
      </c>
      <c r="Q44" s="326">
        <v>6000</v>
      </c>
      <c r="R44" s="326">
        <v>6000</v>
      </c>
      <c r="S44" s="326">
        <v>6000</v>
      </c>
      <c r="T44" s="326">
        <v>6000</v>
      </c>
      <c r="U44" s="326">
        <f aca="true" t="shared" si="42" ref="U44:U54">SUM(F44:T44)</f>
        <v>84000</v>
      </c>
      <c r="V44" s="319"/>
      <c r="W44" s="319"/>
      <c r="X44" s="262">
        <f t="shared" si="39"/>
        <v>0</v>
      </c>
      <c r="Y44" s="250">
        <f t="shared" si="40"/>
        <v>6000</v>
      </c>
      <c r="Z44" s="250">
        <f t="shared" si="40"/>
        <v>6000</v>
      </c>
      <c r="AA44" s="250">
        <f t="shared" si="40"/>
        <v>6000</v>
      </c>
      <c r="AB44" s="250">
        <f t="shared" si="40"/>
        <v>6000</v>
      </c>
      <c r="AC44" s="250">
        <f t="shared" si="40"/>
        <v>6000</v>
      </c>
      <c r="AD44" s="250">
        <f t="shared" si="40"/>
        <v>6000</v>
      </c>
      <c r="AE44" s="250">
        <f t="shared" si="40"/>
        <v>6000</v>
      </c>
      <c r="AF44" s="250">
        <f t="shared" si="40"/>
        <v>6000</v>
      </c>
      <c r="AG44" s="250">
        <f t="shared" si="40"/>
        <v>6000</v>
      </c>
      <c r="AH44" s="250">
        <f t="shared" si="40"/>
        <v>6000</v>
      </c>
      <c r="AI44" s="250">
        <f t="shared" si="40"/>
        <v>6000</v>
      </c>
      <c r="AJ44" s="250">
        <f t="shared" si="40"/>
        <v>6000</v>
      </c>
      <c r="AK44" s="250">
        <f t="shared" si="40"/>
        <v>6000</v>
      </c>
      <c r="AL44" s="250">
        <f t="shared" si="40"/>
        <v>6000</v>
      </c>
      <c r="AM44" s="248"/>
      <c r="AN44" s="250">
        <f aca="true" t="shared" si="43" ref="AN44:AN50">IF(AN$42=$E44,SUM(X44:AA44),0)</f>
        <v>0</v>
      </c>
      <c r="AO44" s="250">
        <f t="shared" si="41"/>
        <v>24000</v>
      </c>
      <c r="AP44" s="250">
        <f t="shared" si="41"/>
        <v>0</v>
      </c>
      <c r="AQ44" s="250">
        <f t="shared" si="41"/>
        <v>0</v>
      </c>
      <c r="AR44" s="250">
        <f t="shared" si="41"/>
        <v>0</v>
      </c>
      <c r="AS44" s="250">
        <f t="shared" si="41"/>
        <v>24000</v>
      </c>
      <c r="AT44" s="250">
        <f t="shared" si="41"/>
        <v>0</v>
      </c>
      <c r="AU44" s="250">
        <f t="shared" si="41"/>
        <v>0</v>
      </c>
      <c r="AV44" s="250">
        <f t="shared" si="41"/>
        <v>0</v>
      </c>
      <c r="AW44" s="250">
        <f t="shared" si="41"/>
        <v>24000</v>
      </c>
      <c r="AX44" s="250">
        <f t="shared" si="41"/>
        <v>0</v>
      </c>
      <c r="AY44" s="250">
        <f t="shared" si="41"/>
        <v>0</v>
      </c>
      <c r="AZ44" s="250">
        <f>IF(AZ$42=$E44,SUM(AJ44:$AL44),0)</f>
        <v>0</v>
      </c>
      <c r="BA44" s="250">
        <f>IF(BA$42=$E44,SUM(AK44:$AL44),0)</f>
        <v>12000</v>
      </c>
      <c r="BB44" s="250">
        <f>IF(BB$42=$E44,SUM(AL44:$AL44),0)</f>
        <v>0</v>
      </c>
      <c r="BD44" s="243">
        <f t="shared" si="37"/>
        <v>0</v>
      </c>
    </row>
    <row r="45" spans="1:56" ht="15">
      <c r="A45" t="s">
        <v>181</v>
      </c>
      <c r="B45" s="267"/>
      <c r="D45" s="242">
        <f t="shared" si="38"/>
        <v>181000</v>
      </c>
      <c r="E45" t="s">
        <v>213</v>
      </c>
      <c r="F45" s="257">
        <v>10000</v>
      </c>
      <c r="G45" s="326">
        <f>15000</f>
        <v>15000</v>
      </c>
      <c r="H45" s="326">
        <v>12000</v>
      </c>
      <c r="I45" s="326">
        <v>12000</v>
      </c>
      <c r="J45" s="326">
        <v>12000</v>
      </c>
      <c r="K45" s="326">
        <v>12000</v>
      </c>
      <c r="L45" s="326">
        <v>12000</v>
      </c>
      <c r="M45" s="326">
        <v>12000</v>
      </c>
      <c r="N45" s="326">
        <v>12000</v>
      </c>
      <c r="O45" s="326">
        <v>12000</v>
      </c>
      <c r="P45" s="326">
        <v>12000</v>
      </c>
      <c r="Q45" s="326">
        <v>12000</v>
      </c>
      <c r="R45" s="326">
        <v>12000</v>
      </c>
      <c r="S45" s="326">
        <v>12000</v>
      </c>
      <c r="T45" s="326">
        <v>12000</v>
      </c>
      <c r="U45" s="326">
        <f t="shared" si="42"/>
        <v>181000</v>
      </c>
      <c r="V45" s="319"/>
      <c r="W45" s="319"/>
      <c r="X45" s="262">
        <f t="shared" si="39"/>
        <v>10000</v>
      </c>
      <c r="Y45" s="250">
        <f t="shared" si="40"/>
        <v>15000</v>
      </c>
      <c r="Z45" s="250">
        <f t="shared" si="40"/>
        <v>12000</v>
      </c>
      <c r="AA45" s="250">
        <f t="shared" si="40"/>
        <v>12000</v>
      </c>
      <c r="AB45" s="250">
        <f t="shared" si="40"/>
        <v>12000</v>
      </c>
      <c r="AC45" s="250">
        <f t="shared" si="40"/>
        <v>12000</v>
      </c>
      <c r="AD45" s="250">
        <f t="shared" si="40"/>
        <v>12000</v>
      </c>
      <c r="AE45" s="250">
        <f t="shared" si="40"/>
        <v>12000</v>
      </c>
      <c r="AF45" s="250">
        <f t="shared" si="40"/>
        <v>12000</v>
      </c>
      <c r="AG45" s="250">
        <f t="shared" si="40"/>
        <v>12000</v>
      </c>
      <c r="AH45" s="250">
        <f t="shared" si="40"/>
        <v>12000</v>
      </c>
      <c r="AI45" s="250">
        <f t="shared" si="40"/>
        <v>12000</v>
      </c>
      <c r="AJ45" s="250">
        <f t="shared" si="40"/>
        <v>12000</v>
      </c>
      <c r="AK45" s="250">
        <f t="shared" si="40"/>
        <v>12000</v>
      </c>
      <c r="AL45" s="250">
        <f t="shared" si="40"/>
        <v>12000</v>
      </c>
      <c r="AM45" s="248"/>
      <c r="AN45" s="250">
        <f t="shared" si="43"/>
        <v>49000</v>
      </c>
      <c r="AO45" s="250">
        <f t="shared" si="41"/>
        <v>0</v>
      </c>
      <c r="AP45" s="250">
        <f t="shared" si="41"/>
        <v>0</v>
      </c>
      <c r="AQ45" s="250">
        <f t="shared" si="41"/>
        <v>0</v>
      </c>
      <c r="AR45" s="250">
        <f t="shared" si="41"/>
        <v>48000</v>
      </c>
      <c r="AS45" s="250">
        <f t="shared" si="41"/>
        <v>0</v>
      </c>
      <c r="AT45" s="250">
        <f t="shared" si="41"/>
        <v>0</v>
      </c>
      <c r="AU45" s="250">
        <f t="shared" si="41"/>
        <v>0</v>
      </c>
      <c r="AV45" s="250">
        <f t="shared" si="41"/>
        <v>48000</v>
      </c>
      <c r="AW45" s="250">
        <f t="shared" si="41"/>
        <v>0</v>
      </c>
      <c r="AX45" s="250">
        <f t="shared" si="41"/>
        <v>0</v>
      </c>
      <c r="AY45" s="250">
        <f t="shared" si="41"/>
        <v>0</v>
      </c>
      <c r="AZ45" s="250">
        <f>IF(AZ$42=$E45,SUM(AJ45:$AL45),0)</f>
        <v>36000</v>
      </c>
      <c r="BA45" s="250">
        <f>IF(BA$42=$E45,SUM(AK45:$AL45),0)</f>
        <v>0</v>
      </c>
      <c r="BB45" s="250">
        <f>IF(BB$42=$E45,SUM(AL45:$AL45),0)</f>
        <v>0</v>
      </c>
      <c r="BD45" s="243">
        <f t="shared" si="37"/>
        <v>0</v>
      </c>
    </row>
    <row r="46" spans="1:56" ht="15">
      <c r="A46" t="s">
        <v>181</v>
      </c>
      <c r="B46" s="267"/>
      <c r="D46" s="242">
        <f t="shared" si="38"/>
        <v>105000</v>
      </c>
      <c r="E46" t="s">
        <v>211</v>
      </c>
      <c r="G46" s="326">
        <v>7500</v>
      </c>
      <c r="H46" s="326">
        <v>7500</v>
      </c>
      <c r="I46" s="326">
        <v>7500</v>
      </c>
      <c r="J46" s="326">
        <v>7500</v>
      </c>
      <c r="K46" s="326">
        <v>7500</v>
      </c>
      <c r="L46" s="326">
        <v>7500</v>
      </c>
      <c r="M46" s="326">
        <v>7500</v>
      </c>
      <c r="N46" s="326">
        <v>7500</v>
      </c>
      <c r="O46" s="326">
        <v>7500</v>
      </c>
      <c r="P46" s="326">
        <v>7500</v>
      </c>
      <c r="Q46" s="326">
        <v>7500</v>
      </c>
      <c r="R46" s="326">
        <v>7500</v>
      </c>
      <c r="S46" s="326">
        <v>7500</v>
      </c>
      <c r="T46" s="326">
        <v>7500</v>
      </c>
      <c r="U46" s="326">
        <f t="shared" si="42"/>
        <v>105000</v>
      </c>
      <c r="V46" s="319"/>
      <c r="W46" s="319"/>
      <c r="X46" s="262">
        <f t="shared" si="39"/>
        <v>0</v>
      </c>
      <c r="Y46" s="250">
        <f t="shared" si="40"/>
        <v>7500</v>
      </c>
      <c r="Z46" s="250">
        <f t="shared" si="40"/>
        <v>7500</v>
      </c>
      <c r="AA46" s="250">
        <f t="shared" si="40"/>
        <v>7500</v>
      </c>
      <c r="AB46" s="250">
        <f t="shared" si="40"/>
        <v>7500</v>
      </c>
      <c r="AC46" s="250">
        <f t="shared" si="40"/>
        <v>7500</v>
      </c>
      <c r="AD46" s="250">
        <f t="shared" si="40"/>
        <v>7500</v>
      </c>
      <c r="AE46" s="250">
        <f t="shared" si="40"/>
        <v>7500</v>
      </c>
      <c r="AF46" s="250">
        <f t="shared" si="40"/>
        <v>7500</v>
      </c>
      <c r="AG46" s="250">
        <f t="shared" si="40"/>
        <v>7500</v>
      </c>
      <c r="AH46" s="250">
        <f t="shared" si="40"/>
        <v>7500</v>
      </c>
      <c r="AI46" s="250">
        <f t="shared" si="40"/>
        <v>7500</v>
      </c>
      <c r="AJ46" s="250">
        <f t="shared" si="40"/>
        <v>7500</v>
      </c>
      <c r="AK46" s="250">
        <f t="shared" si="40"/>
        <v>7500</v>
      </c>
      <c r="AL46" s="250">
        <f t="shared" si="40"/>
        <v>7500</v>
      </c>
      <c r="AM46" s="248"/>
      <c r="AN46" s="250">
        <f t="shared" si="43"/>
        <v>0</v>
      </c>
      <c r="AO46" s="250">
        <f t="shared" si="41"/>
        <v>30000</v>
      </c>
      <c r="AP46" s="250">
        <f t="shared" si="41"/>
        <v>0</v>
      </c>
      <c r="AQ46" s="250">
        <f t="shared" si="41"/>
        <v>0</v>
      </c>
      <c r="AR46" s="250">
        <f t="shared" si="41"/>
        <v>0</v>
      </c>
      <c r="AS46" s="250">
        <f t="shared" si="41"/>
        <v>30000</v>
      </c>
      <c r="AT46" s="250">
        <f t="shared" si="41"/>
        <v>0</v>
      </c>
      <c r="AU46" s="250">
        <f t="shared" si="41"/>
        <v>0</v>
      </c>
      <c r="AV46" s="250">
        <f t="shared" si="41"/>
        <v>0</v>
      </c>
      <c r="AW46" s="250">
        <f t="shared" si="41"/>
        <v>30000</v>
      </c>
      <c r="AX46" s="250">
        <f t="shared" si="41"/>
        <v>0</v>
      </c>
      <c r="AY46" s="250">
        <f t="shared" si="41"/>
        <v>0</v>
      </c>
      <c r="AZ46" s="250">
        <f>IF(AZ$42=$E46,SUM(AJ46:$AL46),0)</f>
        <v>0</v>
      </c>
      <c r="BA46" s="250">
        <f>IF(BA$42=$E46,SUM(AK46:$AL46),0)</f>
        <v>15000</v>
      </c>
      <c r="BB46" s="250">
        <f>IF(BB$42=$E46,SUM(AL46:$AL46),0)</f>
        <v>0</v>
      </c>
      <c r="BD46" s="243">
        <f t="shared" si="37"/>
        <v>0</v>
      </c>
    </row>
    <row r="47" spans="1:56" ht="15">
      <c r="A47" t="s">
        <v>181</v>
      </c>
      <c r="B47" s="267"/>
      <c r="D47" s="242">
        <f t="shared" si="38"/>
        <v>147000</v>
      </c>
      <c r="E47" t="s">
        <v>211</v>
      </c>
      <c r="G47" s="326">
        <v>10500</v>
      </c>
      <c r="H47" s="326">
        <v>10500</v>
      </c>
      <c r="I47" s="326">
        <v>10500</v>
      </c>
      <c r="J47" s="326">
        <v>10500</v>
      </c>
      <c r="K47" s="326">
        <v>10500</v>
      </c>
      <c r="L47" s="326">
        <v>10500</v>
      </c>
      <c r="M47" s="326">
        <v>10500</v>
      </c>
      <c r="N47" s="326">
        <v>10500</v>
      </c>
      <c r="O47" s="326">
        <v>10500</v>
      </c>
      <c r="P47" s="326">
        <v>10500</v>
      </c>
      <c r="Q47" s="326">
        <v>10500</v>
      </c>
      <c r="R47" s="326">
        <v>10500</v>
      </c>
      <c r="S47" s="326">
        <v>10500</v>
      </c>
      <c r="T47" s="326">
        <v>10500</v>
      </c>
      <c r="U47" s="326">
        <f t="shared" si="42"/>
        <v>147000</v>
      </c>
      <c r="V47" s="319"/>
      <c r="W47" s="319"/>
      <c r="X47" s="262">
        <f t="shared" si="39"/>
        <v>0</v>
      </c>
      <c r="Y47" s="250">
        <f t="shared" si="40"/>
        <v>10500</v>
      </c>
      <c r="Z47" s="250">
        <f t="shared" si="40"/>
        <v>10500</v>
      </c>
      <c r="AA47" s="250">
        <f t="shared" si="40"/>
        <v>10500</v>
      </c>
      <c r="AB47" s="250">
        <f t="shared" si="40"/>
        <v>10500</v>
      </c>
      <c r="AC47" s="250">
        <f t="shared" si="40"/>
        <v>10500</v>
      </c>
      <c r="AD47" s="250">
        <f t="shared" si="40"/>
        <v>10500</v>
      </c>
      <c r="AE47" s="250">
        <f t="shared" si="40"/>
        <v>10500</v>
      </c>
      <c r="AF47" s="250">
        <f t="shared" si="40"/>
        <v>10500</v>
      </c>
      <c r="AG47" s="250">
        <f t="shared" si="40"/>
        <v>10500</v>
      </c>
      <c r="AH47" s="250">
        <f t="shared" si="40"/>
        <v>10500</v>
      </c>
      <c r="AI47" s="250">
        <f t="shared" si="40"/>
        <v>10500</v>
      </c>
      <c r="AJ47" s="250">
        <f t="shared" si="40"/>
        <v>10500</v>
      </c>
      <c r="AK47" s="250">
        <f t="shared" si="40"/>
        <v>10500</v>
      </c>
      <c r="AL47" s="250">
        <f t="shared" si="40"/>
        <v>10500</v>
      </c>
      <c r="AM47" s="248"/>
      <c r="AN47" s="250">
        <f t="shared" si="43"/>
        <v>0</v>
      </c>
      <c r="AO47" s="250">
        <f t="shared" si="41"/>
        <v>42000</v>
      </c>
      <c r="AP47" s="250">
        <f t="shared" si="41"/>
        <v>0</v>
      </c>
      <c r="AQ47" s="250">
        <f t="shared" si="41"/>
        <v>0</v>
      </c>
      <c r="AR47" s="250">
        <f t="shared" si="41"/>
        <v>0</v>
      </c>
      <c r="AS47" s="250">
        <f t="shared" si="41"/>
        <v>42000</v>
      </c>
      <c r="AT47" s="250">
        <f t="shared" si="41"/>
        <v>0</v>
      </c>
      <c r="AU47" s="250">
        <f t="shared" si="41"/>
        <v>0</v>
      </c>
      <c r="AV47" s="250">
        <f t="shared" si="41"/>
        <v>0</v>
      </c>
      <c r="AW47" s="250">
        <f t="shared" si="41"/>
        <v>42000</v>
      </c>
      <c r="AX47" s="250">
        <f t="shared" si="41"/>
        <v>0</v>
      </c>
      <c r="AY47" s="250">
        <f t="shared" si="41"/>
        <v>0</v>
      </c>
      <c r="AZ47" s="250">
        <f>IF(AZ$42=$E47,SUM(AJ47:$AL47),0)</f>
        <v>0</v>
      </c>
      <c r="BA47" s="250">
        <f>IF(BA$42=$E47,SUM(AK47:$AL47),0)</f>
        <v>21000</v>
      </c>
      <c r="BB47" s="250">
        <f>IF(BB$42=$E47,SUM(AL47:$AL47),0)</f>
        <v>0</v>
      </c>
      <c r="BD47" s="243">
        <f t="shared" si="37"/>
        <v>0</v>
      </c>
    </row>
    <row r="48" spans="1:56" ht="15">
      <c r="A48" t="s">
        <v>181</v>
      </c>
      <c r="B48" s="267"/>
      <c r="D48" s="242">
        <f t="shared" si="38"/>
        <v>84000</v>
      </c>
      <c r="E48" t="s">
        <v>211</v>
      </c>
      <c r="G48" s="326">
        <v>6000</v>
      </c>
      <c r="H48" s="326">
        <v>6000</v>
      </c>
      <c r="I48" s="326">
        <v>6000</v>
      </c>
      <c r="J48" s="326">
        <v>6000</v>
      </c>
      <c r="K48" s="326">
        <v>6000</v>
      </c>
      <c r="L48" s="326">
        <v>6000</v>
      </c>
      <c r="M48" s="326">
        <v>6000</v>
      </c>
      <c r="N48" s="326">
        <v>6000</v>
      </c>
      <c r="O48" s="326">
        <v>6000</v>
      </c>
      <c r="P48" s="326">
        <v>6000</v>
      </c>
      <c r="Q48" s="326">
        <v>6000</v>
      </c>
      <c r="R48" s="326">
        <v>6000</v>
      </c>
      <c r="S48" s="326">
        <v>6000</v>
      </c>
      <c r="T48" s="326">
        <v>6000</v>
      </c>
      <c r="U48" s="326">
        <f t="shared" si="42"/>
        <v>84000</v>
      </c>
      <c r="V48" s="319"/>
      <c r="W48" s="319"/>
      <c r="X48" s="262">
        <f t="shared" si="39"/>
        <v>0</v>
      </c>
      <c r="Y48" s="250">
        <f t="shared" si="40"/>
        <v>6000</v>
      </c>
      <c r="Z48" s="250">
        <f t="shared" si="40"/>
        <v>6000</v>
      </c>
      <c r="AA48" s="250">
        <f t="shared" si="40"/>
        <v>6000</v>
      </c>
      <c r="AB48" s="250">
        <f t="shared" si="40"/>
        <v>6000</v>
      </c>
      <c r="AC48" s="250">
        <f t="shared" si="40"/>
        <v>6000</v>
      </c>
      <c r="AD48" s="250">
        <f t="shared" si="40"/>
        <v>6000</v>
      </c>
      <c r="AE48" s="250">
        <f t="shared" si="40"/>
        <v>6000</v>
      </c>
      <c r="AF48" s="250">
        <f t="shared" si="40"/>
        <v>6000</v>
      </c>
      <c r="AG48" s="250">
        <f t="shared" si="40"/>
        <v>6000</v>
      </c>
      <c r="AH48" s="250">
        <f t="shared" si="40"/>
        <v>6000</v>
      </c>
      <c r="AI48" s="250">
        <f t="shared" si="40"/>
        <v>6000</v>
      </c>
      <c r="AJ48" s="250">
        <f t="shared" si="40"/>
        <v>6000</v>
      </c>
      <c r="AK48" s="250">
        <f t="shared" si="40"/>
        <v>6000</v>
      </c>
      <c r="AL48" s="250">
        <f t="shared" si="40"/>
        <v>6000</v>
      </c>
      <c r="AM48" s="248"/>
      <c r="AN48" s="250">
        <f t="shared" si="43"/>
        <v>0</v>
      </c>
      <c r="AO48" s="250">
        <f t="shared" si="41"/>
        <v>24000</v>
      </c>
      <c r="AP48" s="250">
        <f t="shared" si="41"/>
        <v>0</v>
      </c>
      <c r="AQ48" s="250">
        <f t="shared" si="41"/>
        <v>0</v>
      </c>
      <c r="AR48" s="250">
        <f t="shared" si="41"/>
        <v>0</v>
      </c>
      <c r="AS48" s="250">
        <f t="shared" si="41"/>
        <v>24000</v>
      </c>
      <c r="AT48" s="250">
        <f t="shared" si="41"/>
        <v>0</v>
      </c>
      <c r="AU48" s="250">
        <f t="shared" si="41"/>
        <v>0</v>
      </c>
      <c r="AV48" s="250">
        <f t="shared" si="41"/>
        <v>0</v>
      </c>
      <c r="AW48" s="250">
        <f t="shared" si="41"/>
        <v>24000</v>
      </c>
      <c r="AX48" s="250">
        <f t="shared" si="41"/>
        <v>0</v>
      </c>
      <c r="AY48" s="250">
        <f t="shared" si="41"/>
        <v>0</v>
      </c>
      <c r="AZ48" s="250">
        <f>IF(AZ$42=$E48,SUM(AJ48:$AL48),0)</f>
        <v>0</v>
      </c>
      <c r="BA48" s="250">
        <f>IF(BA$42=$E48,SUM(AK48:$AL48),0)</f>
        <v>12000</v>
      </c>
      <c r="BB48" s="250">
        <f>IF(BB$42=$E48,SUM(AL48:$AL48),0)</f>
        <v>0</v>
      </c>
      <c r="BD48" s="243">
        <f t="shared" si="37"/>
        <v>0</v>
      </c>
    </row>
    <row r="49" spans="1:56" ht="15">
      <c r="A49" t="s">
        <v>181</v>
      </c>
      <c r="B49" s="267"/>
      <c r="D49" s="242">
        <f t="shared" si="38"/>
        <v>84000</v>
      </c>
      <c r="E49" t="s">
        <v>211</v>
      </c>
      <c r="G49" s="326">
        <v>6000</v>
      </c>
      <c r="H49" s="326">
        <v>6000</v>
      </c>
      <c r="I49" s="326">
        <v>6000</v>
      </c>
      <c r="J49" s="326">
        <v>6000</v>
      </c>
      <c r="K49" s="326">
        <v>6000</v>
      </c>
      <c r="L49" s="326">
        <v>6000</v>
      </c>
      <c r="M49" s="326">
        <v>6000</v>
      </c>
      <c r="N49" s="326">
        <v>6000</v>
      </c>
      <c r="O49" s="326">
        <v>6000</v>
      </c>
      <c r="P49" s="326">
        <v>6000</v>
      </c>
      <c r="Q49" s="326">
        <v>6000</v>
      </c>
      <c r="R49" s="326">
        <v>6000</v>
      </c>
      <c r="S49" s="326">
        <v>6000</v>
      </c>
      <c r="T49" s="326">
        <v>6000</v>
      </c>
      <c r="U49" s="326">
        <f t="shared" si="42"/>
        <v>84000</v>
      </c>
      <c r="V49" s="319"/>
      <c r="W49" s="319"/>
      <c r="X49" s="262">
        <f t="shared" si="39"/>
        <v>0</v>
      </c>
      <c r="Y49" s="250">
        <f t="shared" si="40"/>
        <v>6000</v>
      </c>
      <c r="Z49" s="250">
        <f t="shared" si="40"/>
        <v>6000</v>
      </c>
      <c r="AA49" s="250">
        <f t="shared" si="40"/>
        <v>6000</v>
      </c>
      <c r="AB49" s="250">
        <f t="shared" si="40"/>
        <v>6000</v>
      </c>
      <c r="AC49" s="250">
        <f t="shared" si="40"/>
        <v>6000</v>
      </c>
      <c r="AD49" s="250">
        <f t="shared" si="40"/>
        <v>6000</v>
      </c>
      <c r="AE49" s="250">
        <f t="shared" si="40"/>
        <v>6000</v>
      </c>
      <c r="AF49" s="250">
        <f t="shared" si="40"/>
        <v>6000</v>
      </c>
      <c r="AG49" s="250">
        <f t="shared" si="40"/>
        <v>6000</v>
      </c>
      <c r="AH49" s="250">
        <f t="shared" si="40"/>
        <v>6000</v>
      </c>
      <c r="AI49" s="250">
        <f t="shared" si="40"/>
        <v>6000</v>
      </c>
      <c r="AJ49" s="250">
        <f t="shared" si="40"/>
        <v>6000</v>
      </c>
      <c r="AK49" s="250">
        <f t="shared" si="40"/>
        <v>6000</v>
      </c>
      <c r="AL49" s="250">
        <f t="shared" si="40"/>
        <v>6000</v>
      </c>
      <c r="AM49" s="248"/>
      <c r="AN49" s="250">
        <f t="shared" si="43"/>
        <v>0</v>
      </c>
      <c r="AO49" s="250">
        <f t="shared" si="41"/>
        <v>24000</v>
      </c>
      <c r="AP49" s="250">
        <f t="shared" si="41"/>
        <v>0</v>
      </c>
      <c r="AQ49" s="250">
        <f t="shared" si="41"/>
        <v>0</v>
      </c>
      <c r="AR49" s="250">
        <f t="shared" si="41"/>
        <v>0</v>
      </c>
      <c r="AS49" s="250">
        <f t="shared" si="41"/>
        <v>24000</v>
      </c>
      <c r="AT49" s="250">
        <f t="shared" si="41"/>
        <v>0</v>
      </c>
      <c r="AU49" s="250">
        <f t="shared" si="41"/>
        <v>0</v>
      </c>
      <c r="AV49" s="250">
        <f t="shared" si="41"/>
        <v>0</v>
      </c>
      <c r="AW49" s="250">
        <f t="shared" si="41"/>
        <v>24000</v>
      </c>
      <c r="AX49" s="250">
        <f t="shared" si="41"/>
        <v>0</v>
      </c>
      <c r="AY49" s="250">
        <f t="shared" si="41"/>
        <v>0</v>
      </c>
      <c r="AZ49" s="250">
        <f>IF(AZ$42=$E49,SUM(AJ49:$AL49),0)</f>
        <v>0</v>
      </c>
      <c r="BA49" s="250">
        <f>IF(BA$42=$E49,SUM(AK49:$AL49),0)</f>
        <v>12000</v>
      </c>
      <c r="BB49" s="250">
        <f>IF(BB$42=$E49,SUM(AL49:$AL49),0)</f>
        <v>0</v>
      </c>
      <c r="BD49" s="243">
        <f t="shared" si="37"/>
        <v>0</v>
      </c>
    </row>
    <row r="50" spans="1:56" ht="15">
      <c r="A50" t="s">
        <v>169</v>
      </c>
      <c r="B50" s="255"/>
      <c r="D50" s="242">
        <f aca="true" t="shared" si="44" ref="D50">SUM(F50:T50)</f>
        <v>156000</v>
      </c>
      <c r="E50" t="s">
        <v>204</v>
      </c>
      <c r="G50" s="326"/>
      <c r="H50" s="326">
        <v>12000</v>
      </c>
      <c r="I50" s="326">
        <v>12000</v>
      </c>
      <c r="J50" s="326">
        <v>12000</v>
      </c>
      <c r="K50" s="326">
        <v>12000</v>
      </c>
      <c r="L50" s="326">
        <v>12000</v>
      </c>
      <c r="M50" s="326">
        <v>12000</v>
      </c>
      <c r="N50" s="326">
        <v>12000</v>
      </c>
      <c r="O50" s="326">
        <v>12000</v>
      </c>
      <c r="P50" s="326">
        <v>12000</v>
      </c>
      <c r="Q50" s="326">
        <v>12000</v>
      </c>
      <c r="R50" s="326">
        <v>12000</v>
      </c>
      <c r="S50" s="326">
        <v>12000</v>
      </c>
      <c r="T50" s="326">
        <v>12000</v>
      </c>
      <c r="U50" s="326">
        <f t="shared" si="42"/>
        <v>156000</v>
      </c>
      <c r="V50" s="319"/>
      <c r="W50" s="319"/>
      <c r="X50" s="262">
        <f t="shared" si="39"/>
        <v>0</v>
      </c>
      <c r="Y50" s="250">
        <f t="shared" si="40"/>
        <v>0</v>
      </c>
      <c r="Z50" s="250">
        <f t="shared" si="40"/>
        <v>12000</v>
      </c>
      <c r="AA50" s="250">
        <f t="shared" si="40"/>
        <v>12000</v>
      </c>
      <c r="AB50" s="250">
        <f t="shared" si="40"/>
        <v>12000</v>
      </c>
      <c r="AC50" s="250">
        <f t="shared" si="40"/>
        <v>12000</v>
      </c>
      <c r="AD50" s="250">
        <f t="shared" si="40"/>
        <v>12000</v>
      </c>
      <c r="AE50" s="250">
        <f t="shared" si="40"/>
        <v>12000</v>
      </c>
      <c r="AF50" s="250">
        <f t="shared" si="40"/>
        <v>12000</v>
      </c>
      <c r="AG50" s="250">
        <f t="shared" si="40"/>
        <v>12000</v>
      </c>
      <c r="AH50" s="250">
        <f t="shared" si="40"/>
        <v>12000</v>
      </c>
      <c r="AI50" s="250">
        <f t="shared" si="40"/>
        <v>12000</v>
      </c>
      <c r="AJ50" s="250">
        <f t="shared" si="40"/>
        <v>12000</v>
      </c>
      <c r="AK50" s="250">
        <f t="shared" si="40"/>
        <v>12000</v>
      </c>
      <c r="AL50" s="250">
        <f t="shared" si="40"/>
        <v>12000</v>
      </c>
      <c r="AM50" s="248"/>
      <c r="AN50" s="250">
        <f t="shared" si="43"/>
        <v>0</v>
      </c>
      <c r="AO50" s="250">
        <f t="shared" si="41"/>
        <v>0</v>
      </c>
      <c r="AP50" s="250">
        <f t="shared" si="41"/>
        <v>48000</v>
      </c>
      <c r="AQ50" s="250">
        <f t="shared" si="41"/>
        <v>0</v>
      </c>
      <c r="AR50" s="250">
        <f t="shared" si="41"/>
        <v>0</v>
      </c>
      <c r="AS50" s="250">
        <f t="shared" si="41"/>
        <v>0</v>
      </c>
      <c r="AT50" s="250">
        <f t="shared" si="41"/>
        <v>48000</v>
      </c>
      <c r="AU50" s="250">
        <f t="shared" si="41"/>
        <v>0</v>
      </c>
      <c r="AV50" s="250">
        <f t="shared" si="41"/>
        <v>0</v>
      </c>
      <c r="AW50" s="250">
        <f t="shared" si="41"/>
        <v>0</v>
      </c>
      <c r="AX50" s="250">
        <f t="shared" si="41"/>
        <v>48000</v>
      </c>
      <c r="AY50" s="250">
        <f t="shared" si="41"/>
        <v>0</v>
      </c>
      <c r="AZ50" s="250">
        <f>IF(AZ$42=$E50,SUM(AJ50:$AL50),0)</f>
        <v>0</v>
      </c>
      <c r="BA50" s="250">
        <f>IF(BA$42=$E50,SUM(AK50:$AL50),0)</f>
        <v>0</v>
      </c>
      <c r="BB50" s="250">
        <f>IF(BB$42=$E50,SUM(AL50:$AL50),0)</f>
        <v>12000</v>
      </c>
      <c r="BD50" s="243">
        <f t="shared" si="37"/>
        <v>0</v>
      </c>
    </row>
    <row r="51" spans="7:56" ht="15">
      <c r="G51" s="326"/>
      <c r="H51" s="326"/>
      <c r="I51" s="326"/>
      <c r="J51" s="326"/>
      <c r="K51" s="326"/>
      <c r="L51" s="326"/>
      <c r="M51" s="326"/>
      <c r="N51" s="326"/>
      <c r="O51" s="326"/>
      <c r="P51" s="326"/>
      <c r="Q51" s="326"/>
      <c r="R51" s="326"/>
      <c r="S51" s="326"/>
      <c r="T51" s="326"/>
      <c r="U51" s="326"/>
      <c r="V51" s="319"/>
      <c r="W51" s="319"/>
      <c r="X51" s="247"/>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D51" s="243">
        <f t="shared" si="37"/>
        <v>0</v>
      </c>
    </row>
    <row r="52" spans="1:56" ht="15">
      <c r="A52" s="244" t="s">
        <v>207</v>
      </c>
      <c r="B52" s="244"/>
      <c r="C52" s="244"/>
      <c r="D52" s="244"/>
      <c r="E52" s="244"/>
      <c r="G52" s="326"/>
      <c r="H52" s="326"/>
      <c r="I52" s="326"/>
      <c r="J52" s="326"/>
      <c r="K52" s="326"/>
      <c r="L52" s="326"/>
      <c r="M52" s="326"/>
      <c r="N52" s="326"/>
      <c r="O52" s="326"/>
      <c r="P52" s="326"/>
      <c r="Q52" s="326"/>
      <c r="R52" s="326"/>
      <c r="S52" s="326"/>
      <c r="T52" s="326"/>
      <c r="U52" s="326"/>
      <c r="V52" s="319"/>
      <c r="W52" s="319"/>
      <c r="X52" s="247"/>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D52" s="243">
        <f t="shared" si="37"/>
        <v>0</v>
      </c>
    </row>
    <row r="53" spans="1:56" ht="15">
      <c r="A53" t="s">
        <v>184</v>
      </c>
      <c r="B53" s="267"/>
      <c r="D53" s="242">
        <f>SUM(F53:T53)</f>
        <v>32000</v>
      </c>
      <c r="F53" s="319"/>
      <c r="G53" s="326">
        <v>1000</v>
      </c>
      <c r="H53" s="326">
        <v>1000</v>
      </c>
      <c r="I53" s="326">
        <v>2500</v>
      </c>
      <c r="J53" s="326">
        <v>2500</v>
      </c>
      <c r="K53" s="326">
        <v>2500</v>
      </c>
      <c r="L53" s="326">
        <v>2500</v>
      </c>
      <c r="M53" s="326">
        <v>2500</v>
      </c>
      <c r="N53" s="326">
        <v>2500</v>
      </c>
      <c r="O53" s="326">
        <v>2500</v>
      </c>
      <c r="P53" s="326">
        <v>2500</v>
      </c>
      <c r="Q53" s="326">
        <v>2500</v>
      </c>
      <c r="R53" s="326">
        <v>2500</v>
      </c>
      <c r="S53" s="326">
        <v>2500</v>
      </c>
      <c r="T53" s="326">
        <v>2500</v>
      </c>
      <c r="U53" s="326">
        <f t="shared" si="42"/>
        <v>32000</v>
      </c>
      <c r="V53" s="319"/>
      <c r="W53" s="319"/>
      <c r="X53" s="262">
        <f aca="true" t="shared" si="45" ref="X53:X54">F53</f>
        <v>0</v>
      </c>
      <c r="Y53" s="250">
        <f aca="true" t="shared" si="46" ref="Y53:Y54">G53</f>
        <v>1000</v>
      </c>
      <c r="Z53" s="250">
        <f aca="true" t="shared" si="47" ref="Z53:Z54">H53</f>
        <v>1000</v>
      </c>
      <c r="AA53" s="250">
        <f aca="true" t="shared" si="48" ref="AA53:AA54">I53</f>
        <v>2500</v>
      </c>
      <c r="AB53" s="250">
        <f aca="true" t="shared" si="49" ref="AB53:AB54">J53</f>
        <v>2500</v>
      </c>
      <c r="AC53" s="250">
        <f aca="true" t="shared" si="50" ref="AC53:AC54">K53</f>
        <v>2500</v>
      </c>
      <c r="AD53" s="250">
        <f aca="true" t="shared" si="51" ref="AD53:AD54">L53</f>
        <v>2500</v>
      </c>
      <c r="AE53" s="250">
        <f aca="true" t="shared" si="52" ref="AE53:AE54">M53</f>
        <v>2500</v>
      </c>
      <c r="AF53" s="250">
        <f aca="true" t="shared" si="53" ref="AF53:AF54">N53</f>
        <v>2500</v>
      </c>
      <c r="AG53" s="250">
        <f aca="true" t="shared" si="54" ref="AG53:AG54">O53</f>
        <v>2500</v>
      </c>
      <c r="AH53" s="250">
        <f aca="true" t="shared" si="55" ref="AH53:AH54">P53</f>
        <v>2500</v>
      </c>
      <c r="AI53" s="250">
        <f aca="true" t="shared" si="56" ref="AI53:AI54">Q53</f>
        <v>2500</v>
      </c>
      <c r="AJ53" s="250">
        <f aca="true" t="shared" si="57" ref="AJ53:AJ54">R53</f>
        <v>2500</v>
      </c>
      <c r="AK53" s="250">
        <f aca="true" t="shared" si="58" ref="AK53:AK54">S53</f>
        <v>2500</v>
      </c>
      <c r="AL53" s="250">
        <f aca="true" t="shared" si="59" ref="AL53:AL54">T53</f>
        <v>2500</v>
      </c>
      <c r="AM53" s="248"/>
      <c r="AN53" s="250">
        <f>X53</f>
        <v>0</v>
      </c>
      <c r="AO53" s="250">
        <f aca="true" t="shared" si="60" ref="AO53:BB54">Y53</f>
        <v>1000</v>
      </c>
      <c r="AP53" s="250">
        <f t="shared" si="60"/>
        <v>1000</v>
      </c>
      <c r="AQ53" s="250">
        <f t="shared" si="60"/>
        <v>2500</v>
      </c>
      <c r="AR53" s="250">
        <f t="shared" si="60"/>
        <v>2500</v>
      </c>
      <c r="AS53" s="250">
        <f t="shared" si="60"/>
        <v>2500</v>
      </c>
      <c r="AT53" s="250">
        <f t="shared" si="60"/>
        <v>2500</v>
      </c>
      <c r="AU53" s="250">
        <f t="shared" si="60"/>
        <v>2500</v>
      </c>
      <c r="AV53" s="250">
        <f t="shared" si="60"/>
        <v>2500</v>
      </c>
      <c r="AW53" s="250">
        <f t="shared" si="60"/>
        <v>2500</v>
      </c>
      <c r="AX53" s="250">
        <f t="shared" si="60"/>
        <v>2500</v>
      </c>
      <c r="AY53" s="250">
        <f t="shared" si="60"/>
        <v>2500</v>
      </c>
      <c r="AZ53" s="250">
        <f t="shared" si="60"/>
        <v>2500</v>
      </c>
      <c r="BA53" s="250">
        <f t="shared" si="60"/>
        <v>2500</v>
      </c>
      <c r="BB53" s="250">
        <f t="shared" si="60"/>
        <v>2500</v>
      </c>
      <c r="BD53" s="243">
        <f t="shared" si="37"/>
        <v>0</v>
      </c>
    </row>
    <row r="54" spans="1:56" ht="15">
      <c r="A54" t="s">
        <v>182</v>
      </c>
      <c r="B54" s="267"/>
      <c r="D54" s="242">
        <f>SUM(F54:T54)</f>
        <v>52000</v>
      </c>
      <c r="F54" s="319"/>
      <c r="G54" s="326">
        <v>2000</v>
      </c>
      <c r="H54" s="326">
        <v>2000</v>
      </c>
      <c r="I54" s="326">
        <v>4000</v>
      </c>
      <c r="J54" s="326">
        <v>4000</v>
      </c>
      <c r="K54" s="326">
        <v>4000</v>
      </c>
      <c r="L54" s="326">
        <v>4000</v>
      </c>
      <c r="M54" s="326">
        <v>4000</v>
      </c>
      <c r="N54" s="326">
        <v>4000</v>
      </c>
      <c r="O54" s="326">
        <v>4000</v>
      </c>
      <c r="P54" s="326">
        <v>4000</v>
      </c>
      <c r="Q54" s="326">
        <v>4000</v>
      </c>
      <c r="R54" s="326">
        <v>4000</v>
      </c>
      <c r="S54" s="326">
        <v>4000</v>
      </c>
      <c r="T54" s="326">
        <v>4000</v>
      </c>
      <c r="U54" s="326">
        <f t="shared" si="42"/>
        <v>52000</v>
      </c>
      <c r="V54" s="319"/>
      <c r="W54" s="319"/>
      <c r="X54" s="262">
        <f t="shared" si="45"/>
        <v>0</v>
      </c>
      <c r="Y54" s="250">
        <f t="shared" si="46"/>
        <v>2000</v>
      </c>
      <c r="Z54" s="250">
        <f t="shared" si="47"/>
        <v>2000</v>
      </c>
      <c r="AA54" s="250">
        <f t="shared" si="48"/>
        <v>4000</v>
      </c>
      <c r="AB54" s="250">
        <f t="shared" si="49"/>
        <v>4000</v>
      </c>
      <c r="AC54" s="250">
        <f t="shared" si="50"/>
        <v>4000</v>
      </c>
      <c r="AD54" s="250">
        <f t="shared" si="51"/>
        <v>4000</v>
      </c>
      <c r="AE54" s="250">
        <f t="shared" si="52"/>
        <v>4000</v>
      </c>
      <c r="AF54" s="250">
        <f t="shared" si="53"/>
        <v>4000</v>
      </c>
      <c r="AG54" s="250">
        <f t="shared" si="54"/>
        <v>4000</v>
      </c>
      <c r="AH54" s="250">
        <f t="shared" si="55"/>
        <v>4000</v>
      </c>
      <c r="AI54" s="250">
        <f t="shared" si="56"/>
        <v>4000</v>
      </c>
      <c r="AJ54" s="250">
        <f t="shared" si="57"/>
        <v>4000</v>
      </c>
      <c r="AK54" s="250">
        <f t="shared" si="58"/>
        <v>4000</v>
      </c>
      <c r="AL54" s="250">
        <f t="shared" si="59"/>
        <v>4000</v>
      </c>
      <c r="AM54" s="248"/>
      <c r="AN54" s="250">
        <f>X54</f>
        <v>0</v>
      </c>
      <c r="AO54" s="250">
        <f t="shared" si="60"/>
        <v>2000</v>
      </c>
      <c r="AP54" s="250">
        <f t="shared" si="60"/>
        <v>2000</v>
      </c>
      <c r="AQ54" s="250">
        <f t="shared" si="60"/>
        <v>4000</v>
      </c>
      <c r="AR54" s="250">
        <f t="shared" si="60"/>
        <v>4000</v>
      </c>
      <c r="AS54" s="250">
        <f t="shared" si="60"/>
        <v>4000</v>
      </c>
      <c r="AT54" s="250">
        <f t="shared" si="60"/>
        <v>4000</v>
      </c>
      <c r="AU54" s="250">
        <f t="shared" si="60"/>
        <v>4000</v>
      </c>
      <c r="AV54" s="250">
        <f t="shared" si="60"/>
        <v>4000</v>
      </c>
      <c r="AW54" s="250">
        <f t="shared" si="60"/>
        <v>4000</v>
      </c>
      <c r="AX54" s="250">
        <f t="shared" si="60"/>
        <v>4000</v>
      </c>
      <c r="AY54" s="250">
        <f t="shared" si="60"/>
        <v>4000</v>
      </c>
      <c r="AZ54" s="250">
        <f t="shared" si="60"/>
        <v>4000</v>
      </c>
      <c r="BA54" s="250">
        <f t="shared" si="60"/>
        <v>4000</v>
      </c>
      <c r="BB54" s="250">
        <f t="shared" si="60"/>
        <v>4000</v>
      </c>
      <c r="BD54" s="243">
        <f t="shared" si="37"/>
        <v>0</v>
      </c>
    </row>
    <row r="55" spans="1:38" s="258" customFormat="1" ht="15">
      <c r="A55" s="259"/>
      <c r="D55" s="260"/>
      <c r="U55" s="261"/>
      <c r="V55" s="319"/>
      <c r="W55" s="319"/>
      <c r="X55" s="254"/>
      <c r="Y55" s="254"/>
      <c r="Z55" s="254"/>
      <c r="AA55" s="254"/>
      <c r="AB55" s="254"/>
      <c r="AC55" s="254"/>
      <c r="AD55" s="254"/>
      <c r="AE55" s="254"/>
      <c r="AF55" s="254"/>
      <c r="AG55" s="254"/>
      <c r="AH55" s="254"/>
      <c r="AI55" s="254"/>
      <c r="AJ55" s="254"/>
      <c r="AK55" s="254"/>
      <c r="AL55" s="254"/>
    </row>
    <row r="56" spans="2:24" ht="15">
      <c r="B56" s="247"/>
      <c r="D56" s="262">
        <f>SUM(D4:D54)</f>
        <v>23809400</v>
      </c>
      <c r="E56" s="247"/>
      <c r="F56" s="247"/>
      <c r="G56" s="247"/>
      <c r="H56" s="247"/>
      <c r="I56" s="247"/>
      <c r="J56" s="247"/>
      <c r="K56" s="247"/>
      <c r="L56" s="247"/>
      <c r="M56" s="247"/>
      <c r="N56" s="247"/>
      <c r="O56" s="247"/>
      <c r="P56" s="247"/>
      <c r="Q56" s="247"/>
      <c r="R56" s="247"/>
      <c r="T56" s="247"/>
      <c r="U56" s="247"/>
      <c r="V56" s="319"/>
      <c r="W56" s="319"/>
      <c r="X56" s="243" t="s">
        <v>140</v>
      </c>
    </row>
    <row r="57" spans="4:24" ht="15">
      <c r="D57" s="265"/>
      <c r="E57" s="266"/>
      <c r="F57" s="266"/>
      <c r="G57" s="266"/>
      <c r="H57" s="266"/>
      <c r="I57" s="266"/>
      <c r="J57" s="266"/>
      <c r="K57" s="266"/>
      <c r="L57" s="266"/>
      <c r="M57" s="266"/>
      <c r="N57" s="266"/>
      <c r="O57" s="266"/>
      <c r="P57" s="266"/>
      <c r="Q57" s="266"/>
      <c r="R57" s="266"/>
      <c r="S57" s="266"/>
      <c r="T57" s="266"/>
      <c r="U57" s="266"/>
      <c r="V57" s="319"/>
      <c r="W57" s="319"/>
      <c r="X57" s="243"/>
    </row>
    <row r="58" spans="1:4" ht="15">
      <c r="A58" s="319" t="s">
        <v>166</v>
      </c>
      <c r="B58" s="364"/>
      <c r="C58" s="364"/>
      <c r="D58" s="242">
        <f>SUMIF($A$4:$A$55,"="&amp;A58,$D$4:$D$55)</f>
        <v>8700000</v>
      </c>
    </row>
    <row r="59" spans="1:4" ht="15">
      <c r="A59" s="319" t="s">
        <v>167</v>
      </c>
      <c r="B59" s="364"/>
      <c r="C59" s="364"/>
      <c r="D59" s="242">
        <f>SUMIF($A$4:$A$55,"="&amp;A59,$D$4:$D$55)</f>
        <v>3000000</v>
      </c>
    </row>
    <row r="60" spans="1:4" ht="15">
      <c r="A60" s="319" t="s">
        <v>169</v>
      </c>
      <c r="B60" s="364"/>
      <c r="C60" s="364"/>
      <c r="D60" s="242">
        <f>SUMIF($A$4:$A$55,"="&amp;A60,$D$4:$D$55)</f>
        <v>4156000</v>
      </c>
    </row>
    <row r="61" spans="1:4" ht="15">
      <c r="A61" s="319" t="s">
        <v>170</v>
      </c>
      <c r="B61" s="364"/>
      <c r="C61" s="364"/>
      <c r="D61" s="242">
        <f>SUMIF($A$4:$A$55,"="&amp;A61,$D$4:$D$55)</f>
        <v>2500000</v>
      </c>
    </row>
    <row r="62" spans="1:4" ht="15">
      <c r="A62" s="319" t="s">
        <v>171</v>
      </c>
      <c r="B62" s="364"/>
      <c r="C62" s="364"/>
      <c r="D62" s="242">
        <f>SUMIF($A$4:$A$55,"="&amp;A62,$D$4:$D$55)</f>
        <v>279000</v>
      </c>
    </row>
    <row r="63" spans="2:6" s="319" customFormat="1" ht="15">
      <c r="B63" s="328"/>
      <c r="C63" s="328"/>
      <c r="D63" s="329">
        <f>SUM(D58:D62)</f>
        <v>18635000</v>
      </c>
      <c r="E63" s="252">
        <f>'QFR - B'!G14</f>
        <v>19300000</v>
      </c>
      <c r="F63" s="323">
        <f>E63-D63</f>
        <v>665000</v>
      </c>
    </row>
    <row r="64" spans="1:4" ht="15">
      <c r="A64" s="319" t="s">
        <v>173</v>
      </c>
      <c r="B64" s="364"/>
      <c r="C64" s="364"/>
      <c r="D64" s="242">
        <f>SUMIF($A$4:$A$55,"="&amp;A64,$D$4:$D$55)</f>
        <v>384000</v>
      </c>
    </row>
    <row r="65" spans="2:6" s="319" customFormat="1" ht="15">
      <c r="B65" s="328"/>
      <c r="C65" s="328"/>
      <c r="D65" s="330">
        <f>D64</f>
        <v>384000</v>
      </c>
      <c r="E65" s="252">
        <f>'QFR - B'!G20</f>
        <v>800000</v>
      </c>
      <c r="F65" s="323">
        <f>E65-D65</f>
        <v>416000</v>
      </c>
    </row>
    <row r="66" spans="1:4" ht="15">
      <c r="A66" s="319" t="s">
        <v>174</v>
      </c>
      <c r="B66" s="364"/>
      <c r="C66" s="364"/>
      <c r="D66" s="242">
        <f>SUMIF($A$4:$A$55,"="&amp;A66,$D$4:$D$55)</f>
        <v>787500</v>
      </c>
    </row>
    <row r="67" spans="1:4" ht="15">
      <c r="A67" s="319" t="s">
        <v>175</v>
      </c>
      <c r="B67" s="364"/>
      <c r="C67" s="364"/>
      <c r="D67" s="242">
        <f>SUMIF($A$4:$A$55,"="&amp;A67,$D$4:$D$55)</f>
        <v>1650000</v>
      </c>
    </row>
    <row r="68" spans="2:6" s="319" customFormat="1" ht="15">
      <c r="B68" s="328"/>
      <c r="C68" s="328"/>
      <c r="D68" s="330">
        <f>SUM(D66:D67)</f>
        <v>2437500</v>
      </c>
      <c r="E68" s="252">
        <f>'QFR - B'!G21</f>
        <v>3600000</v>
      </c>
      <c r="F68" s="323">
        <f>E68-D68</f>
        <v>1162500</v>
      </c>
    </row>
    <row r="69" spans="1:4" ht="15">
      <c r="A69" s="319" t="s">
        <v>177</v>
      </c>
      <c r="B69" s="364"/>
      <c r="C69" s="364"/>
      <c r="D69" s="242">
        <f>SUMIF($A$4:$A$55,"="&amp;A69,$D$4:$D$55)</f>
        <v>706400</v>
      </c>
    </row>
    <row r="70" spans="1:4" ht="15">
      <c r="A70" s="319" t="s">
        <v>178</v>
      </c>
      <c r="B70" s="364"/>
      <c r="C70" s="364"/>
      <c r="D70" s="242">
        <f>SUMIF($A$4:$A$55,"="&amp;A70,$D$4:$D$55)</f>
        <v>300000</v>
      </c>
    </row>
    <row r="71" spans="1:4" ht="15">
      <c r="A71" s="319" t="s">
        <v>179</v>
      </c>
      <c r="B71" s="364"/>
      <c r="C71" s="364"/>
      <c r="D71" s="242">
        <f>SUMIF($A$4:$A$55,"="&amp;A71,$D$4:$D$55)</f>
        <v>300000</v>
      </c>
    </row>
    <row r="72" spans="1:4" ht="15">
      <c r="A72" s="319" t="s">
        <v>180</v>
      </c>
      <c r="B72" s="364"/>
      <c r="C72" s="364"/>
      <c r="D72" s="242">
        <f>SUMIF($A$4:$A$55,"="&amp;A72,$D$4:$D$55)</f>
        <v>200000</v>
      </c>
    </row>
    <row r="73" spans="2:6" s="319" customFormat="1" ht="15">
      <c r="B73" s="328"/>
      <c r="C73" s="328"/>
      <c r="D73" s="330">
        <f>SUM(D69:D72)</f>
        <v>1506400</v>
      </c>
      <c r="E73" s="252">
        <f>'QFR - B'!G24</f>
        <v>1700000</v>
      </c>
      <c r="F73" s="323">
        <f>E73-D73</f>
        <v>193600</v>
      </c>
    </row>
    <row r="74" spans="1:4" ht="15">
      <c r="A74" s="319" t="s">
        <v>181</v>
      </c>
      <c r="B74" s="364"/>
      <c r="C74" s="364"/>
      <c r="D74" s="242">
        <f>SUMIF($A$4:$A$55,"="&amp;A74,$D$4:$D$55)</f>
        <v>601000</v>
      </c>
    </row>
    <row r="75" spans="1:4" ht="15">
      <c r="A75" s="319" t="s">
        <v>182</v>
      </c>
      <c r="B75" s="364"/>
      <c r="C75" s="364"/>
      <c r="D75" s="242">
        <f>SUMIF($A$4:$A$55,"="&amp;A75,$D$4:$D$55)</f>
        <v>52000</v>
      </c>
    </row>
    <row r="76" spans="1:4" ht="15">
      <c r="A76" s="319" t="s">
        <v>183</v>
      </c>
      <c r="B76" s="364"/>
      <c r="C76" s="364"/>
      <c r="D76" s="242">
        <f>SUMIF($A$4:$A$55,"="&amp;A76,$D$4:$D$55)</f>
        <v>150000</v>
      </c>
    </row>
    <row r="77" spans="1:4" ht="15">
      <c r="A77" s="319" t="s">
        <v>184</v>
      </c>
      <c r="B77" s="364"/>
      <c r="C77" s="364"/>
      <c r="D77" s="242">
        <f>SUMIF($A$4:$A$55,"="&amp;A77,$D$4:$D$55)</f>
        <v>43500</v>
      </c>
    </row>
    <row r="78" spans="2:6" s="319" customFormat="1" ht="15">
      <c r="B78" s="328"/>
      <c r="C78" s="328"/>
      <c r="D78" s="330">
        <f>SUM(D74:D77)</f>
        <v>846500</v>
      </c>
      <c r="E78" s="252">
        <f>'QFR - B'!G27</f>
        <v>800000</v>
      </c>
      <c r="F78" s="323">
        <f>E78-D78</f>
        <v>-46500</v>
      </c>
    </row>
    <row r="79" ht="15">
      <c r="A79" s="319"/>
    </row>
    <row r="80" ht="15">
      <c r="A80" s="319"/>
    </row>
  </sheetData>
  <mergeCells count="16">
    <mergeCell ref="B77:C77"/>
    <mergeCell ref="B70:C70"/>
    <mergeCell ref="B71:C71"/>
    <mergeCell ref="B72:C72"/>
    <mergeCell ref="B74:C74"/>
    <mergeCell ref="B75:C75"/>
    <mergeCell ref="B64:C64"/>
    <mergeCell ref="B66:C66"/>
    <mergeCell ref="B67:C67"/>
    <mergeCell ref="B69:C69"/>
    <mergeCell ref="B76:C76"/>
    <mergeCell ref="B58:C58"/>
    <mergeCell ref="B59:C59"/>
    <mergeCell ref="B60:C60"/>
    <mergeCell ref="B61:C61"/>
    <mergeCell ref="B62:C6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topLeftCell="A1">
      <selection activeCell="B18" sqref="B18"/>
    </sheetView>
  </sheetViews>
  <sheetFormatPr defaultColWidth="8.8515625" defaultRowHeight="15"/>
  <cols>
    <col min="1" max="1" width="47.00390625" style="0" customWidth="1"/>
    <col min="2" max="2" width="5.8515625" style="0" customWidth="1"/>
    <col min="3" max="10" width="4.8515625" style="0" customWidth="1"/>
    <col min="11" max="19" width="4.8515625" style="319" customWidth="1"/>
  </cols>
  <sheetData>
    <row r="1" ht="15">
      <c r="A1" s="319"/>
    </row>
    <row r="2" spans="1:2" ht="15">
      <c r="A2" s="193" t="s">
        <v>113</v>
      </c>
      <c r="B2" t="s">
        <v>242</v>
      </c>
    </row>
    <row r="3" spans="1:12" ht="15">
      <c r="A3" s="45"/>
      <c r="B3" t="s">
        <v>241</v>
      </c>
      <c r="D3" t="s">
        <v>240</v>
      </c>
      <c r="L3" s="319" t="s">
        <v>240</v>
      </c>
    </row>
    <row r="4" ht="15">
      <c r="A4" s="47" t="s">
        <v>94</v>
      </c>
    </row>
    <row r="5" spans="1:19" ht="15">
      <c r="A5" s="52" t="s">
        <v>95</v>
      </c>
      <c r="B5" s="263" t="str">
        <f>IF('DFP-Com'!V17-'DFP-CASH'!V17=0,"ok","error")</f>
        <v>ok</v>
      </c>
      <c r="C5" t="str">
        <f>IF(SUM('DFP-CASH'!$C17:D17)&gt;SUM('DFP-Com'!$C17:D17),"error","ok")</f>
        <v>ok</v>
      </c>
      <c r="D5" s="319" t="str">
        <f>IF(SUM('DFP-CASH'!$C17:E17)&gt;SUM('DFP-Com'!$C17:E17),"error","ok")</f>
        <v>ok</v>
      </c>
      <c r="E5" s="319" t="str">
        <f>IF(SUM('DFP-CASH'!$C17:F17)&gt;SUM('DFP-Com'!$C17:F17),"error","ok")</f>
        <v>ok</v>
      </c>
      <c r="F5" s="319" t="str">
        <f>IF(SUM('DFP-CASH'!$C17:G17)&gt;SUM('DFP-Com'!$C17:G17),"error","ok")</f>
        <v>ok</v>
      </c>
      <c r="G5" s="319" t="str">
        <f>IF(SUM('DFP-CASH'!$C17:H17)&gt;SUM('DFP-Com'!$C17:H17),"error","ok")</f>
        <v>ok</v>
      </c>
      <c r="H5" s="319" t="str">
        <f>IF(SUM('DFP-CASH'!$C17:I17)&gt;SUM('DFP-Com'!$C17:I17),"error","ok")</f>
        <v>ok</v>
      </c>
      <c r="I5" s="319" t="str">
        <f>IF(SUM('DFP-CASH'!$C17:J17)&gt;SUM('DFP-Com'!$C17:J17),"error","ok")</f>
        <v>ok</v>
      </c>
      <c r="J5" s="319" t="str">
        <f>IF(SUM('DFP-CASH'!$C17:K17)&gt;SUM('DFP-Com'!$C17:K17),"error","ok")</f>
        <v>ok</v>
      </c>
      <c r="K5" s="319" t="str">
        <f>IF(SUM('DFP-CASH'!$C17:L17)&gt;SUM('DFP-Com'!$C17:L17),"error","ok")</f>
        <v>ok</v>
      </c>
      <c r="L5" s="319" t="str">
        <f>IF(SUM('DFP-CASH'!$C17:M17)&gt;SUM('DFP-Com'!$C17:M17),"error","ok")</f>
        <v>ok</v>
      </c>
      <c r="M5" s="319" t="str">
        <f>IF(SUM('DFP-CASH'!$C17:N17)&gt;SUM('DFP-Com'!$C17:N17),"error","ok")</f>
        <v>ok</v>
      </c>
      <c r="N5" s="319" t="str">
        <f>IF(SUM('DFP-CASH'!$C17:O17)&gt;SUM('DFP-Com'!$C17:O17),"error","ok")</f>
        <v>ok</v>
      </c>
      <c r="O5" s="319" t="str">
        <f>IF(SUM('DFP-CASH'!$C17:P17)&gt;SUM('DFP-Com'!$C17:P17),"error","ok")</f>
        <v>ok</v>
      </c>
      <c r="P5" s="319" t="str">
        <f>IF(SUM('DFP-CASH'!$C17:Q17)&gt;SUM('DFP-Com'!$C17:Q17),"error","ok")</f>
        <v>ok</v>
      </c>
      <c r="Q5" s="319" t="str">
        <f>IF(SUM('DFP-CASH'!$C17:R17)&gt;SUM('DFP-Com'!$C17:R17),"error","ok")</f>
        <v>ok</v>
      </c>
      <c r="R5" s="319" t="str">
        <f>IF(SUM('DFP-CASH'!$C17:S17)&gt;SUM('DFP-Com'!$C17:S17),"error","ok")</f>
        <v>ok</v>
      </c>
      <c r="S5" s="319" t="str">
        <f>IF(SUM('DFP-CASH'!$C17:T17)&gt;SUM('DFP-Com'!$C17:T17),"error","ok")</f>
        <v>ok</v>
      </c>
    </row>
    <row r="6" spans="1:19" ht="15">
      <c r="A6" s="207" t="s">
        <v>134</v>
      </c>
      <c r="B6" s="263" t="str">
        <f>IF('DFP-Com'!V18-'DFP-CASH'!V18=0,"ok","error")</f>
        <v>ok</v>
      </c>
      <c r="C6" s="319" t="str">
        <f>IF(SUM('DFP-CASH'!$C18:D18)&gt;SUM('DFP-Com'!$C18:D18),"error","ok")</f>
        <v>ok</v>
      </c>
      <c r="D6" s="319" t="str">
        <f>IF(SUM('DFP-CASH'!$C18:E18)&gt;SUM('DFP-Com'!$C18:E18),"error","ok")</f>
        <v>ok</v>
      </c>
      <c r="E6" s="319" t="str">
        <f>IF(SUM('DFP-CASH'!$C18:F18)&gt;SUM('DFP-Com'!$C18:F18),"error","ok")</f>
        <v>ok</v>
      </c>
      <c r="F6" s="319" t="str">
        <f>IF(SUM('DFP-CASH'!$C18:G18)&gt;SUM('DFP-Com'!$C18:G18),"error","ok")</f>
        <v>ok</v>
      </c>
      <c r="G6" s="319" t="str">
        <f>IF(SUM('DFP-CASH'!$C18:H18)&gt;SUM('DFP-Com'!$C18:H18),"error","ok")</f>
        <v>ok</v>
      </c>
      <c r="H6" s="319" t="str">
        <f>IF(SUM('DFP-CASH'!$C18:I18)&gt;SUM('DFP-Com'!$C18:I18),"error","ok")</f>
        <v>ok</v>
      </c>
      <c r="I6" s="319" t="str">
        <f>IF(SUM('DFP-CASH'!$C18:J18)&gt;SUM('DFP-Com'!$C18:J18),"error","ok")</f>
        <v>ok</v>
      </c>
      <c r="J6" s="319" t="str">
        <f>IF(SUM('DFP-CASH'!$C18:K18)&gt;SUM('DFP-Com'!$C18:K18),"error","ok")</f>
        <v>ok</v>
      </c>
      <c r="K6" s="319" t="str">
        <f>IF(SUM('DFP-CASH'!$C18:L18)&gt;SUM('DFP-Com'!$C18:L18),"error","ok")</f>
        <v>ok</v>
      </c>
      <c r="L6" s="319" t="str">
        <f>IF(SUM('DFP-CASH'!$C18:M18)&gt;SUM('DFP-Com'!$C18:M18),"error","ok")</f>
        <v>ok</v>
      </c>
      <c r="M6" s="319" t="str">
        <f>IF(SUM('DFP-CASH'!$C18:N18)&gt;SUM('DFP-Com'!$C18:N18),"error","ok")</f>
        <v>ok</v>
      </c>
      <c r="N6" s="319" t="str">
        <f>IF(SUM('DFP-CASH'!$C18:O18)&gt;SUM('DFP-Com'!$C18:O18),"error","ok")</f>
        <v>ok</v>
      </c>
      <c r="O6" s="319" t="str">
        <f>IF(SUM('DFP-CASH'!$C18:P18)&gt;SUM('DFP-Com'!$C18:P18),"error","ok")</f>
        <v>ok</v>
      </c>
      <c r="P6" s="319" t="str">
        <f>IF(SUM('DFP-CASH'!$C18:Q18)&gt;SUM('DFP-Com'!$C18:Q18),"error","ok")</f>
        <v>ok</v>
      </c>
      <c r="Q6" s="319" t="str">
        <f>IF(SUM('DFP-CASH'!$C18:R18)&gt;SUM('DFP-Com'!$C18:R18),"error","ok")</f>
        <v>ok</v>
      </c>
      <c r="R6" s="319" t="str">
        <f>IF(SUM('DFP-CASH'!$C18:S18)&gt;SUM('DFP-Com'!$C18:S18),"error","ok")</f>
        <v>ok</v>
      </c>
      <c r="S6" s="319" t="str">
        <f>IF(SUM('DFP-CASH'!$C18:T18)&gt;SUM('DFP-Com'!$C18:T18),"error","ok")</f>
        <v>ok</v>
      </c>
    </row>
    <row r="7" spans="1:19" ht="15">
      <c r="A7" s="207" t="s">
        <v>135</v>
      </c>
      <c r="B7" s="263" t="str">
        <f>IF('DFP-Com'!V19-'DFP-CASH'!V19=0,"ok","error")</f>
        <v>ok</v>
      </c>
      <c r="C7" s="319" t="str">
        <f>IF(SUM('DFP-CASH'!$C19:D19)&gt;SUM('DFP-Com'!$C19:D19),"error","ok")</f>
        <v>ok</v>
      </c>
      <c r="D7" s="319" t="str">
        <f>IF(SUM('DFP-CASH'!$C19:E19)&gt;SUM('DFP-Com'!$C19:E19),"error","ok")</f>
        <v>ok</v>
      </c>
      <c r="E7" s="319" t="str">
        <f>IF(SUM('DFP-CASH'!$C19:F19)&gt;SUM('DFP-Com'!$C19:F19),"error","ok")</f>
        <v>ok</v>
      </c>
      <c r="F7" s="319" t="str">
        <f>IF(SUM('DFP-CASH'!$C19:G19)&gt;SUM('DFP-Com'!$C19:G19),"error","ok")</f>
        <v>ok</v>
      </c>
      <c r="G7" s="319" t="str">
        <f>IF(SUM('DFP-CASH'!$C19:H19)&gt;SUM('DFP-Com'!$C19:H19),"error","ok")</f>
        <v>ok</v>
      </c>
      <c r="H7" s="319" t="str">
        <f>IF(SUM('DFP-CASH'!$C19:I19)&gt;SUM('DFP-Com'!$C19:I19),"error","ok")</f>
        <v>ok</v>
      </c>
      <c r="I7" s="319" t="str">
        <f>IF(SUM('DFP-CASH'!$C19:J19)&gt;SUM('DFP-Com'!$C19:J19),"error","ok")</f>
        <v>ok</v>
      </c>
      <c r="J7" s="319" t="str">
        <f>IF(SUM('DFP-CASH'!$C19:K19)&gt;SUM('DFP-Com'!$C19:K19),"error","ok")</f>
        <v>ok</v>
      </c>
      <c r="K7" s="319" t="str">
        <f>IF(SUM('DFP-CASH'!$C19:L19)&gt;SUM('DFP-Com'!$C19:L19),"error","ok")</f>
        <v>ok</v>
      </c>
      <c r="L7" s="319" t="str">
        <f>IF(SUM('DFP-CASH'!$C19:M19)&gt;SUM('DFP-Com'!$C19:M19),"error","ok")</f>
        <v>ok</v>
      </c>
      <c r="M7" s="319" t="str">
        <f>IF(SUM('DFP-CASH'!$C19:N19)&gt;SUM('DFP-Com'!$C19:N19),"error","ok")</f>
        <v>ok</v>
      </c>
      <c r="N7" s="319" t="str">
        <f>IF(SUM('DFP-CASH'!$C19:O19)&gt;SUM('DFP-Com'!$C19:O19),"error","ok")</f>
        <v>ok</v>
      </c>
      <c r="O7" s="319" t="str">
        <f>IF(SUM('DFP-CASH'!$C19:P19)&gt;SUM('DFP-Com'!$C19:P19),"error","ok")</f>
        <v>ok</v>
      </c>
      <c r="P7" s="319" t="str">
        <f>IF(SUM('DFP-CASH'!$C19:Q19)&gt;SUM('DFP-Com'!$C19:Q19),"error","ok")</f>
        <v>ok</v>
      </c>
      <c r="Q7" s="319" t="str">
        <f>IF(SUM('DFP-CASH'!$C19:R19)&gt;SUM('DFP-Com'!$C19:R19),"error","ok")</f>
        <v>ok</v>
      </c>
      <c r="R7" s="319" t="str">
        <f>IF(SUM('DFP-CASH'!$C19:S19)&gt;SUM('DFP-Com'!$C19:S19),"error","ok")</f>
        <v>ok</v>
      </c>
      <c r="S7" s="319" t="str">
        <f>IF(SUM('DFP-CASH'!$C19:T19)&gt;SUM('DFP-Com'!$C19:T19),"error","ok")</f>
        <v>ok</v>
      </c>
    </row>
    <row r="8" spans="1:19" ht="15">
      <c r="A8" s="207" t="s">
        <v>142</v>
      </c>
      <c r="B8" s="263" t="str">
        <f>IF('DFP-Com'!V20-'DFP-CASH'!V20=0,"ok","error")</f>
        <v>ok</v>
      </c>
      <c r="C8" s="319" t="str">
        <f>IF(SUM('DFP-CASH'!$C20:D20)&gt;SUM('DFP-Com'!$C20:D20),"error","ok")</f>
        <v>ok</v>
      </c>
      <c r="D8" s="319" t="str">
        <f>IF(SUM('DFP-CASH'!$C20:E20)&gt;SUM('DFP-Com'!$C20:E20),"error","ok")</f>
        <v>ok</v>
      </c>
      <c r="E8" s="319" t="str">
        <f>IF(SUM('DFP-CASH'!$C20:F20)&gt;SUM('DFP-Com'!$C20:F20),"error","ok")</f>
        <v>ok</v>
      </c>
      <c r="F8" s="319" t="str">
        <f>IF(SUM('DFP-CASH'!$C20:G20)&gt;SUM('DFP-Com'!$C20:G20),"error","ok")</f>
        <v>ok</v>
      </c>
      <c r="G8" s="319" t="str">
        <f>IF(SUM('DFP-CASH'!$C20:H20)&gt;SUM('DFP-Com'!$C20:H20),"error","ok")</f>
        <v>ok</v>
      </c>
      <c r="H8" s="319" t="str">
        <f>IF(SUM('DFP-CASH'!$C20:I20)&gt;SUM('DFP-Com'!$C20:I20),"error","ok")</f>
        <v>ok</v>
      </c>
      <c r="I8" s="319" t="str">
        <f>IF(SUM('DFP-CASH'!$C20:J20)&gt;SUM('DFP-Com'!$C20:J20),"error","ok")</f>
        <v>ok</v>
      </c>
      <c r="J8" s="319" t="str">
        <f>IF(SUM('DFP-CASH'!$C20:K20)&gt;SUM('DFP-Com'!$C20:K20),"error","ok")</f>
        <v>ok</v>
      </c>
      <c r="K8" s="319" t="str">
        <f>IF(SUM('DFP-CASH'!$C20:L20)&gt;SUM('DFP-Com'!$C20:L20),"error","ok")</f>
        <v>ok</v>
      </c>
      <c r="L8" s="319" t="str">
        <f>IF(SUM('DFP-CASH'!$C20:M20)&gt;SUM('DFP-Com'!$C20:M20),"error","ok")</f>
        <v>ok</v>
      </c>
      <c r="M8" s="319" t="str">
        <f>IF(SUM('DFP-CASH'!$C20:N20)&gt;SUM('DFP-Com'!$C20:N20),"error","ok")</f>
        <v>ok</v>
      </c>
      <c r="N8" s="319" t="str">
        <f>IF(SUM('DFP-CASH'!$C20:O20)&gt;SUM('DFP-Com'!$C20:O20),"error","ok")</f>
        <v>ok</v>
      </c>
      <c r="O8" s="319" t="str">
        <f>IF(SUM('DFP-CASH'!$C20:P20)&gt;SUM('DFP-Com'!$C20:P20),"error","ok")</f>
        <v>ok</v>
      </c>
      <c r="P8" s="319" t="str">
        <f>IF(SUM('DFP-CASH'!$C20:Q20)&gt;SUM('DFP-Com'!$C20:Q20),"error","ok")</f>
        <v>ok</v>
      </c>
      <c r="Q8" s="319" t="str">
        <f>IF(SUM('DFP-CASH'!$C20:R20)&gt;SUM('DFP-Com'!$C20:R20),"error","ok")</f>
        <v>ok</v>
      </c>
      <c r="R8" s="319" t="str">
        <f>IF(SUM('DFP-CASH'!$C20:S20)&gt;SUM('DFP-Com'!$C20:S20),"error","ok")</f>
        <v>ok</v>
      </c>
      <c r="S8" s="319" t="str">
        <f>IF(SUM('DFP-CASH'!$C20:T20)&gt;SUM('DFP-Com'!$C20:T20),"error","ok")</f>
        <v>ok</v>
      </c>
    </row>
    <row r="9" spans="1:19" ht="25.5">
      <c r="A9" s="52" t="s">
        <v>96</v>
      </c>
      <c r="B9" s="263" t="str">
        <f>IF('DFP-Com'!V21-'DFP-CASH'!V21=0,"ok","error")</f>
        <v>ok</v>
      </c>
      <c r="C9" s="319" t="str">
        <f>IF(SUM('DFP-CASH'!$C21:D21)&gt;SUM('DFP-Com'!$C21:D21),"error","ok")</f>
        <v>ok</v>
      </c>
      <c r="D9" s="319" t="str">
        <f>IF(SUM('DFP-CASH'!$C21:E21)&gt;SUM('DFP-Com'!$C21:E21),"error","ok")</f>
        <v>ok</v>
      </c>
      <c r="E9" s="319" t="str">
        <f>IF(SUM('DFP-CASH'!$C21:F21)&gt;SUM('DFP-Com'!$C21:F21),"error","ok")</f>
        <v>ok</v>
      </c>
      <c r="F9" s="319" t="str">
        <f>IF(SUM('DFP-CASH'!$C21:G21)&gt;SUM('DFP-Com'!$C21:G21),"error","ok")</f>
        <v>ok</v>
      </c>
      <c r="G9" s="319" t="str">
        <f>IF(SUM('DFP-CASH'!$C21:H21)&gt;SUM('DFP-Com'!$C21:H21),"error","ok")</f>
        <v>ok</v>
      </c>
      <c r="H9" s="319" t="str">
        <f>IF(SUM('DFP-CASH'!$C21:I21)&gt;SUM('DFP-Com'!$C21:I21),"error","ok")</f>
        <v>ok</v>
      </c>
      <c r="I9" s="319" t="str">
        <f>IF(SUM('DFP-CASH'!$C21:J21)&gt;SUM('DFP-Com'!$C21:J21),"error","ok")</f>
        <v>ok</v>
      </c>
      <c r="J9" s="319" t="str">
        <f>IF(SUM('DFP-CASH'!$C21:K21)&gt;SUM('DFP-Com'!$C21:K21),"error","ok")</f>
        <v>ok</v>
      </c>
      <c r="K9" s="319" t="str">
        <f>IF(SUM('DFP-CASH'!$C21:L21)&gt;SUM('DFP-Com'!$C21:L21),"error","ok")</f>
        <v>ok</v>
      </c>
      <c r="L9" s="319" t="str">
        <f>IF(SUM('DFP-CASH'!$C21:M21)&gt;SUM('DFP-Com'!$C21:M21),"error","ok")</f>
        <v>ok</v>
      </c>
      <c r="M9" s="319" t="str">
        <f>IF(SUM('DFP-CASH'!$C21:N21)&gt;SUM('DFP-Com'!$C21:N21),"error","ok")</f>
        <v>ok</v>
      </c>
      <c r="N9" s="319" t="str">
        <f>IF(SUM('DFP-CASH'!$C21:O21)&gt;SUM('DFP-Com'!$C21:O21),"error","ok")</f>
        <v>ok</v>
      </c>
      <c r="O9" s="319" t="str">
        <f>IF(SUM('DFP-CASH'!$C21:P21)&gt;SUM('DFP-Com'!$C21:P21),"error","ok")</f>
        <v>ok</v>
      </c>
      <c r="P9" s="319" t="str">
        <f>IF(SUM('DFP-CASH'!$C21:Q21)&gt;SUM('DFP-Com'!$C21:Q21),"error","ok")</f>
        <v>ok</v>
      </c>
      <c r="Q9" s="319" t="str">
        <f>IF(SUM('DFP-CASH'!$C21:R21)&gt;SUM('DFP-Com'!$C21:R21),"error","ok")</f>
        <v>ok</v>
      </c>
      <c r="R9" s="319" t="str">
        <f>IF(SUM('DFP-CASH'!$C21:S21)&gt;SUM('DFP-Com'!$C21:S21),"error","ok")</f>
        <v>ok</v>
      </c>
      <c r="S9" s="319" t="str">
        <f>IF(SUM('DFP-CASH'!$C21:T21)&gt;SUM('DFP-Com'!$C21:T21),"error","ok")</f>
        <v>ok</v>
      </c>
    </row>
    <row r="10" spans="1:19" ht="15">
      <c r="A10" s="207" t="s">
        <v>143</v>
      </c>
      <c r="B10" s="263" t="str">
        <f>IF('DFP-Com'!V22-'DFP-CASH'!V22=0,"ok","error")</f>
        <v>ok</v>
      </c>
      <c r="C10" s="319" t="str">
        <f>IF(SUM('DFP-CASH'!$C22:D22)&gt;SUM('DFP-Com'!$C22:D22),"error","ok")</f>
        <v>ok</v>
      </c>
      <c r="D10" s="319" t="str">
        <f>IF(SUM('DFP-CASH'!$C22:E22)&gt;SUM('DFP-Com'!$C22:E22),"error","ok")</f>
        <v>ok</v>
      </c>
      <c r="E10" s="319" t="str">
        <f>IF(SUM('DFP-CASH'!$C22:F22)&gt;SUM('DFP-Com'!$C22:F22),"error","ok")</f>
        <v>ok</v>
      </c>
      <c r="F10" s="319" t="str">
        <f>IF(SUM('DFP-CASH'!$C22:G22)&gt;SUM('DFP-Com'!$C22:G22),"error","ok")</f>
        <v>ok</v>
      </c>
      <c r="G10" s="319" t="str">
        <f>IF(SUM('DFP-CASH'!$C22:H22)&gt;SUM('DFP-Com'!$C22:H22),"error","ok")</f>
        <v>ok</v>
      </c>
      <c r="H10" s="319" t="str">
        <f>IF(SUM('DFP-CASH'!$C22:I22)&gt;SUM('DFP-Com'!$C22:I22),"error","ok")</f>
        <v>ok</v>
      </c>
      <c r="I10" s="319" t="str">
        <f>IF(SUM('DFP-CASH'!$C22:J22)&gt;SUM('DFP-Com'!$C22:J22),"error","ok")</f>
        <v>ok</v>
      </c>
      <c r="J10" s="319" t="str">
        <f>IF(SUM('DFP-CASH'!$C22:K22)&gt;SUM('DFP-Com'!$C22:K22),"error","ok")</f>
        <v>ok</v>
      </c>
      <c r="K10" s="319" t="str">
        <f>IF(SUM('DFP-CASH'!$C22:L22)&gt;SUM('DFP-Com'!$C22:L22),"error","ok")</f>
        <v>ok</v>
      </c>
      <c r="L10" s="319" t="str">
        <f>IF(SUM('DFP-CASH'!$C22:M22)&gt;SUM('DFP-Com'!$C22:M22),"error","ok")</f>
        <v>ok</v>
      </c>
      <c r="M10" s="319" t="str">
        <f>IF(SUM('DFP-CASH'!$C22:N22)&gt;SUM('DFP-Com'!$C22:N22),"error","ok")</f>
        <v>ok</v>
      </c>
      <c r="N10" s="319" t="str">
        <f>IF(SUM('DFP-CASH'!$C22:O22)&gt;SUM('DFP-Com'!$C22:O22),"error","ok")</f>
        <v>ok</v>
      </c>
      <c r="O10" s="319" t="str">
        <f>IF(SUM('DFP-CASH'!$C22:P22)&gt;SUM('DFP-Com'!$C22:P22),"error","ok")</f>
        <v>ok</v>
      </c>
      <c r="P10" s="319" t="str">
        <f>IF(SUM('DFP-CASH'!$C22:Q22)&gt;SUM('DFP-Com'!$C22:Q22),"error","ok")</f>
        <v>ok</v>
      </c>
      <c r="Q10" s="319" t="str">
        <f>IF(SUM('DFP-CASH'!$C22:R22)&gt;SUM('DFP-Com'!$C22:R22),"error","ok")</f>
        <v>ok</v>
      </c>
      <c r="R10" s="319" t="str">
        <f>IF(SUM('DFP-CASH'!$C22:S22)&gt;SUM('DFP-Com'!$C22:S22),"error","ok")</f>
        <v>ok</v>
      </c>
      <c r="S10" s="319" t="str">
        <f>IF(SUM('DFP-CASH'!$C22:T22)&gt;SUM('DFP-Com'!$C22:T22),"error","ok")</f>
        <v>ok</v>
      </c>
    </row>
    <row r="11" spans="1:19" ht="25.5">
      <c r="A11" s="52" t="s">
        <v>97</v>
      </c>
      <c r="B11" s="263" t="str">
        <f>IF('DFP-Com'!V23-'DFP-CASH'!V23=0,"ok","error")</f>
        <v>ok</v>
      </c>
      <c r="C11" s="319" t="str">
        <f>IF(SUM('DFP-CASH'!$C23:D23)&gt;SUM('DFP-Com'!$C23:D23),"error","ok")</f>
        <v>ok</v>
      </c>
      <c r="D11" s="319" t="str">
        <f>IF(SUM('DFP-CASH'!$C23:E23)&gt;SUM('DFP-Com'!$C23:E23),"error","ok")</f>
        <v>ok</v>
      </c>
      <c r="E11" s="319" t="str">
        <f>IF(SUM('DFP-CASH'!$C23:F23)&gt;SUM('DFP-Com'!$C23:F23),"error","ok")</f>
        <v>ok</v>
      </c>
      <c r="F11" s="319" t="str">
        <f>IF(SUM('DFP-CASH'!$C23:G23)&gt;SUM('DFP-Com'!$C23:G23),"error","ok")</f>
        <v>ok</v>
      </c>
      <c r="G11" s="319" t="str">
        <f>IF(SUM('DFP-CASH'!$C23:H23)&gt;SUM('DFP-Com'!$C23:H23),"error","ok")</f>
        <v>ok</v>
      </c>
      <c r="H11" s="319" t="str">
        <f>IF(SUM('DFP-CASH'!$C23:I23)&gt;SUM('DFP-Com'!$C23:I23),"error","ok")</f>
        <v>ok</v>
      </c>
      <c r="I11" s="319" t="str">
        <f>IF(SUM('DFP-CASH'!$C23:J23)&gt;SUM('DFP-Com'!$C23:J23),"error","ok")</f>
        <v>ok</v>
      </c>
      <c r="J11" s="319" t="str">
        <f>IF(SUM('DFP-CASH'!$C23:K23)&gt;SUM('DFP-Com'!$C23:K23),"error","ok")</f>
        <v>ok</v>
      </c>
      <c r="K11" s="319" t="str">
        <f>IF(SUM('DFP-CASH'!$C23:L23)&gt;SUM('DFP-Com'!$C23:L23),"error","ok")</f>
        <v>ok</v>
      </c>
      <c r="L11" s="319" t="str">
        <f>IF(SUM('DFP-CASH'!$C23:M23)&gt;SUM('DFP-Com'!$C23:M23),"error","ok")</f>
        <v>ok</v>
      </c>
      <c r="M11" s="319" t="str">
        <f>IF(SUM('DFP-CASH'!$C23:N23)&gt;SUM('DFP-Com'!$C23:N23),"error","ok")</f>
        <v>ok</v>
      </c>
      <c r="N11" s="319" t="str">
        <f>IF(SUM('DFP-CASH'!$C23:O23)&gt;SUM('DFP-Com'!$C23:O23),"error","ok")</f>
        <v>ok</v>
      </c>
      <c r="O11" s="319" t="str">
        <f>IF(SUM('DFP-CASH'!$C23:P23)&gt;SUM('DFP-Com'!$C23:P23),"error","ok")</f>
        <v>ok</v>
      </c>
      <c r="P11" s="319" t="str">
        <f>IF(SUM('DFP-CASH'!$C23:Q23)&gt;SUM('DFP-Com'!$C23:Q23),"error","ok")</f>
        <v>ok</v>
      </c>
      <c r="Q11" s="319" t="str">
        <f>IF(SUM('DFP-CASH'!$C23:R23)&gt;SUM('DFP-Com'!$C23:R23),"error","ok")</f>
        <v>ok</v>
      </c>
      <c r="R11" s="319" t="str">
        <f>IF(SUM('DFP-CASH'!$C23:S23)&gt;SUM('DFP-Com'!$C23:S23),"error","ok")</f>
        <v>ok</v>
      </c>
      <c r="S11" s="319" t="str">
        <f>IF(SUM('DFP-CASH'!$C23:T23)&gt;SUM('DFP-Com'!$C23:T23),"error","ok")</f>
        <v>ok</v>
      </c>
    </row>
    <row r="12" spans="1:19" ht="15">
      <c r="A12" s="207" t="s">
        <v>136</v>
      </c>
      <c r="B12" s="263" t="str">
        <f>IF('DFP-Com'!V24-'DFP-CASH'!V24=0,"ok","error")</f>
        <v>ok</v>
      </c>
      <c r="C12" s="319" t="str">
        <f>IF(SUM('DFP-CASH'!$C24:D24)&gt;SUM('DFP-Com'!$C24:D24),"error","ok")</f>
        <v>ok</v>
      </c>
      <c r="D12" s="319" t="str">
        <f>IF(SUM('DFP-CASH'!$C24:E24)&gt;SUM('DFP-Com'!$C24:E24),"error","ok")</f>
        <v>ok</v>
      </c>
      <c r="E12" s="319" t="str">
        <f>IF(SUM('DFP-CASH'!$C24:F24)&gt;SUM('DFP-Com'!$C24:F24),"error","ok")</f>
        <v>ok</v>
      </c>
      <c r="F12" s="319" t="str">
        <f>IF(SUM('DFP-CASH'!$C24:G24)&gt;SUM('DFP-Com'!$C24:G24),"error","ok")</f>
        <v>ok</v>
      </c>
      <c r="G12" s="319" t="str">
        <f>IF(SUM('DFP-CASH'!$C24:H24)&gt;SUM('DFP-Com'!$C24:H24),"error","ok")</f>
        <v>ok</v>
      </c>
      <c r="H12" s="319" t="str">
        <f>IF(SUM('DFP-CASH'!$C24:I24)&gt;SUM('DFP-Com'!$C24:I24),"error","ok")</f>
        <v>ok</v>
      </c>
      <c r="I12" s="319" t="str">
        <f>IF(SUM('DFP-CASH'!$C24:J24)&gt;SUM('DFP-Com'!$C24:J24),"error","ok")</f>
        <v>ok</v>
      </c>
      <c r="J12" s="319" t="str">
        <f>IF(SUM('DFP-CASH'!$C24:K24)&gt;SUM('DFP-Com'!$C24:K24),"error","ok")</f>
        <v>ok</v>
      </c>
      <c r="K12" s="319" t="str">
        <f>IF(SUM('DFP-CASH'!$C24:L24)&gt;SUM('DFP-Com'!$C24:L24),"error","ok")</f>
        <v>ok</v>
      </c>
      <c r="L12" s="319" t="str">
        <f>IF(SUM('DFP-CASH'!$C24:M24)&gt;SUM('DFP-Com'!$C24:M24),"error","ok")</f>
        <v>ok</v>
      </c>
      <c r="M12" s="319" t="str">
        <f>IF(SUM('DFP-CASH'!$C24:N24)&gt;SUM('DFP-Com'!$C24:N24),"error","ok")</f>
        <v>ok</v>
      </c>
      <c r="N12" s="319" t="str">
        <f>IF(SUM('DFP-CASH'!$C24:O24)&gt;SUM('DFP-Com'!$C24:O24),"error","ok")</f>
        <v>ok</v>
      </c>
      <c r="O12" s="319" t="str">
        <f>IF(SUM('DFP-CASH'!$C24:P24)&gt;SUM('DFP-Com'!$C24:P24),"error","ok")</f>
        <v>ok</v>
      </c>
      <c r="P12" s="319" t="str">
        <f>IF(SUM('DFP-CASH'!$C24:Q24)&gt;SUM('DFP-Com'!$C24:Q24),"error","ok")</f>
        <v>ok</v>
      </c>
      <c r="Q12" s="319" t="str">
        <f>IF(SUM('DFP-CASH'!$C24:R24)&gt;SUM('DFP-Com'!$C24:R24),"error","ok")</f>
        <v>ok</v>
      </c>
      <c r="R12" s="319" t="str">
        <f>IF(SUM('DFP-CASH'!$C24:S24)&gt;SUM('DFP-Com'!$C24:S24),"error","ok")</f>
        <v>ok</v>
      </c>
      <c r="S12" s="319" t="str">
        <f>IF(SUM('DFP-CASH'!$C24:T24)&gt;SUM('DFP-Com'!$C24:T24),"error","ok")</f>
        <v>ok</v>
      </c>
    </row>
    <row r="13" spans="1:19" ht="15">
      <c r="A13" s="207" t="s">
        <v>153</v>
      </c>
      <c r="B13" s="263" t="str">
        <f>IF('DFP-Com'!V25-'DFP-CASH'!V25=0,"ok","error")</f>
        <v>ok</v>
      </c>
      <c r="C13" s="319" t="str">
        <f>IF(SUM('DFP-CASH'!$C25:D25)&gt;SUM('DFP-Com'!$C25:D25),"error","ok")</f>
        <v>ok</v>
      </c>
      <c r="D13" s="319" t="str">
        <f>IF(SUM('DFP-CASH'!$C25:E25)&gt;SUM('DFP-Com'!$C25:E25),"error","ok")</f>
        <v>ok</v>
      </c>
      <c r="E13" s="319" t="str">
        <f>IF(SUM('DFP-CASH'!$C25:F25)&gt;SUM('DFP-Com'!$C25:F25),"error","ok")</f>
        <v>ok</v>
      </c>
      <c r="F13" s="319" t="str">
        <f>IF(SUM('DFP-CASH'!$C25:G25)&gt;SUM('DFP-Com'!$C25:G25),"error","ok")</f>
        <v>ok</v>
      </c>
      <c r="G13" s="319" t="str">
        <f>IF(SUM('DFP-CASH'!$C25:H25)&gt;SUM('DFP-Com'!$C25:H25),"error","ok")</f>
        <v>ok</v>
      </c>
      <c r="H13" s="319" t="str">
        <f>IF(SUM('DFP-CASH'!$C25:I25)&gt;SUM('DFP-Com'!$C25:I25),"error","ok")</f>
        <v>ok</v>
      </c>
      <c r="I13" s="319" t="str">
        <f>IF(SUM('DFP-CASH'!$C25:J25)&gt;SUM('DFP-Com'!$C25:J25),"error","ok")</f>
        <v>ok</v>
      </c>
      <c r="J13" s="319" t="str">
        <f>IF(SUM('DFP-CASH'!$C25:K25)&gt;SUM('DFP-Com'!$C25:K25),"error","ok")</f>
        <v>ok</v>
      </c>
      <c r="K13" s="319" t="str">
        <f>IF(SUM('DFP-CASH'!$C25:L25)&gt;SUM('DFP-Com'!$C25:L25),"error","ok")</f>
        <v>ok</v>
      </c>
      <c r="L13" s="319" t="str">
        <f>IF(SUM('DFP-CASH'!$C25:M25)&gt;SUM('DFP-Com'!$C25:M25),"error","ok")</f>
        <v>ok</v>
      </c>
      <c r="M13" s="319" t="str">
        <f>IF(SUM('DFP-CASH'!$C25:N25)&gt;SUM('DFP-Com'!$C25:N25),"error","ok")</f>
        <v>ok</v>
      </c>
      <c r="N13" s="319" t="str">
        <f>IF(SUM('DFP-CASH'!$C25:O25)&gt;SUM('DFP-Com'!$C25:O25),"error","ok")</f>
        <v>ok</v>
      </c>
      <c r="O13" s="319" t="str">
        <f>IF(SUM('DFP-CASH'!$C25:P25)&gt;SUM('DFP-Com'!$C25:P25),"error","ok")</f>
        <v>ok</v>
      </c>
      <c r="P13" s="319" t="str">
        <f>IF(SUM('DFP-CASH'!$C25:Q25)&gt;SUM('DFP-Com'!$C25:Q25),"error","ok")</f>
        <v>ok</v>
      </c>
      <c r="Q13" s="319" t="str">
        <f>IF(SUM('DFP-CASH'!$C25:R25)&gt;SUM('DFP-Com'!$C25:R25),"error","ok")</f>
        <v>ok</v>
      </c>
      <c r="R13" s="319" t="str">
        <f>IF(SUM('DFP-CASH'!$C25:S25)&gt;SUM('DFP-Com'!$C25:S25),"error","ok")</f>
        <v>ok</v>
      </c>
      <c r="S13" s="319" t="str">
        <f>IF(SUM('DFP-CASH'!$C25:T25)&gt;SUM('DFP-Com'!$C25:T25),"error","ok")</f>
        <v>ok</v>
      </c>
    </row>
    <row r="14" spans="1:19" ht="15">
      <c r="A14" s="207" t="s">
        <v>152</v>
      </c>
      <c r="B14" s="263" t="str">
        <f>IF('DFP-Com'!V26-'DFP-CASH'!V26=0,"ok","error")</f>
        <v>ok</v>
      </c>
      <c r="C14" s="319" t="str">
        <f>IF(SUM('DFP-CASH'!$C26:D26)&gt;SUM('DFP-Com'!$C26:D26),"error","ok")</f>
        <v>ok</v>
      </c>
      <c r="D14" s="319" t="str">
        <f>IF(SUM('DFP-CASH'!$C26:E26)&gt;SUM('DFP-Com'!$C26:E26),"error","ok")</f>
        <v>ok</v>
      </c>
      <c r="E14" s="319" t="str">
        <f>IF(SUM('DFP-CASH'!$C26:F26)&gt;SUM('DFP-Com'!$C26:F26),"error","ok")</f>
        <v>ok</v>
      </c>
      <c r="F14" s="319" t="str">
        <f>IF(SUM('DFP-CASH'!$C26:G26)&gt;SUM('DFP-Com'!$C26:G26),"error","ok")</f>
        <v>ok</v>
      </c>
      <c r="G14" s="319" t="str">
        <f>IF(SUM('DFP-CASH'!$C26:H26)&gt;SUM('DFP-Com'!$C26:H26),"error","ok")</f>
        <v>ok</v>
      </c>
      <c r="H14" s="319" t="str">
        <f>IF(SUM('DFP-CASH'!$C26:I26)&gt;SUM('DFP-Com'!$C26:I26),"error","ok")</f>
        <v>ok</v>
      </c>
      <c r="I14" s="319" t="str">
        <f>IF(SUM('DFP-CASH'!$C26:J26)&gt;SUM('DFP-Com'!$C26:J26),"error","ok")</f>
        <v>ok</v>
      </c>
      <c r="J14" s="319" t="str">
        <f>IF(SUM('DFP-CASH'!$C26:K26)&gt;SUM('DFP-Com'!$C26:K26),"error","ok")</f>
        <v>ok</v>
      </c>
      <c r="K14" s="319" t="str">
        <f>IF(SUM('DFP-CASH'!$C26:L26)&gt;SUM('DFP-Com'!$C26:L26),"error","ok")</f>
        <v>ok</v>
      </c>
      <c r="L14" s="319" t="str">
        <f>IF(SUM('DFP-CASH'!$C26:M26)&gt;SUM('DFP-Com'!$C26:M26),"error","ok")</f>
        <v>ok</v>
      </c>
      <c r="M14" s="319" t="str">
        <f>IF(SUM('DFP-CASH'!$C26:N26)&gt;SUM('DFP-Com'!$C26:N26),"error","ok")</f>
        <v>ok</v>
      </c>
      <c r="N14" s="319" t="str">
        <f>IF(SUM('DFP-CASH'!$C26:O26)&gt;SUM('DFP-Com'!$C26:O26),"error","ok")</f>
        <v>ok</v>
      </c>
      <c r="O14" s="319" t="str">
        <f>IF(SUM('DFP-CASH'!$C26:P26)&gt;SUM('DFP-Com'!$C26:P26),"error","ok")</f>
        <v>ok</v>
      </c>
      <c r="P14" s="319" t="str">
        <f>IF(SUM('DFP-CASH'!$C26:Q26)&gt;SUM('DFP-Com'!$C26:Q26),"error","ok")</f>
        <v>ok</v>
      </c>
      <c r="Q14" s="319" t="str">
        <f>IF(SUM('DFP-CASH'!$C26:R26)&gt;SUM('DFP-Com'!$C26:R26),"error","ok")</f>
        <v>ok</v>
      </c>
      <c r="R14" s="319" t="str">
        <f>IF(SUM('DFP-CASH'!$C26:S26)&gt;SUM('DFP-Com'!$C26:S26),"error","ok")</f>
        <v>ok</v>
      </c>
      <c r="S14" s="319" t="str">
        <f>IF(SUM('DFP-CASH'!$C26:T26)&gt;SUM('DFP-Com'!$C26:T26),"error","ok")</f>
        <v>ok</v>
      </c>
    </row>
    <row r="15" spans="1:19" ht="15">
      <c r="A15" s="54" t="s">
        <v>69</v>
      </c>
      <c r="B15" s="263" t="str">
        <f>IF('DFP-Com'!V27-'DFP-CASH'!V27=0,"ok","error")</f>
        <v>ok</v>
      </c>
      <c r="C15" s="319" t="str">
        <f>IF(SUM('DFP-CASH'!$C27:D27)&gt;SUM('DFP-Com'!$C27:D27),"error","ok")</f>
        <v>ok</v>
      </c>
      <c r="D15" s="319" t="str">
        <f>IF(SUM('DFP-CASH'!$C27:E27)&gt;SUM('DFP-Com'!$C27:E27),"error","ok")</f>
        <v>ok</v>
      </c>
      <c r="E15" s="319" t="str">
        <f>IF(SUM('DFP-CASH'!$C27:F27)&gt;SUM('DFP-Com'!$C27:F27),"error","ok")</f>
        <v>ok</v>
      </c>
      <c r="F15" s="319" t="str">
        <f>IF(SUM('DFP-CASH'!$C27:G27)&gt;SUM('DFP-Com'!$C27:G27),"error","ok")</f>
        <v>ok</v>
      </c>
      <c r="G15" s="319" t="str">
        <f>IF(SUM('DFP-CASH'!$C27:H27)&gt;SUM('DFP-Com'!$C27:H27),"error","ok")</f>
        <v>ok</v>
      </c>
      <c r="H15" s="319" t="str">
        <f>IF(SUM('DFP-CASH'!$C27:I27)&gt;SUM('DFP-Com'!$C27:I27),"error","ok")</f>
        <v>ok</v>
      </c>
      <c r="I15" s="319" t="str">
        <f>IF(SUM('DFP-CASH'!$C27:J27)&gt;SUM('DFP-Com'!$C27:J27),"error","ok")</f>
        <v>ok</v>
      </c>
      <c r="J15" s="319" t="str">
        <f>IF(SUM('DFP-CASH'!$C27:K27)&gt;SUM('DFP-Com'!$C27:K27),"error","ok")</f>
        <v>ok</v>
      </c>
      <c r="K15" s="319" t="str">
        <f>IF(SUM('DFP-CASH'!$C27:L27)&gt;SUM('DFP-Com'!$C27:L27),"error","ok")</f>
        <v>ok</v>
      </c>
      <c r="L15" s="319" t="str">
        <f>IF(SUM('DFP-CASH'!$C27:M27)&gt;SUM('DFP-Com'!$C27:M27),"error","ok")</f>
        <v>ok</v>
      </c>
      <c r="M15" s="319" t="str">
        <f>IF(SUM('DFP-CASH'!$C27:N27)&gt;SUM('DFP-Com'!$C27:N27),"error","ok")</f>
        <v>ok</v>
      </c>
      <c r="N15" s="319" t="str">
        <f>IF(SUM('DFP-CASH'!$C27:O27)&gt;SUM('DFP-Com'!$C27:O27),"error","ok")</f>
        <v>ok</v>
      </c>
      <c r="O15" s="319" t="str">
        <f>IF(SUM('DFP-CASH'!$C27:P27)&gt;SUM('DFP-Com'!$C27:P27),"error","ok")</f>
        <v>ok</v>
      </c>
      <c r="P15" s="319" t="str">
        <f>IF(SUM('DFP-CASH'!$C27:Q27)&gt;SUM('DFP-Com'!$C27:Q27),"error","ok")</f>
        <v>ok</v>
      </c>
      <c r="Q15" s="319" t="str">
        <f>IF(SUM('DFP-CASH'!$C27:R27)&gt;SUM('DFP-Com'!$C27:R27),"error","ok")</f>
        <v>ok</v>
      </c>
      <c r="R15" s="319" t="str">
        <f>IF(SUM('DFP-CASH'!$C27:S27)&gt;SUM('DFP-Com'!$C27:S27),"error","ok")</f>
        <v>ok</v>
      </c>
      <c r="S15" s="319" t="str">
        <f>IF(SUM('DFP-CASH'!$C27:T27)&gt;SUM('DFP-Com'!$C27:T27),"error","ok")</f>
        <v>ok</v>
      </c>
    </row>
    <row r="16" spans="1:19" ht="15">
      <c r="A16" s="56"/>
      <c r="B16" s="263" t="str">
        <f>IF('DFP-Com'!V28-'DFP-CASH'!V28=0,"ok","error")</f>
        <v>ok</v>
      </c>
      <c r="C16" s="319" t="str">
        <f>IF(SUM('DFP-CASH'!$C28:D28)&gt;SUM('DFP-Com'!$C28:D28),"error","ok")</f>
        <v>ok</v>
      </c>
      <c r="D16" s="319" t="str">
        <f>IF(SUM('DFP-CASH'!$C28:E28)&gt;SUM('DFP-Com'!$C28:E28),"error","ok")</f>
        <v>ok</v>
      </c>
      <c r="E16" s="319" t="str">
        <f>IF(SUM('DFP-CASH'!$C28:F28)&gt;SUM('DFP-Com'!$C28:F28),"error","ok")</f>
        <v>ok</v>
      </c>
      <c r="F16" s="319" t="str">
        <f>IF(SUM('DFP-CASH'!$C28:G28)&gt;SUM('DFP-Com'!$C28:G28),"error","ok")</f>
        <v>ok</v>
      </c>
      <c r="G16" s="319" t="str">
        <f>IF(SUM('DFP-CASH'!$C28:H28)&gt;SUM('DFP-Com'!$C28:H28),"error","ok")</f>
        <v>ok</v>
      </c>
      <c r="H16" s="319" t="str">
        <f>IF(SUM('DFP-CASH'!$C28:I28)&gt;SUM('DFP-Com'!$C28:I28),"error","ok")</f>
        <v>ok</v>
      </c>
      <c r="I16" s="319" t="str">
        <f>IF(SUM('DFP-CASH'!$C28:J28)&gt;SUM('DFP-Com'!$C28:J28),"error","ok")</f>
        <v>ok</v>
      </c>
      <c r="J16" s="319" t="str">
        <f>IF(SUM('DFP-CASH'!$C28:K28)&gt;SUM('DFP-Com'!$C28:K28),"error","ok")</f>
        <v>ok</v>
      </c>
      <c r="K16" s="319" t="str">
        <f>IF(SUM('DFP-CASH'!$C28:L28)&gt;SUM('DFP-Com'!$C28:L28),"error","ok")</f>
        <v>ok</v>
      </c>
      <c r="L16" s="319" t="str">
        <f>IF(SUM('DFP-CASH'!$C28:M28)&gt;SUM('DFP-Com'!$C28:M28),"error","ok")</f>
        <v>ok</v>
      </c>
      <c r="M16" s="319" t="str">
        <f>IF(SUM('DFP-CASH'!$C28:N28)&gt;SUM('DFP-Com'!$C28:N28),"error","ok")</f>
        <v>ok</v>
      </c>
      <c r="N16" s="319" t="str">
        <f>IF(SUM('DFP-CASH'!$C28:O28)&gt;SUM('DFP-Com'!$C28:O28),"error","ok")</f>
        <v>ok</v>
      </c>
      <c r="O16" s="319" t="str">
        <f>IF(SUM('DFP-CASH'!$C28:P28)&gt;SUM('DFP-Com'!$C28:P28),"error","ok")</f>
        <v>ok</v>
      </c>
      <c r="P16" s="319" t="str">
        <f>IF(SUM('DFP-CASH'!$C28:Q28)&gt;SUM('DFP-Com'!$C28:Q28),"error","ok")</f>
        <v>ok</v>
      </c>
      <c r="Q16" s="319" t="str">
        <f>IF(SUM('DFP-CASH'!$C28:R28)&gt;SUM('DFP-Com'!$C28:R28),"error","ok")</f>
        <v>ok</v>
      </c>
      <c r="R16" s="319" t="str">
        <f>IF(SUM('DFP-CASH'!$C28:S28)&gt;SUM('DFP-Com'!$C28:S28),"error","ok")</f>
        <v>ok</v>
      </c>
      <c r="S16" s="319" t="str">
        <f>IF(SUM('DFP-CASH'!$C28:T28)&gt;SUM('DFP-Com'!$C28:T28),"error","ok")</f>
        <v>ok</v>
      </c>
    </row>
    <row r="17" spans="1:19" ht="15">
      <c r="A17" s="47" t="s">
        <v>100</v>
      </c>
      <c r="B17" s="263" t="str">
        <f>IF('DFP-Com'!V29-'DFP-CASH'!V29=0,"ok","error")</f>
        <v>ok</v>
      </c>
      <c r="C17" s="319" t="str">
        <f>IF(SUM('DFP-CASH'!$C29:D29)&gt;SUM('DFP-Com'!$C29:D29),"error","ok")</f>
        <v>ok</v>
      </c>
      <c r="D17" s="319" t="str">
        <f>IF(SUM('DFP-CASH'!$C29:E29)&gt;SUM('DFP-Com'!$C29:E29),"error","ok")</f>
        <v>ok</v>
      </c>
      <c r="E17" s="319" t="str">
        <f>IF(SUM('DFP-CASH'!$C29:F29)&gt;SUM('DFP-Com'!$C29:F29),"error","ok")</f>
        <v>ok</v>
      </c>
      <c r="F17" s="319" t="str">
        <f>IF(SUM('DFP-CASH'!$C29:G29)&gt;SUM('DFP-Com'!$C29:G29),"error","ok")</f>
        <v>ok</v>
      </c>
      <c r="G17" s="319" t="str">
        <f>IF(SUM('DFP-CASH'!$C29:H29)&gt;SUM('DFP-Com'!$C29:H29),"error","ok")</f>
        <v>ok</v>
      </c>
      <c r="H17" s="319" t="str">
        <f>IF(SUM('DFP-CASH'!$C29:I29)&gt;SUM('DFP-Com'!$C29:I29),"error","ok")</f>
        <v>ok</v>
      </c>
      <c r="I17" s="319" t="str">
        <f>IF(SUM('DFP-CASH'!$C29:J29)&gt;SUM('DFP-Com'!$C29:J29),"error","ok")</f>
        <v>ok</v>
      </c>
      <c r="J17" s="319" t="str">
        <f>IF(SUM('DFP-CASH'!$C29:K29)&gt;SUM('DFP-Com'!$C29:K29),"error","ok")</f>
        <v>ok</v>
      </c>
      <c r="K17" s="319" t="str">
        <f>IF(SUM('DFP-CASH'!$C29:L29)&gt;SUM('DFP-Com'!$C29:L29),"error","ok")</f>
        <v>ok</v>
      </c>
      <c r="L17" s="319" t="str">
        <f>IF(SUM('DFP-CASH'!$C29:M29)&gt;SUM('DFP-Com'!$C29:M29),"error","ok")</f>
        <v>ok</v>
      </c>
      <c r="M17" s="319" t="str">
        <f>IF(SUM('DFP-CASH'!$C29:N29)&gt;SUM('DFP-Com'!$C29:N29),"error","ok")</f>
        <v>ok</v>
      </c>
      <c r="N17" s="319" t="str">
        <f>IF(SUM('DFP-CASH'!$C29:O29)&gt;SUM('DFP-Com'!$C29:O29),"error","ok")</f>
        <v>ok</v>
      </c>
      <c r="O17" s="319" t="str">
        <f>IF(SUM('DFP-CASH'!$C29:P29)&gt;SUM('DFP-Com'!$C29:P29),"error","ok")</f>
        <v>ok</v>
      </c>
      <c r="P17" s="319" t="str">
        <f>IF(SUM('DFP-CASH'!$C29:Q29)&gt;SUM('DFP-Com'!$C29:Q29),"error","ok")</f>
        <v>ok</v>
      </c>
      <c r="Q17" s="319" t="str">
        <f>IF(SUM('DFP-CASH'!$C29:R29)&gt;SUM('DFP-Com'!$C29:R29),"error","ok")</f>
        <v>ok</v>
      </c>
      <c r="R17" s="319" t="str">
        <f>IF(SUM('DFP-CASH'!$C29:S29)&gt;SUM('DFP-Com'!$C29:S29),"error","ok")</f>
        <v>ok</v>
      </c>
      <c r="S17" s="319" t="str">
        <f>IF(SUM('DFP-CASH'!$C29:T29)&gt;SUM('DFP-Com'!$C29:T29),"error","ok")</f>
        <v>ok</v>
      </c>
    </row>
    <row r="18" spans="1:19" ht="15">
      <c r="A18" s="52" t="s">
        <v>154</v>
      </c>
      <c r="B18" s="263" t="str">
        <f>IF('DFP-Com'!V30-'DFP-CASH'!V30=0,"ok","error")</f>
        <v>ok</v>
      </c>
      <c r="C18" s="319" t="str">
        <f>IF(SUM('DFP-CASH'!$C30:D30)&gt;SUM('DFP-Com'!$C30:D30),"error","ok")</f>
        <v>ok</v>
      </c>
      <c r="D18" s="319" t="str">
        <f>IF(SUM('DFP-CASH'!$C30:E30)&gt;SUM('DFP-Com'!$C30:E30),"error","ok")</f>
        <v>ok</v>
      </c>
      <c r="E18" s="319" t="str">
        <f>IF(SUM('DFP-CASH'!$C30:F30)&gt;SUM('DFP-Com'!$C30:F30),"error","ok")</f>
        <v>ok</v>
      </c>
      <c r="F18" s="319" t="str">
        <f>IF(SUM('DFP-CASH'!$C30:G30)&gt;SUM('DFP-Com'!$C30:G30),"error","ok")</f>
        <v>ok</v>
      </c>
      <c r="G18" s="319" t="str">
        <f>IF(SUM('DFP-CASH'!$C30:H30)&gt;SUM('DFP-Com'!$C30:H30),"error","ok")</f>
        <v>ok</v>
      </c>
      <c r="H18" s="319" t="str">
        <f>IF(SUM('DFP-CASH'!$C30:I30)&gt;SUM('DFP-Com'!$C30:I30),"error","ok")</f>
        <v>ok</v>
      </c>
      <c r="I18" s="319" t="str">
        <f>IF(SUM('DFP-CASH'!$C30:J30)&gt;SUM('DFP-Com'!$C30:J30),"error","ok")</f>
        <v>ok</v>
      </c>
      <c r="J18" s="319" t="str">
        <f>IF(SUM('DFP-CASH'!$C30:K30)&gt;SUM('DFP-Com'!$C30:K30),"error","ok")</f>
        <v>ok</v>
      </c>
      <c r="K18" s="319" t="str">
        <f>IF(SUM('DFP-CASH'!$C30:L30)&gt;SUM('DFP-Com'!$C30:L30),"error","ok")</f>
        <v>ok</v>
      </c>
      <c r="L18" s="319" t="str">
        <f>IF(SUM('DFP-CASH'!$C30:M30)&gt;SUM('DFP-Com'!$C30:M30),"error","ok")</f>
        <v>ok</v>
      </c>
      <c r="M18" s="319" t="str">
        <f>IF(SUM('DFP-CASH'!$C30:N30)&gt;SUM('DFP-Com'!$C30:N30),"error","ok")</f>
        <v>ok</v>
      </c>
      <c r="N18" s="319" t="str">
        <f>IF(SUM('DFP-CASH'!$C30:O30)&gt;SUM('DFP-Com'!$C30:O30),"error","ok")</f>
        <v>ok</v>
      </c>
      <c r="O18" s="319" t="str">
        <f>IF(SUM('DFP-CASH'!$C30:P30)&gt;SUM('DFP-Com'!$C30:P30),"error","ok")</f>
        <v>ok</v>
      </c>
      <c r="P18" s="319" t="str">
        <f>IF(SUM('DFP-CASH'!$C30:Q30)&gt;SUM('DFP-Com'!$C30:Q30),"error","ok")</f>
        <v>ok</v>
      </c>
      <c r="Q18" s="319" t="str">
        <f>IF(SUM('DFP-CASH'!$C30:R30)&gt;SUM('DFP-Com'!$C30:R30),"error","ok")</f>
        <v>ok</v>
      </c>
      <c r="R18" s="319" t="str">
        <f>IF(SUM('DFP-CASH'!$C30:S30)&gt;SUM('DFP-Com'!$C30:S30),"error","ok")</f>
        <v>ok</v>
      </c>
      <c r="S18" s="319" t="str">
        <f>IF(SUM('DFP-CASH'!$C30:T30)&gt;SUM('DFP-Com'!$C30:T30),"error","ok")</f>
        <v>ok</v>
      </c>
    </row>
    <row r="19" spans="1:19" ht="15">
      <c r="A19" s="207" t="s">
        <v>147</v>
      </c>
      <c r="B19" s="263" t="str">
        <f>IF('DFP-Com'!V31-'DFP-CASH'!V31=0,"ok","error")</f>
        <v>ok</v>
      </c>
      <c r="C19" s="319" t="str">
        <f>IF(SUM('DFP-CASH'!$C31:D31)&gt;SUM('DFP-Com'!$C31:D31),"error","ok")</f>
        <v>ok</v>
      </c>
      <c r="D19" s="319" t="str">
        <f>IF(SUM('DFP-CASH'!$C31:E31)&gt;SUM('DFP-Com'!$C31:E31),"error","ok")</f>
        <v>ok</v>
      </c>
      <c r="E19" s="319" t="str">
        <f>IF(SUM('DFP-CASH'!$C31:F31)&gt;SUM('DFP-Com'!$C31:F31),"error","ok")</f>
        <v>ok</v>
      </c>
      <c r="F19" s="319" t="str">
        <f>IF(SUM('DFP-CASH'!$C31:G31)&gt;SUM('DFP-Com'!$C31:G31),"error","ok")</f>
        <v>ok</v>
      </c>
      <c r="G19" s="319" t="str">
        <f>IF(SUM('DFP-CASH'!$C31:H31)&gt;SUM('DFP-Com'!$C31:H31),"error","ok")</f>
        <v>ok</v>
      </c>
      <c r="H19" s="319" t="str">
        <f>IF(SUM('DFP-CASH'!$C31:I31)&gt;SUM('DFP-Com'!$C31:I31),"error","ok")</f>
        <v>ok</v>
      </c>
      <c r="I19" s="319" t="str">
        <f>IF(SUM('DFP-CASH'!$C31:J31)&gt;SUM('DFP-Com'!$C31:J31),"error","ok")</f>
        <v>ok</v>
      </c>
      <c r="J19" s="319" t="str">
        <f>IF(SUM('DFP-CASH'!$C31:K31)&gt;SUM('DFP-Com'!$C31:K31),"error","ok")</f>
        <v>ok</v>
      </c>
      <c r="K19" s="319" t="str">
        <f>IF(SUM('DFP-CASH'!$C31:L31)&gt;SUM('DFP-Com'!$C31:L31),"error","ok")</f>
        <v>ok</v>
      </c>
      <c r="L19" s="319" t="str">
        <f>IF(SUM('DFP-CASH'!$C31:M31)&gt;SUM('DFP-Com'!$C31:M31),"error","ok")</f>
        <v>ok</v>
      </c>
      <c r="M19" s="319" t="str">
        <f>IF(SUM('DFP-CASH'!$C31:N31)&gt;SUM('DFP-Com'!$C31:N31),"error","ok")</f>
        <v>ok</v>
      </c>
      <c r="N19" s="319" t="str">
        <f>IF(SUM('DFP-CASH'!$C31:O31)&gt;SUM('DFP-Com'!$C31:O31),"error","ok")</f>
        <v>ok</v>
      </c>
      <c r="O19" s="319" t="str">
        <f>IF(SUM('DFP-CASH'!$C31:P31)&gt;SUM('DFP-Com'!$C31:P31),"error","ok")</f>
        <v>ok</v>
      </c>
      <c r="P19" s="319" t="str">
        <f>IF(SUM('DFP-CASH'!$C31:Q31)&gt;SUM('DFP-Com'!$C31:Q31),"error","ok")</f>
        <v>ok</v>
      </c>
      <c r="Q19" s="319" t="str">
        <f>IF(SUM('DFP-CASH'!$C31:R31)&gt;SUM('DFP-Com'!$C31:R31),"error","ok")</f>
        <v>ok</v>
      </c>
      <c r="R19" s="319" t="str">
        <f>IF(SUM('DFP-CASH'!$C31:S31)&gt;SUM('DFP-Com'!$C31:S31),"error","ok")</f>
        <v>ok</v>
      </c>
      <c r="S19" s="319" t="str">
        <f>IF(SUM('DFP-CASH'!$C31:T31)&gt;SUM('DFP-Com'!$C31:T31),"error","ok")</f>
        <v>ok</v>
      </c>
    </row>
    <row r="20" spans="1:19" ht="25.5">
      <c r="A20" s="52" t="s">
        <v>104</v>
      </c>
      <c r="B20" s="263" t="str">
        <f>IF('DFP-Com'!V32-'DFP-CASH'!V32=0,"ok","error")</f>
        <v>ok</v>
      </c>
      <c r="C20" s="319" t="str">
        <f>IF(SUM('DFP-CASH'!$C32:D32)&gt;SUM('DFP-Com'!$C32:D32),"error","ok")</f>
        <v>ok</v>
      </c>
      <c r="D20" s="319" t="str">
        <f>IF(SUM('DFP-CASH'!$C32:E32)&gt;SUM('DFP-Com'!$C32:E32),"error","ok")</f>
        <v>ok</v>
      </c>
      <c r="E20" s="319" t="str">
        <f>IF(SUM('DFP-CASH'!$C32:F32)&gt;SUM('DFP-Com'!$C32:F32),"error","ok")</f>
        <v>ok</v>
      </c>
      <c r="F20" s="319" t="str">
        <f>IF(SUM('DFP-CASH'!$C32:G32)&gt;SUM('DFP-Com'!$C32:G32),"error","ok")</f>
        <v>ok</v>
      </c>
      <c r="G20" s="319" t="str">
        <f>IF(SUM('DFP-CASH'!$C32:H32)&gt;SUM('DFP-Com'!$C32:H32),"error","ok")</f>
        <v>ok</v>
      </c>
      <c r="H20" s="319" t="str">
        <f>IF(SUM('DFP-CASH'!$C32:I32)&gt;SUM('DFP-Com'!$C32:I32),"error","ok")</f>
        <v>ok</v>
      </c>
      <c r="I20" s="319" t="str">
        <f>IF(SUM('DFP-CASH'!$C32:J32)&gt;SUM('DFP-Com'!$C32:J32),"error","ok")</f>
        <v>ok</v>
      </c>
      <c r="J20" s="319" t="str">
        <f>IF(SUM('DFP-CASH'!$C32:K32)&gt;SUM('DFP-Com'!$C32:K32),"error","ok")</f>
        <v>ok</v>
      </c>
      <c r="K20" s="319" t="str">
        <f>IF(SUM('DFP-CASH'!$C32:L32)&gt;SUM('DFP-Com'!$C32:L32),"error","ok")</f>
        <v>ok</v>
      </c>
      <c r="L20" s="319" t="str">
        <f>IF(SUM('DFP-CASH'!$C32:M32)&gt;SUM('DFP-Com'!$C32:M32),"error","ok")</f>
        <v>ok</v>
      </c>
      <c r="M20" s="319" t="str">
        <f>IF(SUM('DFP-CASH'!$C32:N32)&gt;SUM('DFP-Com'!$C32:N32),"error","ok")</f>
        <v>ok</v>
      </c>
      <c r="N20" s="319" t="str">
        <f>IF(SUM('DFP-CASH'!$C32:O32)&gt;SUM('DFP-Com'!$C32:O32),"error","ok")</f>
        <v>ok</v>
      </c>
      <c r="O20" s="319" t="str">
        <f>IF(SUM('DFP-CASH'!$C32:P32)&gt;SUM('DFP-Com'!$C32:P32),"error","ok")</f>
        <v>ok</v>
      </c>
      <c r="P20" s="319" t="str">
        <f>IF(SUM('DFP-CASH'!$C32:Q32)&gt;SUM('DFP-Com'!$C32:Q32),"error","ok")</f>
        <v>ok</v>
      </c>
      <c r="Q20" s="319" t="str">
        <f>IF(SUM('DFP-CASH'!$C32:R32)&gt;SUM('DFP-Com'!$C32:R32),"error","ok")</f>
        <v>ok</v>
      </c>
      <c r="R20" s="319" t="str">
        <f>IF(SUM('DFP-CASH'!$C32:S32)&gt;SUM('DFP-Com'!$C32:S32),"error","ok")</f>
        <v>ok</v>
      </c>
      <c r="S20" s="319" t="str">
        <f>IF(SUM('DFP-CASH'!$C32:T32)&gt;SUM('DFP-Com'!$C32:T32),"error","ok")</f>
        <v>ok</v>
      </c>
    </row>
    <row r="21" spans="1:19" ht="15">
      <c r="A21" s="207" t="s">
        <v>148</v>
      </c>
      <c r="B21" s="263" t="str">
        <f>IF('DFP-Com'!V33-'DFP-CASH'!V33=0,"ok","error")</f>
        <v>ok</v>
      </c>
      <c r="C21" s="319" t="str">
        <f>IF(SUM('DFP-CASH'!$C33:D33)&gt;SUM('DFP-Com'!$C33:D33),"error","ok")</f>
        <v>ok</v>
      </c>
      <c r="D21" s="319" t="str">
        <f>IF(SUM('DFP-CASH'!$C33:E33)&gt;SUM('DFP-Com'!$C33:E33),"error","ok")</f>
        <v>ok</v>
      </c>
      <c r="E21" s="319" t="str">
        <f>IF(SUM('DFP-CASH'!$C33:F33)&gt;SUM('DFP-Com'!$C33:F33),"error","ok")</f>
        <v>ok</v>
      </c>
      <c r="F21" s="319" t="str">
        <f>IF(SUM('DFP-CASH'!$C33:G33)&gt;SUM('DFP-Com'!$C33:G33),"error","ok")</f>
        <v>ok</v>
      </c>
      <c r="G21" s="319" t="str">
        <f>IF(SUM('DFP-CASH'!$C33:H33)&gt;SUM('DFP-Com'!$C33:H33),"error","ok")</f>
        <v>ok</v>
      </c>
      <c r="H21" s="319" t="str">
        <f>IF(SUM('DFP-CASH'!$C33:I33)&gt;SUM('DFP-Com'!$C33:I33),"error","ok")</f>
        <v>ok</v>
      </c>
      <c r="I21" s="319" t="str">
        <f>IF(SUM('DFP-CASH'!$C33:J33)&gt;SUM('DFP-Com'!$C33:J33),"error","ok")</f>
        <v>ok</v>
      </c>
      <c r="J21" s="319" t="str">
        <f>IF(SUM('DFP-CASH'!$C33:K33)&gt;SUM('DFP-Com'!$C33:K33),"error","ok")</f>
        <v>ok</v>
      </c>
      <c r="K21" s="319" t="str">
        <f>IF(SUM('DFP-CASH'!$C33:L33)&gt;SUM('DFP-Com'!$C33:L33),"error","ok")</f>
        <v>ok</v>
      </c>
      <c r="L21" s="319" t="str">
        <f>IF(SUM('DFP-CASH'!$C33:M33)&gt;SUM('DFP-Com'!$C33:M33),"error","ok")</f>
        <v>ok</v>
      </c>
      <c r="M21" s="319" t="str">
        <f>IF(SUM('DFP-CASH'!$C33:N33)&gt;SUM('DFP-Com'!$C33:N33),"error","ok")</f>
        <v>ok</v>
      </c>
      <c r="N21" s="319" t="str">
        <f>IF(SUM('DFP-CASH'!$C33:O33)&gt;SUM('DFP-Com'!$C33:O33),"error","ok")</f>
        <v>ok</v>
      </c>
      <c r="O21" s="319" t="str">
        <f>IF(SUM('DFP-CASH'!$C33:P33)&gt;SUM('DFP-Com'!$C33:P33),"error","ok")</f>
        <v>ok</v>
      </c>
      <c r="P21" s="319" t="str">
        <f>IF(SUM('DFP-CASH'!$C33:Q33)&gt;SUM('DFP-Com'!$C33:Q33),"error","ok")</f>
        <v>ok</v>
      </c>
      <c r="Q21" s="319" t="str">
        <f>IF(SUM('DFP-CASH'!$C33:R33)&gt;SUM('DFP-Com'!$C33:R33),"error","ok")</f>
        <v>ok</v>
      </c>
      <c r="R21" s="319" t="str">
        <f>IF(SUM('DFP-CASH'!$C33:S33)&gt;SUM('DFP-Com'!$C33:S33),"error","ok")</f>
        <v>ok</v>
      </c>
      <c r="S21" s="319" t="str">
        <f>IF(SUM('DFP-CASH'!$C33:T33)&gt;SUM('DFP-Com'!$C33:T33),"error","ok")</f>
        <v>ok</v>
      </c>
    </row>
    <row r="22" spans="1:19" ht="15">
      <c r="A22" s="207" t="s">
        <v>149</v>
      </c>
      <c r="B22" s="263" t="str">
        <f>IF('DFP-Com'!V34-'DFP-CASH'!V34=0,"ok","error")</f>
        <v>ok</v>
      </c>
      <c r="C22" s="319" t="str">
        <f>IF(SUM('DFP-CASH'!$C34:D34)&gt;SUM('DFP-Com'!$C34:D34),"error","ok")</f>
        <v>ok</v>
      </c>
      <c r="D22" s="319" t="str">
        <f>IF(SUM('DFP-CASH'!$C34:E34)&gt;SUM('DFP-Com'!$C34:E34),"error","ok")</f>
        <v>ok</v>
      </c>
      <c r="E22" s="319" t="str">
        <f>IF(SUM('DFP-CASH'!$C34:F34)&gt;SUM('DFP-Com'!$C34:F34),"error","ok")</f>
        <v>ok</v>
      </c>
      <c r="F22" s="319" t="str">
        <f>IF(SUM('DFP-CASH'!$C34:G34)&gt;SUM('DFP-Com'!$C34:G34),"error","ok")</f>
        <v>ok</v>
      </c>
      <c r="G22" s="319" t="str">
        <f>IF(SUM('DFP-CASH'!$C34:H34)&gt;SUM('DFP-Com'!$C34:H34),"error","ok")</f>
        <v>ok</v>
      </c>
      <c r="H22" s="319" t="str">
        <f>IF(SUM('DFP-CASH'!$C34:I34)&gt;SUM('DFP-Com'!$C34:I34),"error","ok")</f>
        <v>ok</v>
      </c>
      <c r="I22" s="319" t="str">
        <f>IF(SUM('DFP-CASH'!$C34:J34)&gt;SUM('DFP-Com'!$C34:J34),"error","ok")</f>
        <v>ok</v>
      </c>
      <c r="J22" s="319" t="str">
        <f>IF(SUM('DFP-CASH'!$C34:K34)&gt;SUM('DFP-Com'!$C34:K34),"error","ok")</f>
        <v>ok</v>
      </c>
      <c r="K22" s="319" t="str">
        <f>IF(SUM('DFP-CASH'!$C34:L34)&gt;SUM('DFP-Com'!$C34:L34),"error","ok")</f>
        <v>ok</v>
      </c>
      <c r="L22" s="319" t="str">
        <f>IF(SUM('DFP-CASH'!$C34:M34)&gt;SUM('DFP-Com'!$C34:M34),"error","ok")</f>
        <v>ok</v>
      </c>
      <c r="M22" s="319" t="str">
        <f>IF(SUM('DFP-CASH'!$C34:N34)&gt;SUM('DFP-Com'!$C34:N34),"error","ok")</f>
        <v>ok</v>
      </c>
      <c r="N22" s="319" t="str">
        <f>IF(SUM('DFP-CASH'!$C34:O34)&gt;SUM('DFP-Com'!$C34:O34),"error","ok")</f>
        <v>ok</v>
      </c>
      <c r="O22" s="319" t="str">
        <f>IF(SUM('DFP-CASH'!$C34:P34)&gt;SUM('DFP-Com'!$C34:P34),"error","ok")</f>
        <v>ok</v>
      </c>
      <c r="P22" s="319" t="str">
        <f>IF(SUM('DFP-CASH'!$C34:Q34)&gt;SUM('DFP-Com'!$C34:Q34),"error","ok")</f>
        <v>ok</v>
      </c>
      <c r="Q22" s="319" t="str">
        <f>IF(SUM('DFP-CASH'!$C34:R34)&gt;SUM('DFP-Com'!$C34:R34),"error","ok")</f>
        <v>ok</v>
      </c>
      <c r="R22" s="319" t="str">
        <f>IF(SUM('DFP-CASH'!$C34:S34)&gt;SUM('DFP-Com'!$C34:S34),"error","ok")</f>
        <v>ok</v>
      </c>
      <c r="S22" s="319" t="str">
        <f>IF(SUM('DFP-CASH'!$C34:T34)&gt;SUM('DFP-Com'!$C34:T34),"error","ok")</f>
        <v>ok</v>
      </c>
    </row>
    <row r="23" spans="1:19" ht="15">
      <c r="A23" s="207" t="s">
        <v>151</v>
      </c>
      <c r="B23" s="263" t="str">
        <f>IF('DFP-Com'!V35-'DFP-CASH'!V35=0,"ok","error")</f>
        <v>ok</v>
      </c>
      <c r="C23" s="319" t="str">
        <f>IF(SUM('DFP-CASH'!$C35:D35)&gt;SUM('DFP-Com'!$C35:D35),"error","ok")</f>
        <v>ok</v>
      </c>
      <c r="D23" s="319" t="str">
        <f>IF(SUM('DFP-CASH'!$C35:E35)&gt;SUM('DFP-Com'!$C35:E35),"error","ok")</f>
        <v>ok</v>
      </c>
      <c r="E23" s="319" t="str">
        <f>IF(SUM('DFP-CASH'!$C35:F35)&gt;SUM('DFP-Com'!$C35:F35),"error","ok")</f>
        <v>ok</v>
      </c>
      <c r="F23" s="319" t="str">
        <f>IF(SUM('DFP-CASH'!$C35:G35)&gt;SUM('DFP-Com'!$C35:G35),"error","ok")</f>
        <v>ok</v>
      </c>
      <c r="G23" s="319" t="str">
        <f>IF(SUM('DFP-CASH'!$C35:H35)&gt;SUM('DFP-Com'!$C35:H35),"error","ok")</f>
        <v>ok</v>
      </c>
      <c r="H23" s="319" t="str">
        <f>IF(SUM('DFP-CASH'!$C35:I35)&gt;SUM('DFP-Com'!$C35:I35),"error","ok")</f>
        <v>ok</v>
      </c>
      <c r="I23" s="319" t="str">
        <f>IF(SUM('DFP-CASH'!$C35:J35)&gt;SUM('DFP-Com'!$C35:J35),"error","ok")</f>
        <v>ok</v>
      </c>
      <c r="J23" s="319" t="str">
        <f>IF(SUM('DFP-CASH'!$C35:K35)&gt;SUM('DFP-Com'!$C35:K35),"error","ok")</f>
        <v>ok</v>
      </c>
      <c r="K23" s="319" t="str">
        <f>IF(SUM('DFP-CASH'!$C35:L35)&gt;SUM('DFP-Com'!$C35:L35),"error","ok")</f>
        <v>ok</v>
      </c>
      <c r="L23" s="319" t="str">
        <f>IF(SUM('DFP-CASH'!$C35:M35)&gt;SUM('DFP-Com'!$C35:M35),"error","ok")</f>
        <v>ok</v>
      </c>
      <c r="M23" s="319" t="str">
        <f>IF(SUM('DFP-CASH'!$C35:N35)&gt;SUM('DFP-Com'!$C35:N35),"error","ok")</f>
        <v>ok</v>
      </c>
      <c r="N23" s="319" t="str">
        <f>IF(SUM('DFP-CASH'!$C35:O35)&gt;SUM('DFP-Com'!$C35:O35),"error","ok")</f>
        <v>ok</v>
      </c>
      <c r="O23" s="319" t="str">
        <f>IF(SUM('DFP-CASH'!$C35:P35)&gt;SUM('DFP-Com'!$C35:P35),"error","ok")</f>
        <v>ok</v>
      </c>
      <c r="P23" s="319" t="str">
        <f>IF(SUM('DFP-CASH'!$C35:Q35)&gt;SUM('DFP-Com'!$C35:Q35),"error","ok")</f>
        <v>ok</v>
      </c>
      <c r="Q23" s="319" t="str">
        <f>IF(SUM('DFP-CASH'!$C35:R35)&gt;SUM('DFP-Com'!$C35:R35),"error","ok")</f>
        <v>ok</v>
      </c>
      <c r="R23" s="319" t="str">
        <f>IF(SUM('DFP-CASH'!$C35:S35)&gt;SUM('DFP-Com'!$C35:S35),"error","ok")</f>
        <v>ok</v>
      </c>
      <c r="S23" s="319" t="str">
        <f>IF(SUM('DFP-CASH'!$C35:T35)&gt;SUM('DFP-Com'!$C35:T35),"error","ok")</f>
        <v>ok</v>
      </c>
    </row>
    <row r="24" spans="1:19" ht="15">
      <c r="A24" s="61" t="s">
        <v>70</v>
      </c>
      <c r="B24" s="263" t="str">
        <f>IF('DFP-Com'!V36-'DFP-CASH'!V36=0,"ok","error")</f>
        <v>ok</v>
      </c>
      <c r="C24" s="319" t="str">
        <f>IF(SUM('DFP-CASH'!$C36:D36)&gt;SUM('DFP-Com'!$C36:D36),"error","ok")</f>
        <v>ok</v>
      </c>
      <c r="D24" s="319" t="str">
        <f>IF(SUM('DFP-CASH'!$C36:E36)&gt;SUM('DFP-Com'!$C36:E36),"error","ok")</f>
        <v>ok</v>
      </c>
      <c r="E24" s="319" t="str">
        <f>IF(SUM('DFP-CASH'!$C36:F36)&gt;SUM('DFP-Com'!$C36:F36),"error","ok")</f>
        <v>ok</v>
      </c>
      <c r="F24" s="319" t="str">
        <f>IF(SUM('DFP-CASH'!$C36:G36)&gt;SUM('DFP-Com'!$C36:G36),"error","ok")</f>
        <v>ok</v>
      </c>
      <c r="G24" s="319" t="str">
        <f>IF(SUM('DFP-CASH'!$C36:H36)&gt;SUM('DFP-Com'!$C36:H36),"error","ok")</f>
        <v>ok</v>
      </c>
      <c r="H24" s="319" t="str">
        <f>IF(SUM('DFP-CASH'!$C36:I36)&gt;SUM('DFP-Com'!$C36:I36),"error","ok")</f>
        <v>ok</v>
      </c>
      <c r="I24" s="319" t="str">
        <f>IF(SUM('DFP-CASH'!$C36:J36)&gt;SUM('DFP-Com'!$C36:J36),"error","ok")</f>
        <v>ok</v>
      </c>
      <c r="J24" s="319" t="str">
        <f>IF(SUM('DFP-CASH'!$C36:K36)&gt;SUM('DFP-Com'!$C36:K36),"error","ok")</f>
        <v>ok</v>
      </c>
      <c r="K24" s="319" t="str">
        <f>IF(SUM('DFP-CASH'!$C36:L36)&gt;SUM('DFP-Com'!$C36:L36),"error","ok")</f>
        <v>ok</v>
      </c>
      <c r="L24" s="319" t="str">
        <f>IF(SUM('DFP-CASH'!$C36:M36)&gt;SUM('DFP-Com'!$C36:M36),"error","ok")</f>
        <v>ok</v>
      </c>
      <c r="M24" s="319" t="str">
        <f>IF(SUM('DFP-CASH'!$C36:N36)&gt;SUM('DFP-Com'!$C36:N36),"error","ok")</f>
        <v>ok</v>
      </c>
      <c r="N24" s="319" t="str">
        <f>IF(SUM('DFP-CASH'!$C36:O36)&gt;SUM('DFP-Com'!$C36:O36),"error","ok")</f>
        <v>ok</v>
      </c>
      <c r="O24" s="319" t="str">
        <f>IF(SUM('DFP-CASH'!$C36:P36)&gt;SUM('DFP-Com'!$C36:P36),"error","ok")</f>
        <v>ok</v>
      </c>
      <c r="P24" s="319" t="str">
        <f>IF(SUM('DFP-CASH'!$C36:Q36)&gt;SUM('DFP-Com'!$C36:Q36),"error","ok")</f>
        <v>ok</v>
      </c>
      <c r="Q24" s="319" t="str">
        <f>IF(SUM('DFP-CASH'!$C36:R36)&gt;SUM('DFP-Com'!$C36:R36),"error","ok")</f>
        <v>ok</v>
      </c>
      <c r="R24" s="319" t="str">
        <f>IF(SUM('DFP-CASH'!$C36:S36)&gt;SUM('DFP-Com'!$C36:S36),"error","ok")</f>
        <v>ok</v>
      </c>
      <c r="S24" s="319" t="str">
        <f>IF(SUM('DFP-CASH'!$C36:T36)&gt;SUM('DFP-Com'!$C36:T36),"error","ok")</f>
        <v>ok</v>
      </c>
    </row>
    <row r="25" spans="1:19" ht="15">
      <c r="A25" s="56"/>
      <c r="B25" s="263" t="str">
        <f>IF('DFP-Com'!V37-'DFP-CASH'!V37=0,"ok","error")</f>
        <v>ok</v>
      </c>
      <c r="C25" s="319" t="str">
        <f>IF(SUM('DFP-CASH'!$C37:D37)&gt;SUM('DFP-Com'!$C37:D37),"error","ok")</f>
        <v>ok</v>
      </c>
      <c r="D25" s="319" t="str">
        <f>IF(SUM('DFP-CASH'!$C37:E37)&gt;SUM('DFP-Com'!$C37:E37),"error","ok")</f>
        <v>ok</v>
      </c>
      <c r="E25" s="319" t="str">
        <f>IF(SUM('DFP-CASH'!$C37:F37)&gt;SUM('DFP-Com'!$C37:F37),"error","ok")</f>
        <v>ok</v>
      </c>
      <c r="F25" s="319" t="str">
        <f>IF(SUM('DFP-CASH'!$C37:G37)&gt;SUM('DFP-Com'!$C37:G37),"error","ok")</f>
        <v>ok</v>
      </c>
      <c r="G25" s="319" t="str">
        <f>IF(SUM('DFP-CASH'!$C37:H37)&gt;SUM('DFP-Com'!$C37:H37),"error","ok")</f>
        <v>ok</v>
      </c>
      <c r="H25" s="319" t="str">
        <f>IF(SUM('DFP-CASH'!$C37:I37)&gt;SUM('DFP-Com'!$C37:I37),"error","ok")</f>
        <v>ok</v>
      </c>
      <c r="I25" s="319" t="str">
        <f>IF(SUM('DFP-CASH'!$C37:J37)&gt;SUM('DFP-Com'!$C37:J37),"error","ok")</f>
        <v>ok</v>
      </c>
      <c r="J25" s="319" t="str">
        <f>IF(SUM('DFP-CASH'!$C37:K37)&gt;SUM('DFP-Com'!$C37:K37),"error","ok")</f>
        <v>ok</v>
      </c>
      <c r="K25" s="319" t="str">
        <f>IF(SUM('DFP-CASH'!$C37:L37)&gt;SUM('DFP-Com'!$C37:L37),"error","ok")</f>
        <v>ok</v>
      </c>
      <c r="L25" s="319" t="str">
        <f>IF(SUM('DFP-CASH'!$C37:M37)&gt;SUM('DFP-Com'!$C37:M37),"error","ok")</f>
        <v>ok</v>
      </c>
      <c r="M25" s="319" t="str">
        <f>IF(SUM('DFP-CASH'!$C37:N37)&gt;SUM('DFP-Com'!$C37:N37),"error","ok")</f>
        <v>ok</v>
      </c>
      <c r="N25" s="319" t="str">
        <f>IF(SUM('DFP-CASH'!$C37:O37)&gt;SUM('DFP-Com'!$C37:O37),"error","ok")</f>
        <v>ok</v>
      </c>
      <c r="O25" s="319" t="str">
        <f>IF(SUM('DFP-CASH'!$C37:P37)&gt;SUM('DFP-Com'!$C37:P37),"error","ok")</f>
        <v>ok</v>
      </c>
      <c r="P25" s="319" t="str">
        <f>IF(SUM('DFP-CASH'!$C37:Q37)&gt;SUM('DFP-Com'!$C37:Q37),"error","ok")</f>
        <v>ok</v>
      </c>
      <c r="Q25" s="319" t="str">
        <f>IF(SUM('DFP-CASH'!$C37:R37)&gt;SUM('DFP-Com'!$C37:R37),"error","ok")</f>
        <v>ok</v>
      </c>
      <c r="R25" s="319" t="str">
        <f>IF(SUM('DFP-CASH'!$C37:S37)&gt;SUM('DFP-Com'!$C37:S37),"error","ok")</f>
        <v>ok</v>
      </c>
      <c r="S25" s="319" t="str">
        <f>IF(SUM('DFP-CASH'!$C37:T37)&gt;SUM('DFP-Com'!$C37:T37),"error","ok")</f>
        <v>ok</v>
      </c>
    </row>
    <row r="26" spans="1:19" ht="15">
      <c r="A26" s="47" t="s">
        <v>109</v>
      </c>
      <c r="B26" s="263" t="str">
        <f>IF('DFP-Com'!V38-'DFP-CASH'!V38=0,"ok","error")</f>
        <v>ok</v>
      </c>
      <c r="C26" s="319" t="str">
        <f>IF(SUM('DFP-CASH'!$C38:D38)&gt;SUM('DFP-Com'!$C38:D38),"error","ok")</f>
        <v>ok</v>
      </c>
      <c r="D26" s="319" t="str">
        <f>IF(SUM('DFP-CASH'!$C38:E38)&gt;SUM('DFP-Com'!$C38:E38),"error","ok")</f>
        <v>ok</v>
      </c>
      <c r="E26" s="319" t="str">
        <f>IF(SUM('DFP-CASH'!$C38:F38)&gt;SUM('DFP-Com'!$C38:F38),"error","ok")</f>
        <v>ok</v>
      </c>
      <c r="F26" s="319" t="str">
        <f>IF(SUM('DFP-CASH'!$C38:G38)&gt;SUM('DFP-Com'!$C38:G38),"error","ok")</f>
        <v>ok</v>
      </c>
      <c r="G26" s="319" t="str">
        <f>IF(SUM('DFP-CASH'!$C38:H38)&gt;SUM('DFP-Com'!$C38:H38),"error","ok")</f>
        <v>ok</v>
      </c>
      <c r="H26" s="319" t="str">
        <f>IF(SUM('DFP-CASH'!$C38:I38)&gt;SUM('DFP-Com'!$C38:I38),"error","ok")</f>
        <v>ok</v>
      </c>
      <c r="I26" s="319" t="str">
        <f>IF(SUM('DFP-CASH'!$C38:J38)&gt;SUM('DFP-Com'!$C38:J38),"error","ok")</f>
        <v>ok</v>
      </c>
      <c r="J26" s="319" t="str">
        <f>IF(SUM('DFP-CASH'!$C38:K38)&gt;SUM('DFP-Com'!$C38:K38),"error","ok")</f>
        <v>ok</v>
      </c>
      <c r="K26" s="319" t="str">
        <f>IF(SUM('DFP-CASH'!$C38:L38)&gt;SUM('DFP-Com'!$C38:L38),"error","ok")</f>
        <v>ok</v>
      </c>
      <c r="L26" s="319" t="str">
        <f>IF(SUM('DFP-CASH'!$C38:M38)&gt;SUM('DFP-Com'!$C38:M38),"error","ok")</f>
        <v>ok</v>
      </c>
      <c r="M26" s="319" t="str">
        <f>IF(SUM('DFP-CASH'!$C38:N38)&gt;SUM('DFP-Com'!$C38:N38),"error","ok")</f>
        <v>ok</v>
      </c>
      <c r="N26" s="319" t="str">
        <f>IF(SUM('DFP-CASH'!$C38:O38)&gt;SUM('DFP-Com'!$C38:O38),"error","ok")</f>
        <v>ok</v>
      </c>
      <c r="O26" s="319" t="str">
        <f>IF(SUM('DFP-CASH'!$C38:P38)&gt;SUM('DFP-Com'!$C38:P38),"error","ok")</f>
        <v>ok</v>
      </c>
      <c r="P26" s="319" t="str">
        <f>IF(SUM('DFP-CASH'!$C38:Q38)&gt;SUM('DFP-Com'!$C38:Q38),"error","ok")</f>
        <v>ok</v>
      </c>
      <c r="Q26" s="319" t="str">
        <f>IF(SUM('DFP-CASH'!$C38:R38)&gt;SUM('DFP-Com'!$C38:R38),"error","ok")</f>
        <v>ok</v>
      </c>
      <c r="R26" s="319" t="str">
        <f>IF(SUM('DFP-CASH'!$C38:S38)&gt;SUM('DFP-Com'!$C38:S38),"error","ok")</f>
        <v>ok</v>
      </c>
      <c r="S26" s="319" t="str">
        <f>IF(SUM('DFP-CASH'!$C38:T38)&gt;SUM('DFP-Com'!$C38:T38),"error","ok")</f>
        <v>ok</v>
      </c>
    </row>
    <row r="27" spans="1:19" ht="15">
      <c r="A27" s="67" t="s">
        <v>110</v>
      </c>
      <c r="B27" s="263" t="str">
        <f>IF('DFP-Com'!V39-'DFP-CASH'!V39=0,"ok","error")</f>
        <v>ok</v>
      </c>
      <c r="C27" s="319" t="str">
        <f>IF(SUM('DFP-CASH'!$C39:D39)&gt;SUM('DFP-Com'!$C39:D39),"error","ok")</f>
        <v>ok</v>
      </c>
      <c r="D27" s="319" t="str">
        <f>IF(SUM('DFP-CASH'!$C39:E39)&gt;SUM('DFP-Com'!$C39:E39),"error","ok")</f>
        <v>ok</v>
      </c>
      <c r="E27" s="319" t="str">
        <f>IF(SUM('DFP-CASH'!$C39:F39)&gt;SUM('DFP-Com'!$C39:F39),"error","ok")</f>
        <v>ok</v>
      </c>
      <c r="F27" s="319" t="str">
        <f>IF(SUM('DFP-CASH'!$C39:G39)&gt;SUM('DFP-Com'!$C39:G39),"error","ok")</f>
        <v>ok</v>
      </c>
      <c r="G27" s="319" t="str">
        <f>IF(SUM('DFP-CASH'!$C39:H39)&gt;SUM('DFP-Com'!$C39:H39),"error","ok")</f>
        <v>ok</v>
      </c>
      <c r="H27" s="319" t="str">
        <f>IF(SUM('DFP-CASH'!$C39:I39)&gt;SUM('DFP-Com'!$C39:I39),"error","ok")</f>
        <v>ok</v>
      </c>
      <c r="I27" s="319" t="str">
        <f>IF(SUM('DFP-CASH'!$C39:J39)&gt;SUM('DFP-Com'!$C39:J39),"error","ok")</f>
        <v>ok</v>
      </c>
      <c r="J27" s="319" t="str">
        <f>IF(SUM('DFP-CASH'!$C39:K39)&gt;SUM('DFP-Com'!$C39:K39),"error","ok")</f>
        <v>ok</v>
      </c>
      <c r="K27" s="319" t="str">
        <f>IF(SUM('DFP-CASH'!$C39:L39)&gt;SUM('DFP-Com'!$C39:L39),"error","ok")</f>
        <v>ok</v>
      </c>
      <c r="L27" s="319" t="str">
        <f>IF(SUM('DFP-CASH'!$C39:M39)&gt;SUM('DFP-Com'!$C39:M39),"error","ok")</f>
        <v>ok</v>
      </c>
      <c r="M27" s="319" t="str">
        <f>IF(SUM('DFP-CASH'!$C39:N39)&gt;SUM('DFP-Com'!$C39:N39),"error","ok")</f>
        <v>ok</v>
      </c>
      <c r="N27" s="319" t="str">
        <f>IF(SUM('DFP-CASH'!$C39:O39)&gt;SUM('DFP-Com'!$C39:O39),"error","ok")</f>
        <v>ok</v>
      </c>
      <c r="O27" s="319" t="str">
        <f>IF(SUM('DFP-CASH'!$C39:P39)&gt;SUM('DFP-Com'!$C39:P39),"error","ok")</f>
        <v>ok</v>
      </c>
      <c r="P27" s="319" t="str">
        <f>IF(SUM('DFP-CASH'!$C39:Q39)&gt;SUM('DFP-Com'!$C39:Q39),"error","ok")</f>
        <v>ok</v>
      </c>
      <c r="Q27" s="319" t="str">
        <f>IF(SUM('DFP-CASH'!$C39:R39)&gt;SUM('DFP-Com'!$C39:R39),"error","ok")</f>
        <v>error</v>
      </c>
      <c r="R27" s="319" t="str">
        <f>IF(SUM('DFP-CASH'!$C39:S39)&gt;SUM('DFP-Com'!$C39:S39),"error","ok")</f>
        <v>error</v>
      </c>
      <c r="S27" s="319" t="str">
        <f>IF(SUM('DFP-CASH'!$C39:T39)&gt;SUM('DFP-Com'!$C39:T39),"error","ok")</f>
        <v>error</v>
      </c>
    </row>
    <row r="28" spans="1:19" ht="15">
      <c r="A28" s="218" t="s">
        <v>137</v>
      </c>
      <c r="B28" s="263" t="str">
        <f>IF('DFP-Com'!V40-'DFP-CASH'!V40=0,"ok","error")</f>
        <v>ok</v>
      </c>
      <c r="C28" s="319" t="str">
        <f>IF(SUM('DFP-CASH'!$C40:D40)&gt;SUM('DFP-Com'!$C40:D40),"error","ok")</f>
        <v>ok</v>
      </c>
      <c r="D28" s="319" t="str">
        <f>IF(SUM('DFP-CASH'!$C40:E40)&gt;SUM('DFP-Com'!$C40:E40),"error","ok")</f>
        <v>ok</v>
      </c>
      <c r="E28" s="319" t="str">
        <f>IF(SUM('DFP-CASH'!$C40:F40)&gt;SUM('DFP-Com'!$C40:F40),"error","ok")</f>
        <v>ok</v>
      </c>
      <c r="F28" s="319" t="str">
        <f>IF(SUM('DFP-CASH'!$C40:G40)&gt;SUM('DFP-Com'!$C40:G40),"error","ok")</f>
        <v>ok</v>
      </c>
      <c r="G28" s="319" t="str">
        <f>IF(SUM('DFP-CASH'!$C40:H40)&gt;SUM('DFP-Com'!$C40:H40),"error","ok")</f>
        <v>ok</v>
      </c>
      <c r="H28" s="319" t="str">
        <f>IF(SUM('DFP-CASH'!$C40:I40)&gt;SUM('DFP-Com'!$C40:I40),"error","ok")</f>
        <v>ok</v>
      </c>
      <c r="I28" s="319" t="str">
        <f>IF(SUM('DFP-CASH'!$C40:J40)&gt;SUM('DFP-Com'!$C40:J40),"error","ok")</f>
        <v>ok</v>
      </c>
      <c r="J28" s="319" t="str">
        <f>IF(SUM('DFP-CASH'!$C40:K40)&gt;SUM('DFP-Com'!$C40:K40),"error","ok")</f>
        <v>ok</v>
      </c>
      <c r="K28" s="319" t="str">
        <f>IF(SUM('DFP-CASH'!$C40:L40)&gt;SUM('DFP-Com'!$C40:L40),"error","ok")</f>
        <v>ok</v>
      </c>
      <c r="L28" s="319" t="str">
        <f>IF(SUM('DFP-CASH'!$C40:M40)&gt;SUM('DFP-Com'!$C40:M40),"error","ok")</f>
        <v>ok</v>
      </c>
      <c r="M28" s="319" t="str">
        <f>IF(SUM('DFP-CASH'!$C40:N40)&gt;SUM('DFP-Com'!$C40:N40),"error","ok")</f>
        <v>ok</v>
      </c>
      <c r="N28" s="319" t="str">
        <f>IF(SUM('DFP-CASH'!$C40:O40)&gt;SUM('DFP-Com'!$C40:O40),"error","ok")</f>
        <v>ok</v>
      </c>
      <c r="O28" s="319" t="str">
        <f>IF(SUM('DFP-CASH'!$C40:P40)&gt;SUM('DFP-Com'!$C40:P40),"error","ok")</f>
        <v>ok</v>
      </c>
      <c r="P28" s="319" t="str">
        <f>IF(SUM('DFP-CASH'!$C40:Q40)&gt;SUM('DFP-Com'!$C40:Q40),"error","ok")</f>
        <v>ok</v>
      </c>
      <c r="Q28" s="319" t="str">
        <f>IF(SUM('DFP-CASH'!$C40:R40)&gt;SUM('DFP-Com'!$C40:R40),"error","ok")</f>
        <v>error</v>
      </c>
      <c r="R28" s="319" t="str">
        <f>IF(SUM('DFP-CASH'!$C40:S40)&gt;SUM('DFP-Com'!$C40:S40),"error","ok")</f>
        <v>error</v>
      </c>
      <c r="S28" s="319" t="str">
        <f>IF(SUM('DFP-CASH'!$C40:T40)&gt;SUM('DFP-Com'!$C40:T40),"error","ok")</f>
        <v>error</v>
      </c>
    </row>
    <row r="29" spans="1:19" ht="15">
      <c r="A29" s="218" t="s">
        <v>138</v>
      </c>
      <c r="B29" s="263" t="str">
        <f>IF('DFP-Com'!V41-'DFP-CASH'!V41=0,"ok","error")</f>
        <v>ok</v>
      </c>
      <c r="C29" s="319" t="str">
        <f>IF(SUM('DFP-CASH'!$C41:D41)&gt;SUM('DFP-Com'!$C41:D41),"error","ok")</f>
        <v>ok</v>
      </c>
      <c r="D29" s="319" t="str">
        <f>IF(SUM('DFP-CASH'!$C41:E41)&gt;SUM('DFP-Com'!$C41:E41),"error","ok")</f>
        <v>ok</v>
      </c>
      <c r="E29" s="319" t="str">
        <f>IF(SUM('DFP-CASH'!$C41:F41)&gt;SUM('DFP-Com'!$C41:F41),"error","ok")</f>
        <v>ok</v>
      </c>
      <c r="F29" s="319" t="str">
        <f>IF(SUM('DFP-CASH'!$C41:G41)&gt;SUM('DFP-Com'!$C41:G41),"error","ok")</f>
        <v>ok</v>
      </c>
      <c r="G29" s="319" t="str">
        <f>IF(SUM('DFP-CASH'!$C41:H41)&gt;SUM('DFP-Com'!$C41:H41),"error","ok")</f>
        <v>ok</v>
      </c>
      <c r="H29" s="319" t="str">
        <f>IF(SUM('DFP-CASH'!$C41:I41)&gt;SUM('DFP-Com'!$C41:I41),"error","ok")</f>
        <v>ok</v>
      </c>
      <c r="I29" s="319" t="str">
        <f>IF(SUM('DFP-CASH'!$C41:J41)&gt;SUM('DFP-Com'!$C41:J41),"error","ok")</f>
        <v>ok</v>
      </c>
      <c r="J29" s="319" t="str">
        <f>IF(SUM('DFP-CASH'!$C41:K41)&gt;SUM('DFP-Com'!$C41:K41),"error","ok")</f>
        <v>ok</v>
      </c>
      <c r="K29" s="319" t="str">
        <f>IF(SUM('DFP-CASH'!$C41:L41)&gt;SUM('DFP-Com'!$C41:L41),"error","ok")</f>
        <v>ok</v>
      </c>
      <c r="L29" s="319" t="str">
        <f>IF(SUM('DFP-CASH'!$C41:M41)&gt;SUM('DFP-Com'!$C41:M41),"error","ok")</f>
        <v>ok</v>
      </c>
      <c r="M29" s="319" t="str">
        <f>IF(SUM('DFP-CASH'!$C41:N41)&gt;SUM('DFP-Com'!$C41:N41),"error","ok")</f>
        <v>ok</v>
      </c>
      <c r="N29" s="319" t="str">
        <f>IF(SUM('DFP-CASH'!$C41:O41)&gt;SUM('DFP-Com'!$C41:O41),"error","ok")</f>
        <v>ok</v>
      </c>
      <c r="O29" s="319" t="str">
        <f>IF(SUM('DFP-CASH'!$C41:P41)&gt;SUM('DFP-Com'!$C41:P41),"error","ok")</f>
        <v>ok</v>
      </c>
      <c r="P29" s="319" t="str">
        <f>IF(SUM('DFP-CASH'!$C41:Q41)&gt;SUM('DFP-Com'!$C41:Q41),"error","ok")</f>
        <v>ok</v>
      </c>
      <c r="Q29" s="319" t="str">
        <f>IF(SUM('DFP-CASH'!$C41:R41)&gt;SUM('DFP-Com'!$C41:R41),"error","ok")</f>
        <v>error</v>
      </c>
      <c r="R29" s="319" t="str">
        <f>IF(SUM('DFP-CASH'!$C41:S41)&gt;SUM('DFP-Com'!$C41:S41),"error","ok")</f>
        <v>error</v>
      </c>
      <c r="S29" s="319" t="str">
        <f>IF(SUM('DFP-CASH'!$C41:T41)&gt;SUM('DFP-Com'!$C41:T41),"error","ok")</f>
        <v>error</v>
      </c>
    </row>
    <row r="30" spans="1:19" ht="15">
      <c r="A30" s="218" t="s">
        <v>139</v>
      </c>
      <c r="B30" s="263" t="str">
        <f>IF('DFP-Com'!V42-'DFP-CASH'!V42=0,"ok","error")</f>
        <v>ok</v>
      </c>
      <c r="C30" s="319" t="str">
        <f>IF(SUM('DFP-CASH'!$C42:D42)&gt;SUM('DFP-Com'!$C42:D42),"error","ok")</f>
        <v>ok</v>
      </c>
      <c r="D30" s="319" t="str">
        <f>IF(SUM('DFP-CASH'!$C42:E42)&gt;SUM('DFP-Com'!$C42:E42),"error","ok")</f>
        <v>ok</v>
      </c>
      <c r="E30" s="319" t="str">
        <f>IF(SUM('DFP-CASH'!$C42:F42)&gt;SUM('DFP-Com'!$C42:F42),"error","ok")</f>
        <v>ok</v>
      </c>
      <c r="F30" s="319" t="str">
        <f>IF(SUM('DFP-CASH'!$C42:G42)&gt;SUM('DFP-Com'!$C42:G42),"error","ok")</f>
        <v>ok</v>
      </c>
      <c r="G30" s="319" t="str">
        <f>IF(SUM('DFP-CASH'!$C42:H42)&gt;SUM('DFP-Com'!$C42:H42),"error","ok")</f>
        <v>ok</v>
      </c>
      <c r="H30" s="319" t="str">
        <f>IF(SUM('DFP-CASH'!$C42:I42)&gt;SUM('DFP-Com'!$C42:I42),"error","ok")</f>
        <v>ok</v>
      </c>
      <c r="I30" s="319" t="str">
        <f>IF(SUM('DFP-CASH'!$C42:J42)&gt;SUM('DFP-Com'!$C42:J42),"error","ok")</f>
        <v>ok</v>
      </c>
      <c r="J30" s="319" t="str">
        <f>IF(SUM('DFP-CASH'!$C42:K42)&gt;SUM('DFP-Com'!$C42:K42),"error","ok")</f>
        <v>ok</v>
      </c>
      <c r="K30" s="319" t="str">
        <f>IF(SUM('DFP-CASH'!$C42:L42)&gt;SUM('DFP-Com'!$C42:L42),"error","ok")</f>
        <v>ok</v>
      </c>
      <c r="L30" s="319" t="str">
        <f>IF(SUM('DFP-CASH'!$C42:M42)&gt;SUM('DFP-Com'!$C42:M42),"error","ok")</f>
        <v>ok</v>
      </c>
      <c r="M30" s="319" t="str">
        <f>IF(SUM('DFP-CASH'!$C42:N42)&gt;SUM('DFP-Com'!$C42:N42),"error","ok")</f>
        <v>ok</v>
      </c>
      <c r="N30" s="319" t="str">
        <f>IF(SUM('DFP-CASH'!$C42:O42)&gt;SUM('DFP-Com'!$C42:O42),"error","ok")</f>
        <v>ok</v>
      </c>
      <c r="O30" s="319" t="str">
        <f>IF(SUM('DFP-CASH'!$C42:P42)&gt;SUM('DFP-Com'!$C42:P42),"error","ok")</f>
        <v>ok</v>
      </c>
      <c r="P30" s="319" t="str">
        <f>IF(SUM('DFP-CASH'!$C42:Q42)&gt;SUM('DFP-Com'!$C42:Q42),"error","ok")</f>
        <v>ok</v>
      </c>
      <c r="Q30" s="319" t="str">
        <f>IF(SUM('DFP-CASH'!$C42:R42)&gt;SUM('DFP-Com'!$C42:R42),"error","ok")</f>
        <v>error</v>
      </c>
      <c r="R30" s="319" t="str">
        <f>IF(SUM('DFP-CASH'!$C42:S42)&gt;SUM('DFP-Com'!$C42:S42),"error","ok")</f>
        <v>error</v>
      </c>
      <c r="S30" s="319" t="str">
        <f>IF(SUM('DFP-CASH'!$C42:T42)&gt;SUM('DFP-Com'!$C42:T42),"error","ok")</f>
        <v>error</v>
      </c>
    </row>
    <row r="31" spans="1:19" ht="15">
      <c r="A31" s="218" t="s">
        <v>150</v>
      </c>
      <c r="B31" s="263" t="str">
        <f>IF('DFP-Com'!V43-'DFP-CASH'!V43=0,"ok","error")</f>
        <v>ok</v>
      </c>
      <c r="C31" s="319" t="str">
        <f>IF(SUM('DFP-CASH'!$C43:D43)&gt;SUM('DFP-Com'!$C43:D43),"error","ok")</f>
        <v>ok</v>
      </c>
      <c r="D31" s="319" t="str">
        <f>IF(SUM('DFP-CASH'!$C43:E43)&gt;SUM('DFP-Com'!$C43:E43),"error","ok")</f>
        <v>ok</v>
      </c>
      <c r="E31" s="319" t="str">
        <f>IF(SUM('DFP-CASH'!$C43:F43)&gt;SUM('DFP-Com'!$C43:F43),"error","ok")</f>
        <v>ok</v>
      </c>
      <c r="F31" s="319" t="str">
        <f>IF(SUM('DFP-CASH'!$C43:G43)&gt;SUM('DFP-Com'!$C43:G43),"error","ok")</f>
        <v>ok</v>
      </c>
      <c r="G31" s="319" t="str">
        <f>IF(SUM('DFP-CASH'!$C43:H43)&gt;SUM('DFP-Com'!$C43:H43),"error","ok")</f>
        <v>ok</v>
      </c>
      <c r="H31" s="319" t="str">
        <f>IF(SUM('DFP-CASH'!$C43:I43)&gt;SUM('DFP-Com'!$C43:I43),"error","ok")</f>
        <v>ok</v>
      </c>
      <c r="I31" s="319" t="str">
        <f>IF(SUM('DFP-CASH'!$C43:J43)&gt;SUM('DFP-Com'!$C43:J43),"error","ok")</f>
        <v>ok</v>
      </c>
      <c r="J31" s="319" t="str">
        <f>IF(SUM('DFP-CASH'!$C43:K43)&gt;SUM('DFP-Com'!$C43:K43),"error","ok")</f>
        <v>ok</v>
      </c>
      <c r="K31" s="319" t="str">
        <f>IF(SUM('DFP-CASH'!$C43:L43)&gt;SUM('DFP-Com'!$C43:L43),"error","ok")</f>
        <v>ok</v>
      </c>
      <c r="L31" s="319" t="str">
        <f>IF(SUM('DFP-CASH'!$C43:M43)&gt;SUM('DFP-Com'!$C43:M43),"error","ok")</f>
        <v>ok</v>
      </c>
      <c r="M31" s="319" t="str">
        <f>IF(SUM('DFP-CASH'!$C43:N43)&gt;SUM('DFP-Com'!$C43:N43),"error","ok")</f>
        <v>ok</v>
      </c>
      <c r="N31" s="319" t="str">
        <f>IF(SUM('DFP-CASH'!$C43:O43)&gt;SUM('DFP-Com'!$C43:O43),"error","ok")</f>
        <v>ok</v>
      </c>
      <c r="O31" s="319" t="str">
        <f>IF(SUM('DFP-CASH'!$C43:P43)&gt;SUM('DFP-Com'!$C43:P43),"error","ok")</f>
        <v>ok</v>
      </c>
      <c r="P31" s="319" t="str">
        <f>IF(SUM('DFP-CASH'!$C43:Q43)&gt;SUM('DFP-Com'!$C43:Q43),"error","ok")</f>
        <v>ok</v>
      </c>
      <c r="Q31" s="319" t="str">
        <f>IF(SUM('DFP-CASH'!$C43:R43)&gt;SUM('DFP-Com'!$C43:R43),"error","ok")</f>
        <v>error</v>
      </c>
      <c r="R31" s="319" t="str">
        <f>IF(SUM('DFP-CASH'!$C43:S43)&gt;SUM('DFP-Com'!$C43:S43),"error","ok")</f>
        <v>error</v>
      </c>
      <c r="S31" s="319" t="str">
        <f>IF(SUM('DFP-CASH'!$C43:T43)&gt;SUM('DFP-Com'!$C43:T43),"error","ok")</f>
        <v>error</v>
      </c>
    </row>
    <row r="32" spans="1:19" ht="15">
      <c r="A32" s="61" t="s">
        <v>22</v>
      </c>
      <c r="B32" s="263" t="str">
        <f>IF('DFP-Com'!V44-'DFP-CASH'!V44=0,"ok","error")</f>
        <v>ok</v>
      </c>
      <c r="C32" s="319" t="str">
        <f>IF(SUM('DFP-CASH'!$C44:D44)&gt;SUM('DFP-Com'!$C44:D44),"error","ok")</f>
        <v>ok</v>
      </c>
      <c r="D32" s="319" t="str">
        <f>IF(SUM('DFP-CASH'!$C44:E44)&gt;SUM('DFP-Com'!$C44:E44),"error","ok")</f>
        <v>ok</v>
      </c>
      <c r="E32" s="319" t="str">
        <f>IF(SUM('DFP-CASH'!$C44:F44)&gt;SUM('DFP-Com'!$C44:F44),"error","ok")</f>
        <v>ok</v>
      </c>
      <c r="F32" s="319" t="str">
        <f>IF(SUM('DFP-CASH'!$C44:G44)&gt;SUM('DFP-Com'!$C44:G44),"error","ok")</f>
        <v>ok</v>
      </c>
      <c r="G32" s="319" t="str">
        <f>IF(SUM('DFP-CASH'!$C44:H44)&gt;SUM('DFP-Com'!$C44:H44),"error","ok")</f>
        <v>ok</v>
      </c>
      <c r="H32" s="319" t="str">
        <f>IF(SUM('DFP-CASH'!$C44:I44)&gt;SUM('DFP-Com'!$C44:I44),"error","ok")</f>
        <v>ok</v>
      </c>
      <c r="I32" s="319" t="str">
        <f>IF(SUM('DFP-CASH'!$C44:J44)&gt;SUM('DFP-Com'!$C44:J44),"error","ok")</f>
        <v>ok</v>
      </c>
      <c r="J32" s="319" t="str">
        <f>IF(SUM('DFP-CASH'!$C44:K44)&gt;SUM('DFP-Com'!$C44:K44),"error","ok")</f>
        <v>ok</v>
      </c>
      <c r="K32" s="319" t="str">
        <f>IF(SUM('DFP-CASH'!$C44:L44)&gt;SUM('DFP-Com'!$C44:L44),"error","ok")</f>
        <v>ok</v>
      </c>
      <c r="L32" s="319" t="str">
        <f>IF(SUM('DFP-CASH'!$C44:M44)&gt;SUM('DFP-Com'!$C44:M44),"error","ok")</f>
        <v>ok</v>
      </c>
      <c r="M32" s="319" t="str">
        <f>IF(SUM('DFP-CASH'!$C44:N44)&gt;SUM('DFP-Com'!$C44:N44),"error","ok")</f>
        <v>ok</v>
      </c>
      <c r="N32" s="319" t="str">
        <f>IF(SUM('DFP-CASH'!$C44:O44)&gt;SUM('DFP-Com'!$C44:O44),"error","ok")</f>
        <v>ok</v>
      </c>
      <c r="O32" s="319" t="str">
        <f>IF(SUM('DFP-CASH'!$C44:P44)&gt;SUM('DFP-Com'!$C44:P44),"error","ok")</f>
        <v>ok</v>
      </c>
      <c r="P32" s="319" t="str">
        <f>IF(SUM('DFP-CASH'!$C44:Q44)&gt;SUM('DFP-Com'!$C44:Q44),"error","ok")</f>
        <v>ok</v>
      </c>
      <c r="Q32" s="319" t="str">
        <f>IF(SUM('DFP-CASH'!$C44:R44)&gt;SUM('DFP-Com'!$C44:R44),"error","ok")</f>
        <v>error</v>
      </c>
      <c r="R32" s="319" t="str">
        <f>IF(SUM('DFP-CASH'!$C44:S44)&gt;SUM('DFP-Com'!$C44:S44),"error","ok")</f>
        <v>error</v>
      </c>
      <c r="S32" s="319" t="str">
        <f>IF(SUM('DFP-CASH'!$C44:T44)&gt;SUM('DFP-Com'!$C44:T44),"error","ok")</f>
        <v>error</v>
      </c>
    </row>
    <row r="33" spans="1:19" ht="15">
      <c r="A33" s="56"/>
      <c r="B33" s="263" t="str">
        <f>IF('DFP-Com'!V45-'DFP-CASH'!V45=0,"ok","error")</f>
        <v>ok</v>
      </c>
      <c r="C33" s="319" t="str">
        <f>IF(SUM('DFP-CASH'!$C45:D45)&gt;SUM('DFP-Com'!$C45:D45),"error","ok")</f>
        <v>ok</v>
      </c>
      <c r="D33" s="319" t="str">
        <f>IF(SUM('DFP-CASH'!$C45:E45)&gt;SUM('DFP-Com'!$C45:E45),"error","ok")</f>
        <v>ok</v>
      </c>
      <c r="E33" s="319" t="str">
        <f>IF(SUM('DFP-CASH'!$C45:F45)&gt;SUM('DFP-Com'!$C45:F45),"error","ok")</f>
        <v>ok</v>
      </c>
      <c r="F33" s="319" t="str">
        <f>IF(SUM('DFP-CASH'!$C45:G45)&gt;SUM('DFP-Com'!$C45:G45),"error","ok")</f>
        <v>ok</v>
      </c>
      <c r="G33" s="319" t="str">
        <f>IF(SUM('DFP-CASH'!$C45:H45)&gt;SUM('DFP-Com'!$C45:H45),"error","ok")</f>
        <v>ok</v>
      </c>
      <c r="H33" s="319" t="str">
        <f>IF(SUM('DFP-CASH'!$C45:I45)&gt;SUM('DFP-Com'!$C45:I45),"error","ok")</f>
        <v>ok</v>
      </c>
      <c r="I33" s="319" t="str">
        <f>IF(SUM('DFP-CASH'!$C45:J45)&gt;SUM('DFP-Com'!$C45:J45),"error","ok")</f>
        <v>ok</v>
      </c>
      <c r="J33" s="319" t="str">
        <f>IF(SUM('DFP-CASH'!$C45:K45)&gt;SUM('DFP-Com'!$C45:K45),"error","ok")</f>
        <v>ok</v>
      </c>
      <c r="K33" s="319" t="str">
        <f>IF(SUM('DFP-CASH'!$C45:L45)&gt;SUM('DFP-Com'!$C45:L45),"error","ok")</f>
        <v>ok</v>
      </c>
      <c r="L33" s="319" t="str">
        <f>IF(SUM('DFP-CASH'!$C45:M45)&gt;SUM('DFP-Com'!$C45:M45),"error","ok")</f>
        <v>ok</v>
      </c>
      <c r="M33" s="319" t="str">
        <f>IF(SUM('DFP-CASH'!$C45:N45)&gt;SUM('DFP-Com'!$C45:N45),"error","ok")</f>
        <v>ok</v>
      </c>
      <c r="N33" s="319" t="str">
        <f>IF(SUM('DFP-CASH'!$C45:O45)&gt;SUM('DFP-Com'!$C45:O45),"error","ok")</f>
        <v>ok</v>
      </c>
      <c r="O33" s="319" t="str">
        <f>IF(SUM('DFP-CASH'!$C45:P45)&gt;SUM('DFP-Com'!$C45:P45),"error","ok")</f>
        <v>ok</v>
      </c>
      <c r="P33" s="319" t="str">
        <f>IF(SUM('DFP-CASH'!$C45:Q45)&gt;SUM('DFP-Com'!$C45:Q45),"error","ok")</f>
        <v>ok</v>
      </c>
      <c r="Q33" s="319" t="str">
        <f>IF(SUM('DFP-CASH'!$C45:R45)&gt;SUM('DFP-Com'!$C45:R45),"error","ok")</f>
        <v>ok</v>
      </c>
      <c r="R33" s="319" t="str">
        <f>IF(SUM('DFP-CASH'!$C45:S45)&gt;SUM('DFP-Com'!$C45:S45),"error","ok")</f>
        <v>ok</v>
      </c>
      <c r="S33" s="319" t="str">
        <f>IF(SUM('DFP-CASH'!$C45:T45)&gt;SUM('DFP-Com'!$C45:T45),"error","ok")</f>
        <v>ok</v>
      </c>
    </row>
    <row r="34" spans="1:19" ht="15">
      <c r="A34" s="47" t="s">
        <v>102</v>
      </c>
      <c r="B34" s="263" t="str">
        <f>IF('DFP-Com'!V46-'DFP-CASH'!V46=0,"ok","error")</f>
        <v>ok</v>
      </c>
      <c r="C34" s="319" t="str">
        <f>IF(SUM('DFP-CASH'!$C46:D46)&gt;SUM('DFP-Com'!$C46:D46),"error","ok")</f>
        <v>ok</v>
      </c>
      <c r="D34" s="319" t="str">
        <f>IF(SUM('DFP-CASH'!$C46:E46)&gt;SUM('DFP-Com'!$C46:E46),"error","ok")</f>
        <v>ok</v>
      </c>
      <c r="E34" s="319" t="str">
        <f>IF(SUM('DFP-CASH'!$C46:F46)&gt;SUM('DFP-Com'!$C46:F46),"error","ok")</f>
        <v>ok</v>
      </c>
      <c r="F34" s="319" t="str">
        <f>IF(SUM('DFP-CASH'!$C46:G46)&gt;SUM('DFP-Com'!$C46:G46),"error","ok")</f>
        <v>ok</v>
      </c>
      <c r="G34" s="319" t="str">
        <f>IF(SUM('DFP-CASH'!$C46:H46)&gt;SUM('DFP-Com'!$C46:H46),"error","ok")</f>
        <v>ok</v>
      </c>
      <c r="H34" s="319" t="str">
        <f>IF(SUM('DFP-CASH'!$C46:I46)&gt;SUM('DFP-Com'!$C46:I46),"error","ok")</f>
        <v>ok</v>
      </c>
      <c r="I34" s="319" t="str">
        <f>IF(SUM('DFP-CASH'!$C46:J46)&gt;SUM('DFP-Com'!$C46:J46),"error","ok")</f>
        <v>ok</v>
      </c>
      <c r="J34" s="319" t="str">
        <f>IF(SUM('DFP-CASH'!$C46:K46)&gt;SUM('DFP-Com'!$C46:K46),"error","ok")</f>
        <v>ok</v>
      </c>
      <c r="K34" s="319" t="str">
        <f>IF(SUM('DFP-CASH'!$C46:L46)&gt;SUM('DFP-Com'!$C46:L46),"error","ok")</f>
        <v>ok</v>
      </c>
      <c r="L34" s="319" t="str">
        <f>IF(SUM('DFP-CASH'!$C46:M46)&gt;SUM('DFP-Com'!$C46:M46),"error","ok")</f>
        <v>ok</v>
      </c>
      <c r="M34" s="319" t="str">
        <f>IF(SUM('DFP-CASH'!$C46:N46)&gt;SUM('DFP-Com'!$C46:N46),"error","ok")</f>
        <v>ok</v>
      </c>
      <c r="N34" s="319" t="str">
        <f>IF(SUM('DFP-CASH'!$C46:O46)&gt;SUM('DFP-Com'!$C46:O46),"error","ok")</f>
        <v>ok</v>
      </c>
      <c r="O34" s="319" t="str">
        <f>IF(SUM('DFP-CASH'!$C46:P46)&gt;SUM('DFP-Com'!$C46:P46),"error","ok")</f>
        <v>ok</v>
      </c>
      <c r="P34" s="319" t="str">
        <f>IF(SUM('DFP-CASH'!$C46:Q46)&gt;SUM('DFP-Com'!$C46:Q46),"error","ok")</f>
        <v>ok</v>
      </c>
      <c r="Q34" s="319" t="str">
        <f>IF(SUM('DFP-CASH'!$C46:R46)&gt;SUM('DFP-Com'!$C46:R46),"error","ok")</f>
        <v>ok</v>
      </c>
      <c r="R34" s="319" t="str">
        <f>IF(SUM('DFP-CASH'!$C46:S46)&gt;SUM('DFP-Com'!$C46:S46),"error","ok")</f>
        <v>ok</v>
      </c>
      <c r="S34" s="319" t="str">
        <f>IF(SUM('DFP-CASH'!$C46:T46)&gt;SUM('DFP-Com'!$C46:T46),"error","ok")</f>
        <v>ok</v>
      </c>
    </row>
    <row r="35" spans="1:19" ht="15">
      <c r="A35" s="68" t="s">
        <v>112</v>
      </c>
      <c r="B35" s="263" t="str">
        <f>IF('DFP-Com'!V47-'DFP-CASH'!V47=0,"ok","error")</f>
        <v>ok</v>
      </c>
      <c r="C35" s="319" t="str">
        <f>IF(SUM('DFP-CASH'!$C47:D47)&gt;SUM('DFP-Com'!$C47:D47),"error","ok")</f>
        <v>ok</v>
      </c>
      <c r="D35" s="319" t="str">
        <f>IF(SUM('DFP-CASH'!$C47:E47)&gt;SUM('DFP-Com'!$C47:E47),"error","ok")</f>
        <v>ok</v>
      </c>
      <c r="E35" s="319" t="str">
        <f>IF(SUM('DFP-CASH'!$C47:F47)&gt;SUM('DFP-Com'!$C47:F47),"error","ok")</f>
        <v>ok</v>
      </c>
      <c r="F35" s="319" t="str">
        <f>IF(SUM('DFP-CASH'!$C47:G47)&gt;SUM('DFP-Com'!$C47:G47),"error","ok")</f>
        <v>ok</v>
      </c>
      <c r="G35" s="319" t="str">
        <f>IF(SUM('DFP-CASH'!$C47:H47)&gt;SUM('DFP-Com'!$C47:H47),"error","ok")</f>
        <v>ok</v>
      </c>
      <c r="H35" s="319" t="str">
        <f>IF(SUM('DFP-CASH'!$C47:I47)&gt;SUM('DFP-Com'!$C47:I47),"error","ok")</f>
        <v>ok</v>
      </c>
      <c r="I35" s="319" t="str">
        <f>IF(SUM('DFP-CASH'!$C47:J47)&gt;SUM('DFP-Com'!$C47:J47),"error","ok")</f>
        <v>ok</v>
      </c>
      <c r="J35" s="319" t="str">
        <f>IF(SUM('DFP-CASH'!$C47:K47)&gt;SUM('DFP-Com'!$C47:K47),"error","ok")</f>
        <v>ok</v>
      </c>
      <c r="K35" s="319" t="str">
        <f>IF(SUM('DFP-CASH'!$C47:L47)&gt;SUM('DFP-Com'!$C47:L47),"error","ok")</f>
        <v>ok</v>
      </c>
      <c r="L35" s="319" t="str">
        <f>IF(SUM('DFP-CASH'!$C47:M47)&gt;SUM('DFP-Com'!$C47:M47),"error","ok")</f>
        <v>ok</v>
      </c>
      <c r="M35" s="319" t="str">
        <f>IF(SUM('DFP-CASH'!$C47:N47)&gt;SUM('DFP-Com'!$C47:N47),"error","ok")</f>
        <v>ok</v>
      </c>
      <c r="N35" s="319" t="str">
        <f>IF(SUM('DFP-CASH'!$C47:O47)&gt;SUM('DFP-Com'!$C47:O47),"error","ok")</f>
        <v>ok</v>
      </c>
      <c r="O35" s="319" t="str">
        <f>IF(SUM('DFP-CASH'!$C47:P47)&gt;SUM('DFP-Com'!$C47:P47),"error","ok")</f>
        <v>ok</v>
      </c>
      <c r="P35" s="319" t="str">
        <f>IF(SUM('DFP-CASH'!$C47:Q47)&gt;SUM('DFP-Com'!$C47:Q47),"error","ok")</f>
        <v>ok</v>
      </c>
      <c r="Q35" s="319" t="str">
        <f>IF(SUM('DFP-CASH'!$C47:R47)&gt;SUM('DFP-Com'!$C47:R47),"error","ok")</f>
        <v>ok</v>
      </c>
      <c r="R35" s="319" t="str">
        <f>IF(SUM('DFP-CASH'!$C47:S47)&gt;SUM('DFP-Com'!$C47:S47),"error","ok")</f>
        <v>ok</v>
      </c>
      <c r="S35" s="319" t="str">
        <f>IF(SUM('DFP-CASH'!$C47:T47)&gt;SUM('DFP-Com'!$C47:T47),"error","ok")</f>
        <v>ok</v>
      </c>
    </row>
    <row r="36" spans="1:19" ht="15">
      <c r="A36" s="222" t="s">
        <v>160</v>
      </c>
      <c r="B36" s="263" t="str">
        <f>IF('DFP-Com'!V48-'DFP-CASH'!V48=0,"ok","error")</f>
        <v>ok</v>
      </c>
      <c r="C36" s="319" t="str">
        <f>IF(SUM('DFP-CASH'!$C48:D48)&gt;SUM('DFP-Com'!$C48:D48),"error","ok")</f>
        <v>ok</v>
      </c>
      <c r="D36" s="319" t="str">
        <f>IF(SUM('DFP-CASH'!$C48:E48)&gt;SUM('DFP-Com'!$C48:E48),"error","ok")</f>
        <v>ok</v>
      </c>
      <c r="E36" s="319" t="str">
        <f>IF(SUM('DFP-CASH'!$C48:F48)&gt;SUM('DFP-Com'!$C48:F48),"error","ok")</f>
        <v>ok</v>
      </c>
      <c r="F36" s="319" t="str">
        <f>IF(SUM('DFP-CASH'!$C48:G48)&gt;SUM('DFP-Com'!$C48:G48),"error","ok")</f>
        <v>ok</v>
      </c>
      <c r="G36" s="319" t="str">
        <f>IF(SUM('DFP-CASH'!$C48:H48)&gt;SUM('DFP-Com'!$C48:H48),"error","ok")</f>
        <v>ok</v>
      </c>
      <c r="H36" s="319" t="str">
        <f>IF(SUM('DFP-CASH'!$C48:I48)&gt;SUM('DFP-Com'!$C48:I48),"error","ok")</f>
        <v>ok</v>
      </c>
      <c r="I36" s="319" t="str">
        <f>IF(SUM('DFP-CASH'!$C48:J48)&gt;SUM('DFP-Com'!$C48:J48),"error","ok")</f>
        <v>ok</v>
      </c>
      <c r="J36" s="319" t="str">
        <f>IF(SUM('DFP-CASH'!$C48:K48)&gt;SUM('DFP-Com'!$C48:K48),"error","ok")</f>
        <v>ok</v>
      </c>
      <c r="K36" s="319" t="str">
        <f>IF(SUM('DFP-CASH'!$C48:L48)&gt;SUM('DFP-Com'!$C48:L48),"error","ok")</f>
        <v>ok</v>
      </c>
      <c r="L36" s="319" t="str">
        <f>IF(SUM('DFP-CASH'!$C48:M48)&gt;SUM('DFP-Com'!$C48:M48),"error","ok")</f>
        <v>ok</v>
      </c>
      <c r="M36" s="319" t="str">
        <f>IF(SUM('DFP-CASH'!$C48:N48)&gt;SUM('DFP-Com'!$C48:N48),"error","ok")</f>
        <v>ok</v>
      </c>
      <c r="N36" s="319" t="str">
        <f>IF(SUM('DFP-CASH'!$C48:O48)&gt;SUM('DFP-Com'!$C48:O48),"error","ok")</f>
        <v>ok</v>
      </c>
      <c r="O36" s="319" t="str">
        <f>IF(SUM('DFP-CASH'!$C48:P48)&gt;SUM('DFP-Com'!$C48:P48),"error","ok")</f>
        <v>ok</v>
      </c>
      <c r="P36" s="319" t="str">
        <f>IF(SUM('DFP-CASH'!$C48:Q48)&gt;SUM('DFP-Com'!$C48:Q48),"error","ok")</f>
        <v>ok</v>
      </c>
      <c r="Q36" s="319" t="str">
        <f>IF(SUM('DFP-CASH'!$C48:R48)&gt;SUM('DFP-Com'!$C48:R48),"error","ok")</f>
        <v>ok</v>
      </c>
      <c r="R36" s="319" t="str">
        <f>IF(SUM('DFP-CASH'!$C48:S48)&gt;SUM('DFP-Com'!$C48:S48),"error","ok")</f>
        <v>ok</v>
      </c>
      <c r="S36" s="319" t="str">
        <f>IF(SUM('DFP-CASH'!$C48:T48)&gt;SUM('DFP-Com'!$C48:T48),"error","ok")</f>
        <v>ok</v>
      </c>
    </row>
    <row r="37" spans="1:19" ht="15">
      <c r="A37" s="222" t="s">
        <v>161</v>
      </c>
      <c r="B37" s="263" t="str">
        <f>IF('DFP-Com'!V49-'DFP-CASH'!V49=0,"ok","error")</f>
        <v>ok</v>
      </c>
      <c r="C37" s="319" t="str">
        <f>IF(SUM('DFP-CASH'!$C49:D49)&gt;SUM('DFP-Com'!$C49:D49),"error","ok")</f>
        <v>ok</v>
      </c>
      <c r="D37" s="319" t="str">
        <f>IF(SUM('DFP-CASH'!$C49:E49)&gt;SUM('DFP-Com'!$C49:E49),"error","ok")</f>
        <v>ok</v>
      </c>
      <c r="E37" s="319" t="str">
        <f>IF(SUM('DFP-CASH'!$C49:F49)&gt;SUM('DFP-Com'!$C49:F49),"error","ok")</f>
        <v>ok</v>
      </c>
      <c r="F37" s="319" t="str">
        <f>IF(SUM('DFP-CASH'!$C49:G49)&gt;SUM('DFP-Com'!$C49:G49),"error","ok")</f>
        <v>ok</v>
      </c>
      <c r="G37" s="319" t="str">
        <f>IF(SUM('DFP-CASH'!$C49:H49)&gt;SUM('DFP-Com'!$C49:H49),"error","ok")</f>
        <v>ok</v>
      </c>
      <c r="H37" s="319" t="str">
        <f>IF(SUM('DFP-CASH'!$C49:I49)&gt;SUM('DFP-Com'!$C49:I49),"error","ok")</f>
        <v>ok</v>
      </c>
      <c r="I37" s="319" t="str">
        <f>IF(SUM('DFP-CASH'!$C49:J49)&gt;SUM('DFP-Com'!$C49:J49),"error","ok")</f>
        <v>ok</v>
      </c>
      <c r="J37" s="319" t="str">
        <f>IF(SUM('DFP-CASH'!$C49:K49)&gt;SUM('DFP-Com'!$C49:K49),"error","ok")</f>
        <v>ok</v>
      </c>
      <c r="K37" s="319" t="str">
        <f>IF(SUM('DFP-CASH'!$C49:L49)&gt;SUM('DFP-Com'!$C49:L49),"error","ok")</f>
        <v>ok</v>
      </c>
      <c r="L37" s="319" t="str">
        <f>IF(SUM('DFP-CASH'!$C49:M49)&gt;SUM('DFP-Com'!$C49:M49),"error","ok")</f>
        <v>ok</v>
      </c>
      <c r="M37" s="319" t="str">
        <f>IF(SUM('DFP-CASH'!$C49:N49)&gt;SUM('DFP-Com'!$C49:N49),"error","ok")</f>
        <v>ok</v>
      </c>
      <c r="N37" s="319" t="str">
        <f>IF(SUM('DFP-CASH'!$C49:O49)&gt;SUM('DFP-Com'!$C49:O49),"error","ok")</f>
        <v>ok</v>
      </c>
      <c r="O37" s="319" t="str">
        <f>IF(SUM('DFP-CASH'!$C49:P49)&gt;SUM('DFP-Com'!$C49:P49),"error","ok")</f>
        <v>ok</v>
      </c>
      <c r="P37" s="319" t="str">
        <f>IF(SUM('DFP-CASH'!$C49:Q49)&gt;SUM('DFP-Com'!$C49:Q49),"error","ok")</f>
        <v>ok</v>
      </c>
      <c r="Q37" s="319" t="str">
        <f>IF(SUM('DFP-CASH'!$C49:R49)&gt;SUM('DFP-Com'!$C49:R49),"error","ok")</f>
        <v>ok</v>
      </c>
      <c r="R37" s="319" t="str">
        <f>IF(SUM('DFP-CASH'!$C49:S49)&gt;SUM('DFP-Com'!$C49:S49),"error","ok")</f>
        <v>ok</v>
      </c>
      <c r="S37" s="319" t="str">
        <f>IF(SUM('DFP-CASH'!$C49:T49)&gt;SUM('DFP-Com'!$C49:T49),"error","ok")</f>
        <v>ok</v>
      </c>
    </row>
    <row r="38" spans="1:19" ht="15">
      <c r="A38" s="222" t="s">
        <v>162</v>
      </c>
      <c r="B38" s="263" t="str">
        <f>IF('DFP-Com'!V50-'DFP-CASH'!V50=0,"ok","error")</f>
        <v>ok</v>
      </c>
      <c r="C38" s="319" t="str">
        <f>IF(SUM('DFP-CASH'!$C50:D50)&gt;SUM('DFP-Com'!$C50:D50),"error","ok")</f>
        <v>ok</v>
      </c>
      <c r="D38" s="319" t="str">
        <f>IF(SUM('DFP-CASH'!$C50:E50)&gt;SUM('DFP-Com'!$C50:E50),"error","ok")</f>
        <v>ok</v>
      </c>
      <c r="E38" s="319" t="str">
        <f>IF(SUM('DFP-CASH'!$C50:F50)&gt;SUM('DFP-Com'!$C50:F50),"error","ok")</f>
        <v>ok</v>
      </c>
      <c r="F38" s="319" t="str">
        <f>IF(SUM('DFP-CASH'!$C50:G50)&gt;SUM('DFP-Com'!$C50:G50),"error","ok")</f>
        <v>ok</v>
      </c>
      <c r="G38" s="319" t="str">
        <f>IF(SUM('DFP-CASH'!$C50:H50)&gt;SUM('DFP-Com'!$C50:H50),"error","ok")</f>
        <v>ok</v>
      </c>
      <c r="H38" s="319" t="str">
        <f>IF(SUM('DFP-CASH'!$C50:I50)&gt;SUM('DFP-Com'!$C50:I50),"error","ok")</f>
        <v>ok</v>
      </c>
      <c r="I38" s="319" t="str">
        <f>IF(SUM('DFP-CASH'!$C50:J50)&gt;SUM('DFP-Com'!$C50:J50),"error","ok")</f>
        <v>ok</v>
      </c>
      <c r="J38" s="319" t="str">
        <f>IF(SUM('DFP-CASH'!$C50:K50)&gt;SUM('DFP-Com'!$C50:K50),"error","ok")</f>
        <v>ok</v>
      </c>
      <c r="K38" s="319" t="str">
        <f>IF(SUM('DFP-CASH'!$C50:L50)&gt;SUM('DFP-Com'!$C50:L50),"error","ok")</f>
        <v>ok</v>
      </c>
      <c r="L38" s="319" t="str">
        <f>IF(SUM('DFP-CASH'!$C50:M50)&gt;SUM('DFP-Com'!$C50:M50),"error","ok")</f>
        <v>ok</v>
      </c>
      <c r="M38" s="319" t="str">
        <f>IF(SUM('DFP-CASH'!$C50:N50)&gt;SUM('DFP-Com'!$C50:N50),"error","ok")</f>
        <v>ok</v>
      </c>
      <c r="N38" s="319" t="str">
        <f>IF(SUM('DFP-CASH'!$C50:O50)&gt;SUM('DFP-Com'!$C50:O50),"error","ok")</f>
        <v>ok</v>
      </c>
      <c r="O38" s="319" t="str">
        <f>IF(SUM('DFP-CASH'!$C50:P50)&gt;SUM('DFP-Com'!$C50:P50),"error","ok")</f>
        <v>ok</v>
      </c>
      <c r="P38" s="319" t="str">
        <f>IF(SUM('DFP-CASH'!$C50:Q50)&gt;SUM('DFP-Com'!$C50:Q50),"error","ok")</f>
        <v>ok</v>
      </c>
      <c r="Q38" s="319" t="str">
        <f>IF(SUM('DFP-CASH'!$C50:R50)&gt;SUM('DFP-Com'!$C50:R50),"error","ok")</f>
        <v>ok</v>
      </c>
      <c r="R38" s="319" t="str">
        <f>IF(SUM('DFP-CASH'!$C50:S50)&gt;SUM('DFP-Com'!$C50:S50),"error","ok")</f>
        <v>ok</v>
      </c>
      <c r="S38" s="319" t="str">
        <f>IF(SUM('DFP-CASH'!$C50:T50)&gt;SUM('DFP-Com'!$C50:T50),"error","ok")</f>
        <v>ok</v>
      </c>
    </row>
    <row r="39" spans="1:19" ht="15">
      <c r="A39" s="222" t="s">
        <v>163</v>
      </c>
      <c r="B39" s="263" t="str">
        <f>IF('DFP-Com'!V51-'DFP-CASH'!V51=0,"ok","error")</f>
        <v>ok</v>
      </c>
      <c r="C39" s="319" t="str">
        <f>IF(SUM('DFP-CASH'!$C51:D51)&gt;SUM('DFP-Com'!$C51:D51),"error","ok")</f>
        <v>ok</v>
      </c>
      <c r="D39" s="319" t="str">
        <f>IF(SUM('DFP-CASH'!$C51:E51)&gt;SUM('DFP-Com'!$C51:E51),"error","ok")</f>
        <v>ok</v>
      </c>
      <c r="E39" s="319" t="str">
        <f>IF(SUM('DFP-CASH'!$C51:F51)&gt;SUM('DFP-Com'!$C51:F51),"error","ok")</f>
        <v>ok</v>
      </c>
      <c r="F39" s="319" t="str">
        <f>IF(SUM('DFP-CASH'!$C51:G51)&gt;SUM('DFP-Com'!$C51:G51),"error","ok")</f>
        <v>ok</v>
      </c>
      <c r="G39" s="319" t="str">
        <f>IF(SUM('DFP-CASH'!$C51:H51)&gt;SUM('DFP-Com'!$C51:H51),"error","ok")</f>
        <v>ok</v>
      </c>
      <c r="H39" s="319" t="str">
        <f>IF(SUM('DFP-CASH'!$C51:I51)&gt;SUM('DFP-Com'!$C51:I51),"error","ok")</f>
        <v>ok</v>
      </c>
      <c r="I39" s="319" t="str">
        <f>IF(SUM('DFP-CASH'!$C51:J51)&gt;SUM('DFP-Com'!$C51:J51),"error","ok")</f>
        <v>ok</v>
      </c>
      <c r="J39" s="319" t="str">
        <f>IF(SUM('DFP-CASH'!$C51:K51)&gt;SUM('DFP-Com'!$C51:K51),"error","ok")</f>
        <v>ok</v>
      </c>
      <c r="K39" s="319" t="str">
        <f>IF(SUM('DFP-CASH'!$C51:L51)&gt;SUM('DFP-Com'!$C51:L51),"error","ok")</f>
        <v>ok</v>
      </c>
      <c r="L39" s="319" t="str">
        <f>IF(SUM('DFP-CASH'!$C51:M51)&gt;SUM('DFP-Com'!$C51:M51),"error","ok")</f>
        <v>ok</v>
      </c>
      <c r="M39" s="319" t="str">
        <f>IF(SUM('DFP-CASH'!$C51:N51)&gt;SUM('DFP-Com'!$C51:N51),"error","ok")</f>
        <v>ok</v>
      </c>
      <c r="N39" s="319" t="str">
        <f>IF(SUM('DFP-CASH'!$C51:O51)&gt;SUM('DFP-Com'!$C51:O51),"error","ok")</f>
        <v>ok</v>
      </c>
      <c r="O39" s="319" t="str">
        <f>IF(SUM('DFP-CASH'!$C51:P51)&gt;SUM('DFP-Com'!$C51:P51),"error","ok")</f>
        <v>ok</v>
      </c>
      <c r="P39" s="319" t="str">
        <f>IF(SUM('DFP-CASH'!$C51:Q51)&gt;SUM('DFP-Com'!$C51:Q51),"error","ok")</f>
        <v>ok</v>
      </c>
      <c r="Q39" s="319" t="str">
        <f>IF(SUM('DFP-CASH'!$C51:R51)&gt;SUM('DFP-Com'!$C51:R51),"error","ok")</f>
        <v>ok</v>
      </c>
      <c r="R39" s="319" t="str">
        <f>IF(SUM('DFP-CASH'!$C51:S51)&gt;SUM('DFP-Com'!$C51:S51),"error","ok")</f>
        <v>ok</v>
      </c>
      <c r="S39" s="319" t="str">
        <f>IF(SUM('DFP-CASH'!$C51:T51)&gt;SUM('DFP-Com'!$C51:T51),"error","ok")</f>
        <v>ok</v>
      </c>
    </row>
    <row r="40" spans="1:19" ht="15">
      <c r="A40" s="69" t="s">
        <v>111</v>
      </c>
      <c r="B40" s="263" t="str">
        <f>IF('DFP-Com'!V52-'DFP-CASH'!V52=0,"ok","error")</f>
        <v>ok</v>
      </c>
      <c r="C40" s="319" t="str">
        <f>IF(SUM('DFP-CASH'!$C52:D52)&gt;SUM('DFP-Com'!$C52:D52),"error","ok")</f>
        <v>ok</v>
      </c>
      <c r="D40" s="319" t="str">
        <f>IF(SUM('DFP-CASH'!$C52:E52)&gt;SUM('DFP-Com'!$C52:E52),"error","ok")</f>
        <v>ok</v>
      </c>
      <c r="E40" s="319" t="str">
        <f>IF(SUM('DFP-CASH'!$C52:F52)&gt;SUM('DFP-Com'!$C52:F52),"error","ok")</f>
        <v>ok</v>
      </c>
      <c r="F40" s="319" t="str">
        <f>IF(SUM('DFP-CASH'!$C52:G52)&gt;SUM('DFP-Com'!$C52:G52),"error","ok")</f>
        <v>ok</v>
      </c>
      <c r="G40" s="319" t="str">
        <f>IF(SUM('DFP-CASH'!$C52:H52)&gt;SUM('DFP-Com'!$C52:H52),"error","ok")</f>
        <v>ok</v>
      </c>
      <c r="H40" s="319" t="str">
        <f>IF(SUM('DFP-CASH'!$C52:I52)&gt;SUM('DFP-Com'!$C52:I52),"error","ok")</f>
        <v>ok</v>
      </c>
      <c r="I40" s="319" t="str">
        <f>IF(SUM('DFP-CASH'!$C52:J52)&gt;SUM('DFP-Com'!$C52:J52),"error","ok")</f>
        <v>ok</v>
      </c>
      <c r="J40" s="319" t="str">
        <f>IF(SUM('DFP-CASH'!$C52:K52)&gt;SUM('DFP-Com'!$C52:K52),"error","ok")</f>
        <v>ok</v>
      </c>
      <c r="K40" s="319" t="str">
        <f>IF(SUM('DFP-CASH'!$C52:L52)&gt;SUM('DFP-Com'!$C52:L52),"error","ok")</f>
        <v>ok</v>
      </c>
      <c r="L40" s="319" t="str">
        <f>IF(SUM('DFP-CASH'!$C52:M52)&gt;SUM('DFP-Com'!$C52:M52),"error","ok")</f>
        <v>ok</v>
      </c>
      <c r="M40" s="319" t="str">
        <f>IF(SUM('DFP-CASH'!$C52:N52)&gt;SUM('DFP-Com'!$C52:N52),"error","ok")</f>
        <v>ok</v>
      </c>
      <c r="N40" s="319" t="str">
        <f>IF(SUM('DFP-CASH'!$C52:O52)&gt;SUM('DFP-Com'!$C52:O52),"error","ok")</f>
        <v>ok</v>
      </c>
      <c r="O40" s="319" t="str">
        <f>IF(SUM('DFP-CASH'!$C52:P52)&gt;SUM('DFP-Com'!$C52:P52),"error","ok")</f>
        <v>ok</v>
      </c>
      <c r="P40" s="319" t="str">
        <f>IF(SUM('DFP-CASH'!$C52:Q52)&gt;SUM('DFP-Com'!$C52:Q52),"error","ok")</f>
        <v>ok</v>
      </c>
      <c r="Q40" s="319" t="str">
        <f>IF(SUM('DFP-CASH'!$C52:R52)&gt;SUM('DFP-Com'!$C52:R52),"error","ok")</f>
        <v>ok</v>
      </c>
      <c r="R40" s="319" t="str">
        <f>IF(SUM('DFP-CASH'!$C52:S52)&gt;SUM('DFP-Com'!$C52:S52),"error","ok")</f>
        <v>ok</v>
      </c>
      <c r="S40" s="319" t="str">
        <f>IF(SUM('DFP-CASH'!$C52:T52)&gt;SUM('DFP-Com'!$C52:T52),"error","ok")</f>
        <v>ok</v>
      </c>
    </row>
    <row r="41" spans="1:19" ht="15">
      <c r="A41" s="56"/>
      <c r="B41" s="263" t="str">
        <f>IF('DFP-Com'!V53-'DFP-CASH'!V53=0,"ok","error")</f>
        <v>ok</v>
      </c>
      <c r="C41" s="319" t="str">
        <f>IF(SUM('DFP-CASH'!$C53:D53)&gt;SUM('DFP-Com'!$C53:D53),"error","ok")</f>
        <v>ok</v>
      </c>
      <c r="D41" s="319" t="str">
        <f>IF(SUM('DFP-CASH'!$C53:E53)&gt;SUM('DFP-Com'!$C53:E53),"error","ok")</f>
        <v>ok</v>
      </c>
      <c r="E41" s="319" t="str">
        <f>IF(SUM('DFP-CASH'!$C53:F53)&gt;SUM('DFP-Com'!$C53:F53),"error","ok")</f>
        <v>ok</v>
      </c>
      <c r="F41" s="319" t="str">
        <f>IF(SUM('DFP-CASH'!$C53:G53)&gt;SUM('DFP-Com'!$C53:G53),"error","ok")</f>
        <v>ok</v>
      </c>
      <c r="G41" s="319" t="str">
        <f>IF(SUM('DFP-CASH'!$C53:H53)&gt;SUM('DFP-Com'!$C53:H53),"error","ok")</f>
        <v>ok</v>
      </c>
      <c r="H41" s="319" t="str">
        <f>IF(SUM('DFP-CASH'!$C53:I53)&gt;SUM('DFP-Com'!$C53:I53),"error","ok")</f>
        <v>ok</v>
      </c>
      <c r="I41" s="319" t="str">
        <f>IF(SUM('DFP-CASH'!$C53:J53)&gt;SUM('DFP-Com'!$C53:J53),"error","ok")</f>
        <v>ok</v>
      </c>
      <c r="J41" s="319" t="str">
        <f>IF(SUM('DFP-CASH'!$C53:K53)&gt;SUM('DFP-Com'!$C53:K53),"error","ok")</f>
        <v>ok</v>
      </c>
      <c r="K41" s="319" t="str">
        <f>IF(SUM('DFP-CASH'!$C53:L53)&gt;SUM('DFP-Com'!$C53:L53),"error","ok")</f>
        <v>ok</v>
      </c>
      <c r="L41" s="319" t="str">
        <f>IF(SUM('DFP-CASH'!$C53:M53)&gt;SUM('DFP-Com'!$C53:M53),"error","ok")</f>
        <v>ok</v>
      </c>
      <c r="M41" s="319" t="str">
        <f>IF(SUM('DFP-CASH'!$C53:N53)&gt;SUM('DFP-Com'!$C53:N53),"error","ok")</f>
        <v>ok</v>
      </c>
      <c r="N41" s="319" t="str">
        <f>IF(SUM('DFP-CASH'!$C53:O53)&gt;SUM('DFP-Com'!$C53:O53),"error","ok")</f>
        <v>ok</v>
      </c>
      <c r="O41" s="319" t="str">
        <f>IF(SUM('DFP-CASH'!$C53:P53)&gt;SUM('DFP-Com'!$C53:P53),"error","ok")</f>
        <v>ok</v>
      </c>
      <c r="P41" s="319" t="str">
        <f>IF(SUM('DFP-CASH'!$C53:Q53)&gt;SUM('DFP-Com'!$C53:Q53),"error","ok")</f>
        <v>ok</v>
      </c>
      <c r="Q41" s="319" t="str">
        <f>IF(SUM('DFP-CASH'!$C53:R53)&gt;SUM('DFP-Com'!$C53:R53),"error","ok")</f>
        <v>ok</v>
      </c>
      <c r="R41" s="319" t="str">
        <f>IF(SUM('DFP-CASH'!$C53:S53)&gt;SUM('DFP-Com'!$C53:S53),"error","ok")</f>
        <v>ok</v>
      </c>
      <c r="S41" s="319" t="str">
        <f>IF(SUM('DFP-CASH'!$C53:T53)&gt;SUM('DFP-Com'!$C53:T53),"error","ok")</f>
        <v>ok</v>
      </c>
    </row>
    <row r="42" ht="16.5">
      <c r="A42" s="235" t="s">
        <v>156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Wingle, John F (DPE/POL-CPI)</dc:creator>
  <cp:keywords/>
  <dc:description/>
  <cp:lastModifiedBy>Josué Ricart</cp:lastModifiedBy>
  <cp:lastPrinted>2016-10-05T23:59:36Z</cp:lastPrinted>
  <dcterms:created xsi:type="dcterms:W3CDTF">2016-05-12T16:21:20Z</dcterms:created>
  <dcterms:modified xsi:type="dcterms:W3CDTF">2021-12-21T03:36:56Z</dcterms:modified>
  <cp:category/>
  <cp:version/>
  <cp:contentType/>
  <cp:contentStatus/>
</cp:coreProperties>
</file>