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ué Ricart\Desktop\Información Página Web\10. Requerimientos de Desembolso e informes requeridos por MCC relacionados\1er Desembolso Jul-sept 2016\"/>
    </mc:Choice>
  </mc:AlternateContent>
  <bookViews>
    <workbookView xWindow="0" yWindow="0" windowWidth="20490" windowHeight="7755" activeTab="4"/>
  </bookViews>
  <sheets>
    <sheet name="DFP-Com" sheetId="1" r:id="rId1"/>
    <sheet name="DFP-CASH" sheetId="2" r:id="rId2"/>
    <sheet name="QFR - A" sheetId="3" r:id="rId3"/>
    <sheet name="QFR - B" sheetId="4" r:id="rId4"/>
    <sheet name="THP DR" sheetId="5" r:id="rId5"/>
    <sheet name="Contract level" sheetId="6" state="hidden" r:id="rId6"/>
  </sheets>
  <definedNames>
    <definedName name="ScheduleA">#REF!</definedName>
    <definedName name="ScheduleB">#REF!</definedName>
    <definedName name="ScheduleF">#REF!</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Q8" i="6" l="1"/>
  <c r="AQ9" i="6"/>
  <c r="AQ16" i="6"/>
  <c r="AQ17" i="6"/>
  <c r="BF17" i="6" s="1"/>
  <c r="AQ10" i="6"/>
  <c r="AQ11" i="6"/>
  <c r="AQ12" i="6"/>
  <c r="AQ13" i="6"/>
  <c r="AQ4" i="6"/>
  <c r="AQ5" i="6"/>
  <c r="AQ6" i="6"/>
  <c r="AQ7" i="6"/>
  <c r="AQ14" i="6"/>
  <c r="AQ15" i="6"/>
  <c r="AQ18" i="6"/>
  <c r="AQ19" i="6"/>
  <c r="AQ20" i="6"/>
  <c r="AQ21" i="6"/>
  <c r="I31" i="1" s="1"/>
  <c r="I30" i="1" s="1"/>
  <c r="AQ22" i="6"/>
  <c r="AQ23" i="6"/>
  <c r="AQ24" i="6"/>
  <c r="AQ25" i="6"/>
  <c r="AQ26" i="6"/>
  <c r="AQ27" i="6"/>
  <c r="AQ28" i="6"/>
  <c r="AQ29" i="6"/>
  <c r="AQ30" i="6"/>
  <c r="AQ31" i="6"/>
  <c r="AA34" i="6"/>
  <c r="AB34" i="6"/>
  <c r="AC34" i="6"/>
  <c r="AD34" i="6"/>
  <c r="AA35" i="6"/>
  <c r="AB35" i="6"/>
  <c r="AQ35" i="6" s="1"/>
  <c r="AC35" i="6"/>
  <c r="AD35" i="6"/>
  <c r="AQ36" i="6"/>
  <c r="AA37" i="6"/>
  <c r="AB37" i="6"/>
  <c r="AC37" i="6"/>
  <c r="AQ37" i="6" s="1"/>
  <c r="AD37" i="6"/>
  <c r="AQ38" i="6"/>
  <c r="AA39" i="6"/>
  <c r="AB39" i="6"/>
  <c r="AC39" i="6"/>
  <c r="AD39" i="6"/>
  <c r="AA40" i="6"/>
  <c r="AB40" i="6"/>
  <c r="AC40" i="6"/>
  <c r="AD40" i="6"/>
  <c r="AQ40" i="6"/>
  <c r="AA41" i="6"/>
  <c r="AB41" i="6"/>
  <c r="AC41" i="6"/>
  <c r="AD41" i="6"/>
  <c r="AA44" i="6"/>
  <c r="AQ44" i="6"/>
  <c r="AA45" i="6"/>
  <c r="AQ45" i="6" s="1"/>
  <c r="I35" i="1"/>
  <c r="AR8" i="6"/>
  <c r="AR9" i="6"/>
  <c r="AR16" i="6"/>
  <c r="AR17" i="6"/>
  <c r="J33" i="1"/>
  <c r="AR10" i="6"/>
  <c r="AR11" i="6"/>
  <c r="AR12" i="6"/>
  <c r="AR13" i="6"/>
  <c r="AR4" i="6"/>
  <c r="AR5" i="6"/>
  <c r="AR6" i="6"/>
  <c r="AR7" i="6"/>
  <c r="AR14" i="6"/>
  <c r="AR15" i="6"/>
  <c r="AR18" i="6"/>
  <c r="AR19" i="6"/>
  <c r="AR20" i="6"/>
  <c r="AR21" i="6"/>
  <c r="AR22" i="6"/>
  <c r="AR23" i="6"/>
  <c r="AR24" i="6"/>
  <c r="AR25" i="6"/>
  <c r="AR26" i="6"/>
  <c r="AR27" i="6"/>
  <c r="AR28" i="6"/>
  <c r="AR29" i="6"/>
  <c r="AR30" i="6"/>
  <c r="AR31" i="6"/>
  <c r="AR34" i="6"/>
  <c r="AR35" i="6"/>
  <c r="AR36" i="6"/>
  <c r="AR37" i="6"/>
  <c r="AR38" i="6"/>
  <c r="AR39" i="6"/>
  <c r="AR40" i="6"/>
  <c r="AR41" i="6"/>
  <c r="AB44" i="6"/>
  <c r="AR44" i="6" s="1"/>
  <c r="AB45" i="6"/>
  <c r="J35" i="1"/>
  <c r="J31" i="1"/>
  <c r="J30" i="1" s="1"/>
  <c r="AS8" i="6"/>
  <c r="AS9" i="6"/>
  <c r="K33" i="1" s="1"/>
  <c r="K32" i="1" s="1"/>
  <c r="AS16" i="6"/>
  <c r="AS17" i="6"/>
  <c r="AS10" i="6"/>
  <c r="K34" i="1" s="1"/>
  <c r="AS11" i="6"/>
  <c r="AS12" i="6"/>
  <c r="AS13" i="6"/>
  <c r="AS4" i="6"/>
  <c r="AS5" i="6"/>
  <c r="AS6" i="6"/>
  <c r="AS7" i="6"/>
  <c r="AS14" i="6"/>
  <c r="AS15" i="6"/>
  <c r="AS18" i="6"/>
  <c r="AS19" i="6"/>
  <c r="AS20" i="6"/>
  <c r="AS21" i="6"/>
  <c r="AS22" i="6"/>
  <c r="AS23" i="6"/>
  <c r="AS24" i="6"/>
  <c r="AS25" i="6"/>
  <c r="AS26" i="6"/>
  <c r="AS27" i="6"/>
  <c r="AS28" i="6"/>
  <c r="AS29" i="6"/>
  <c r="AS30" i="6"/>
  <c r="AS31" i="6"/>
  <c r="AS34" i="6"/>
  <c r="AS35" i="6"/>
  <c r="AS36" i="6"/>
  <c r="AS37" i="6"/>
  <c r="AS38" i="6"/>
  <c r="AS39" i="6"/>
  <c r="AS40" i="6"/>
  <c r="AS41" i="6"/>
  <c r="AC44" i="6"/>
  <c r="AS44" i="6" s="1"/>
  <c r="AC45" i="6"/>
  <c r="AS45" i="6"/>
  <c r="K49" i="1" s="1"/>
  <c r="K35" i="1"/>
  <c r="K31" i="1"/>
  <c r="K30" i="1"/>
  <c r="AT8" i="6"/>
  <c r="AT9" i="6"/>
  <c r="AT16" i="6"/>
  <c r="AT17" i="6"/>
  <c r="AT10" i="6"/>
  <c r="AT11" i="6"/>
  <c r="AT12" i="6"/>
  <c r="AT13" i="6"/>
  <c r="AT4" i="6"/>
  <c r="AT5" i="6"/>
  <c r="AT6" i="6"/>
  <c r="AT7" i="6"/>
  <c r="AT14" i="6"/>
  <c r="AT15" i="6"/>
  <c r="AT18" i="6"/>
  <c r="AT19" i="6"/>
  <c r="AT20" i="6"/>
  <c r="AT21" i="6"/>
  <c r="AT22" i="6"/>
  <c r="AT23" i="6"/>
  <c r="AT24" i="6"/>
  <c r="AT25" i="6"/>
  <c r="AT26" i="6"/>
  <c r="AT27" i="6"/>
  <c r="AT28" i="6"/>
  <c r="AT29" i="6"/>
  <c r="AT30" i="6"/>
  <c r="AT31" i="6"/>
  <c r="AT34" i="6"/>
  <c r="AT35" i="6"/>
  <c r="AD36" i="6"/>
  <c r="AE36" i="6"/>
  <c r="AF36" i="6"/>
  <c r="AG36" i="6"/>
  <c r="AT37" i="6"/>
  <c r="AD38" i="6"/>
  <c r="AE38" i="6"/>
  <c r="AF38" i="6"/>
  <c r="AG38" i="6"/>
  <c r="AT38" i="6"/>
  <c r="AT39" i="6"/>
  <c r="AT40" i="6"/>
  <c r="AT41" i="6"/>
  <c r="AD44" i="6"/>
  <c r="AD45" i="6"/>
  <c r="AT45" i="6" s="1"/>
  <c r="L34" i="1"/>
  <c r="L35" i="1"/>
  <c r="AU8" i="6"/>
  <c r="AU9" i="6"/>
  <c r="AU16" i="6"/>
  <c r="AU17" i="6"/>
  <c r="AU10" i="6"/>
  <c r="AU11" i="6"/>
  <c r="M34" i="1" s="1"/>
  <c r="AU12" i="6"/>
  <c r="AU13" i="6"/>
  <c r="AU4" i="6"/>
  <c r="AU5" i="6"/>
  <c r="AU6" i="6"/>
  <c r="AU7" i="6"/>
  <c r="AU14" i="6"/>
  <c r="AU15" i="6"/>
  <c r="BF15" i="6" s="1"/>
  <c r="AU18" i="6"/>
  <c r="AU19" i="6"/>
  <c r="AU20" i="6"/>
  <c r="AU21" i="6"/>
  <c r="M31" i="1" s="1"/>
  <c r="M30" i="1" s="1"/>
  <c r="AU22" i="6"/>
  <c r="AU23" i="6"/>
  <c r="AU24" i="6"/>
  <c r="AU25" i="6"/>
  <c r="BF25" i="6" s="1"/>
  <c r="AU26" i="6"/>
  <c r="AU27" i="6"/>
  <c r="AU28" i="6"/>
  <c r="AU29" i="6"/>
  <c r="M42" i="1" s="1"/>
  <c r="W42" i="1" s="1"/>
  <c r="AU30" i="6"/>
  <c r="AU31" i="6"/>
  <c r="AE34" i="6"/>
  <c r="AF34" i="6"/>
  <c r="AG34" i="6"/>
  <c r="AH34" i="6"/>
  <c r="AE35" i="6"/>
  <c r="AF35" i="6"/>
  <c r="AG35" i="6"/>
  <c r="AH35" i="6"/>
  <c r="AU36" i="6"/>
  <c r="AE37" i="6"/>
  <c r="AF37" i="6"/>
  <c r="AG37" i="6"/>
  <c r="AH37" i="6"/>
  <c r="AU38" i="6"/>
  <c r="AE39" i="6"/>
  <c r="AF39" i="6"/>
  <c r="AU39" i="6" s="1"/>
  <c r="AG39" i="6"/>
  <c r="AH39" i="6"/>
  <c r="AE40" i="6"/>
  <c r="AF40" i="6"/>
  <c r="AG40" i="6"/>
  <c r="AH40" i="6"/>
  <c r="AU40" i="6"/>
  <c r="AE41" i="6"/>
  <c r="AF41" i="6"/>
  <c r="AG41" i="6"/>
  <c r="AH41" i="6"/>
  <c r="AE44" i="6"/>
  <c r="AU44" i="6"/>
  <c r="AE45" i="6"/>
  <c r="AU45" i="6" s="1"/>
  <c r="M35" i="1"/>
  <c r="AV8" i="6"/>
  <c r="AV9" i="6"/>
  <c r="AV16" i="6"/>
  <c r="AV17" i="6"/>
  <c r="N33" i="1"/>
  <c r="AV10" i="6"/>
  <c r="AV11" i="6"/>
  <c r="AV12" i="6"/>
  <c r="AV13" i="6"/>
  <c r="AV4" i="6"/>
  <c r="AV5" i="6"/>
  <c r="AV6" i="6"/>
  <c r="AV7" i="6"/>
  <c r="AV14" i="6"/>
  <c r="AV15" i="6"/>
  <c r="AV18" i="6"/>
  <c r="AV19" i="6"/>
  <c r="AV20" i="6"/>
  <c r="AV21" i="6"/>
  <c r="AV22" i="6"/>
  <c r="AV23" i="6"/>
  <c r="AV24" i="6"/>
  <c r="AV25" i="6"/>
  <c r="AV26" i="6"/>
  <c r="AV27" i="6"/>
  <c r="AV28" i="6"/>
  <c r="AV29" i="6"/>
  <c r="AV30" i="6"/>
  <c r="AV31" i="6"/>
  <c r="AV34" i="6"/>
  <c r="AV35" i="6"/>
  <c r="AV36" i="6"/>
  <c r="AV37" i="6"/>
  <c r="AV38" i="6"/>
  <c r="AV39" i="6"/>
  <c r="AV40" i="6"/>
  <c r="AV41" i="6"/>
  <c r="AF44" i="6"/>
  <c r="AV44" i="6" s="1"/>
  <c r="AF45" i="6"/>
  <c r="N35" i="1"/>
  <c r="N31" i="1"/>
  <c r="N30" i="1" s="1"/>
  <c r="AW8" i="6"/>
  <c r="AW9" i="6"/>
  <c r="O33" i="1" s="1"/>
  <c r="AW16" i="6"/>
  <c r="AW17" i="6"/>
  <c r="AW10" i="6"/>
  <c r="O34" i="1" s="1"/>
  <c r="AW11" i="6"/>
  <c r="AW12" i="6"/>
  <c r="AW13" i="6"/>
  <c r="AW4" i="6"/>
  <c r="AW5" i="6"/>
  <c r="AW6" i="6"/>
  <c r="AW7" i="6"/>
  <c r="AW14" i="6"/>
  <c r="AW15" i="6"/>
  <c r="AW18" i="6"/>
  <c r="AW19" i="6"/>
  <c r="AW20" i="6"/>
  <c r="AW21" i="6"/>
  <c r="AW22" i="6"/>
  <c r="AW23" i="6"/>
  <c r="AW24" i="6"/>
  <c r="AW25" i="6"/>
  <c r="AW26" i="6"/>
  <c r="AW27" i="6"/>
  <c r="AW28" i="6"/>
  <c r="AW29" i="6"/>
  <c r="AW30" i="6"/>
  <c r="AW31" i="6"/>
  <c r="AW34" i="6"/>
  <c r="AW35" i="6"/>
  <c r="AW36" i="6"/>
  <c r="AW37" i="6"/>
  <c r="AW38" i="6"/>
  <c r="AW39" i="6"/>
  <c r="AW40" i="6"/>
  <c r="AW41" i="6"/>
  <c r="AG44" i="6"/>
  <c r="AW44" i="6" s="1"/>
  <c r="AG45" i="6"/>
  <c r="AW45" i="6"/>
  <c r="O49" i="1" s="1"/>
  <c r="O35" i="1"/>
  <c r="O31" i="1"/>
  <c r="O30" i="1"/>
  <c r="AX8" i="6"/>
  <c r="AX9" i="6"/>
  <c r="AX16" i="6"/>
  <c r="AX17" i="6"/>
  <c r="AX10" i="6"/>
  <c r="AX11" i="6"/>
  <c r="AX12" i="6"/>
  <c r="AX13" i="6"/>
  <c r="AX4" i="6"/>
  <c r="AX5" i="6"/>
  <c r="AX6" i="6"/>
  <c r="AX7" i="6"/>
  <c r="AX14" i="6"/>
  <c r="AX15" i="6"/>
  <c r="AX18" i="6"/>
  <c r="AX19" i="6"/>
  <c r="AX20" i="6"/>
  <c r="AX21" i="6"/>
  <c r="AX22" i="6"/>
  <c r="AX23" i="6"/>
  <c r="AX24" i="6"/>
  <c r="AX25" i="6"/>
  <c r="AX26" i="6"/>
  <c r="AX27" i="6"/>
  <c r="AX28" i="6"/>
  <c r="AX29" i="6"/>
  <c r="AX30" i="6"/>
  <c r="AX31" i="6"/>
  <c r="AX34" i="6"/>
  <c r="AX35" i="6"/>
  <c r="AH36" i="6"/>
  <c r="AI36" i="6"/>
  <c r="AJ36" i="6"/>
  <c r="AK36" i="6"/>
  <c r="AX37" i="6"/>
  <c r="AH38" i="6"/>
  <c r="AI38" i="6"/>
  <c r="AJ38" i="6"/>
  <c r="AK38" i="6"/>
  <c r="AX38" i="6"/>
  <c r="AX39" i="6"/>
  <c r="AX40" i="6"/>
  <c r="AX41" i="6"/>
  <c r="AH44" i="6"/>
  <c r="AX44" i="6" s="1"/>
  <c r="P51" i="1" s="1"/>
  <c r="AH45" i="6"/>
  <c r="AX45" i="6" s="1"/>
  <c r="P34" i="1"/>
  <c r="P35" i="1"/>
  <c r="W35" i="1" s="1"/>
  <c r="AY8" i="6"/>
  <c r="AY9" i="6"/>
  <c r="AY16" i="6"/>
  <c r="AY17" i="6"/>
  <c r="AY10" i="6"/>
  <c r="AY11" i="6"/>
  <c r="AY12" i="6"/>
  <c r="AY13" i="6"/>
  <c r="AY4" i="6"/>
  <c r="AY5" i="6"/>
  <c r="AY6" i="6"/>
  <c r="AY7" i="6"/>
  <c r="AY14" i="6"/>
  <c r="AY15" i="6"/>
  <c r="AY18" i="6"/>
  <c r="AY19" i="6"/>
  <c r="AY20" i="6"/>
  <c r="AY21" i="6"/>
  <c r="Q31" i="1" s="1"/>
  <c r="Q30" i="1" s="1"/>
  <c r="AY22" i="6"/>
  <c r="AY23" i="6"/>
  <c r="AY24" i="6"/>
  <c r="AY25" i="6"/>
  <c r="AY26" i="6"/>
  <c r="AY27" i="6"/>
  <c r="AY28" i="6"/>
  <c r="AY29" i="6"/>
  <c r="AY30" i="6"/>
  <c r="AY31" i="6"/>
  <c r="AI34" i="6"/>
  <c r="AJ34" i="6"/>
  <c r="AK34" i="6"/>
  <c r="AL34" i="6"/>
  <c r="AI35" i="6"/>
  <c r="AJ35" i="6"/>
  <c r="AY35" i="6" s="1"/>
  <c r="AK35" i="6"/>
  <c r="AL35" i="6"/>
  <c r="AY36" i="6"/>
  <c r="AI37" i="6"/>
  <c r="AJ37" i="6"/>
  <c r="AK37" i="6"/>
  <c r="AL37" i="6"/>
  <c r="T48" i="2" s="1"/>
  <c r="AY38" i="6"/>
  <c r="AI39" i="6"/>
  <c r="AJ39" i="6"/>
  <c r="AY39" i="6" s="1"/>
  <c r="AK39" i="6"/>
  <c r="AL39" i="6"/>
  <c r="AI40" i="6"/>
  <c r="AJ40" i="6"/>
  <c r="AK40" i="6"/>
  <c r="AL40" i="6"/>
  <c r="AY40" i="6"/>
  <c r="AI41" i="6"/>
  <c r="AJ41" i="6"/>
  <c r="AK41" i="6"/>
  <c r="AL41" i="6"/>
  <c r="AI44" i="6"/>
  <c r="AY44" i="6"/>
  <c r="AI45" i="6"/>
  <c r="AY45" i="6" s="1"/>
  <c r="Q35" i="1"/>
  <c r="AZ8" i="6"/>
  <c r="AZ9" i="6"/>
  <c r="AZ16" i="6"/>
  <c r="AZ17" i="6"/>
  <c r="R33" i="1"/>
  <c r="AZ10" i="6"/>
  <c r="AZ11" i="6"/>
  <c r="AZ12" i="6"/>
  <c r="AZ13" i="6"/>
  <c r="AZ4" i="6"/>
  <c r="AZ5" i="6"/>
  <c r="AZ6" i="6"/>
  <c r="AZ7" i="6"/>
  <c r="AZ14" i="6"/>
  <c r="AZ15" i="6"/>
  <c r="AZ18" i="6"/>
  <c r="AZ19" i="6"/>
  <c r="AZ20" i="6"/>
  <c r="AZ21" i="6"/>
  <c r="AZ22" i="6"/>
  <c r="AZ23" i="6"/>
  <c r="AZ24" i="6"/>
  <c r="AZ25" i="6"/>
  <c r="AZ26" i="6"/>
  <c r="AZ27" i="6"/>
  <c r="AZ28" i="6"/>
  <c r="AZ29" i="6"/>
  <c r="AZ30" i="6"/>
  <c r="AZ31" i="6"/>
  <c r="AZ34" i="6"/>
  <c r="AZ35" i="6"/>
  <c r="AZ36" i="6"/>
  <c r="AZ37" i="6"/>
  <c r="AZ38" i="6"/>
  <c r="AZ39" i="6"/>
  <c r="AZ40" i="6"/>
  <c r="AZ41" i="6"/>
  <c r="AJ44" i="6"/>
  <c r="AZ44" i="6" s="1"/>
  <c r="AJ45" i="6"/>
  <c r="R35" i="1"/>
  <c r="R31" i="1"/>
  <c r="R30" i="1" s="1"/>
  <c r="BA8" i="6"/>
  <c r="BA9" i="6"/>
  <c r="S33" i="1" s="1"/>
  <c r="BA16" i="6"/>
  <c r="BA17" i="6"/>
  <c r="BA10" i="6"/>
  <c r="BA11" i="6"/>
  <c r="BA12" i="6"/>
  <c r="BA13" i="6"/>
  <c r="BA4" i="6"/>
  <c r="S18" i="1" s="1"/>
  <c r="BA5" i="6"/>
  <c r="BA6" i="6"/>
  <c r="BA7" i="6"/>
  <c r="BA14" i="6"/>
  <c r="S34" i="1" s="1"/>
  <c r="BA15" i="6"/>
  <c r="BA18" i="6"/>
  <c r="BA19" i="6"/>
  <c r="BA20" i="6"/>
  <c r="BA21" i="6"/>
  <c r="BA22" i="6"/>
  <c r="BA23" i="6"/>
  <c r="BA24" i="6"/>
  <c r="BA25" i="6"/>
  <c r="BA26" i="6"/>
  <c r="BA27" i="6"/>
  <c r="BA28" i="6"/>
  <c r="BA29" i="6"/>
  <c r="BA30" i="6"/>
  <c r="BA31" i="6"/>
  <c r="BA34" i="6"/>
  <c r="S25" i="1" s="1"/>
  <c r="BA35" i="6"/>
  <c r="BA36" i="6"/>
  <c r="BA37" i="6"/>
  <c r="BA38" i="6"/>
  <c r="BA39" i="6"/>
  <c r="BA40" i="6"/>
  <c r="BA41" i="6"/>
  <c r="AK44" i="6"/>
  <c r="BA44" i="6" s="1"/>
  <c r="AK45" i="6"/>
  <c r="BA45" i="6"/>
  <c r="S35" i="1"/>
  <c r="S31" i="1"/>
  <c r="S30" i="1"/>
  <c r="BB8" i="6"/>
  <c r="BB9" i="6"/>
  <c r="BB16" i="6"/>
  <c r="BB17" i="6"/>
  <c r="BB10" i="6"/>
  <c r="BB11" i="6"/>
  <c r="BB12" i="6"/>
  <c r="BB13" i="6"/>
  <c r="BB4" i="6"/>
  <c r="T18" i="1" s="1"/>
  <c r="BB5" i="6"/>
  <c r="BB6" i="6"/>
  <c r="BB7" i="6"/>
  <c r="BB14" i="6"/>
  <c r="BB15" i="6"/>
  <c r="BB18" i="6"/>
  <c r="BB19" i="6"/>
  <c r="BB20" i="6"/>
  <c r="BB21" i="6"/>
  <c r="BB22" i="6"/>
  <c r="BB23" i="6"/>
  <c r="BB24" i="6"/>
  <c r="BB25" i="6"/>
  <c r="T41" i="1" s="1"/>
  <c r="BB26" i="6"/>
  <c r="BB27" i="6"/>
  <c r="BB28" i="6"/>
  <c r="BB29" i="6"/>
  <c r="BB30" i="6"/>
  <c r="BB31" i="6"/>
  <c r="BB34" i="6"/>
  <c r="BB35" i="6"/>
  <c r="AL36" i="6"/>
  <c r="AM36" i="6"/>
  <c r="AN36" i="6"/>
  <c r="BB36" i="6"/>
  <c r="BB37" i="6"/>
  <c r="AL38" i="6"/>
  <c r="AM38" i="6"/>
  <c r="AN38" i="6"/>
  <c r="BB39" i="6"/>
  <c r="BB40" i="6"/>
  <c r="BB41" i="6"/>
  <c r="T22" i="1" s="1"/>
  <c r="AL44" i="6"/>
  <c r="BB44" i="6" s="1"/>
  <c r="T51" i="1" s="1"/>
  <c r="AL45" i="6"/>
  <c r="BB45" i="6"/>
  <c r="T49" i="1" s="1"/>
  <c r="T35" i="1"/>
  <c r="T31" i="1"/>
  <c r="T30" i="1" s="1"/>
  <c r="BC8" i="6"/>
  <c r="BC9" i="6"/>
  <c r="BC16" i="6"/>
  <c r="BC17" i="6"/>
  <c r="U33" i="1"/>
  <c r="BC10" i="6"/>
  <c r="BC11" i="6"/>
  <c r="BC12" i="6"/>
  <c r="BC13" i="6"/>
  <c r="U34" i="1" s="1"/>
  <c r="BC4" i="6"/>
  <c r="BC5" i="6"/>
  <c r="BC6" i="6"/>
  <c r="BC7" i="6"/>
  <c r="BC14" i="6"/>
  <c r="BC15" i="6"/>
  <c r="BC18" i="6"/>
  <c r="BC19" i="6"/>
  <c r="BC20" i="6"/>
  <c r="BC21" i="6"/>
  <c r="BC22" i="6"/>
  <c r="BC23" i="6"/>
  <c r="U31" i="1" s="1"/>
  <c r="U30" i="1" s="1"/>
  <c r="BC24" i="6"/>
  <c r="BC25" i="6"/>
  <c r="BC26" i="6"/>
  <c r="BC27" i="6"/>
  <c r="BC28" i="6"/>
  <c r="BC29" i="6"/>
  <c r="BC30" i="6"/>
  <c r="BC31" i="6"/>
  <c r="AM34" i="6"/>
  <c r="BC34" i="6" s="1"/>
  <c r="AN34" i="6"/>
  <c r="AM35" i="6"/>
  <c r="AN35" i="6"/>
  <c r="BC36" i="6"/>
  <c r="AM37" i="6"/>
  <c r="AN37" i="6"/>
  <c r="BC38" i="6"/>
  <c r="AM39" i="6"/>
  <c r="AN39" i="6"/>
  <c r="AM40" i="6"/>
  <c r="AN40" i="6"/>
  <c r="BC40" i="6" s="1"/>
  <c r="AM41" i="6"/>
  <c r="AN41" i="6"/>
  <c r="BC41" i="6"/>
  <c r="AM44" i="6"/>
  <c r="BC44" i="6" s="1"/>
  <c r="AM45" i="6"/>
  <c r="BC45" i="6"/>
  <c r="U49" i="1" s="1"/>
  <c r="U35" i="1"/>
  <c r="BD8" i="6"/>
  <c r="BD9" i="6"/>
  <c r="BD16" i="6"/>
  <c r="BD17" i="6"/>
  <c r="BD10" i="6"/>
  <c r="BD11" i="6"/>
  <c r="BD12" i="6"/>
  <c r="BD13" i="6"/>
  <c r="BD4" i="6"/>
  <c r="BD5" i="6"/>
  <c r="V24" i="1" s="1"/>
  <c r="BD6" i="6"/>
  <c r="BD7" i="6"/>
  <c r="BD14" i="6"/>
  <c r="BD15" i="6"/>
  <c r="BD18" i="6"/>
  <c r="BD19" i="6"/>
  <c r="BD20" i="6"/>
  <c r="V31" i="1" s="1"/>
  <c r="V30" i="1" s="1"/>
  <c r="BD21" i="6"/>
  <c r="BD22" i="6"/>
  <c r="BD23" i="6"/>
  <c r="BD24" i="6"/>
  <c r="BD25" i="6"/>
  <c r="BD26" i="6"/>
  <c r="BD27" i="6"/>
  <c r="BD28" i="6"/>
  <c r="BD29" i="6"/>
  <c r="BD30" i="6"/>
  <c r="BD31" i="6"/>
  <c r="BD34" i="6"/>
  <c r="V25" i="1" s="1"/>
  <c r="BD35" i="6"/>
  <c r="BD36" i="6"/>
  <c r="BD37" i="6"/>
  <c r="BD38" i="6"/>
  <c r="BD39" i="6"/>
  <c r="BD40" i="6"/>
  <c r="BD41" i="6"/>
  <c r="AN44" i="6"/>
  <c r="BD44" i="6" s="1"/>
  <c r="AN45" i="6"/>
  <c r="BD45" i="6" s="1"/>
  <c r="V49" i="1" s="1"/>
  <c r="V35" i="1"/>
  <c r="AP8" i="6"/>
  <c r="AP9" i="6"/>
  <c r="AP16" i="6"/>
  <c r="H33" i="1" s="1"/>
  <c r="G33" i="1" s="1"/>
  <c r="G32" i="1" s="1"/>
  <c r="G36" i="1" s="1"/>
  <c r="AP17" i="6"/>
  <c r="AP10" i="6"/>
  <c r="AP11" i="6"/>
  <c r="AP12" i="6"/>
  <c r="AP13" i="6"/>
  <c r="AP4" i="6"/>
  <c r="AP5" i="6"/>
  <c r="AP6" i="6"/>
  <c r="AP7" i="6"/>
  <c r="AP14" i="6"/>
  <c r="AP15" i="6"/>
  <c r="AP18" i="6"/>
  <c r="AP19" i="6"/>
  <c r="AP20" i="6"/>
  <c r="AP21" i="6"/>
  <c r="H31" i="1" s="1"/>
  <c r="H30" i="1" s="1"/>
  <c r="AP22" i="6"/>
  <c r="AP23" i="6"/>
  <c r="AP24" i="6"/>
  <c r="AP25" i="6"/>
  <c r="AP26" i="6"/>
  <c r="AP27" i="6"/>
  <c r="AP28" i="6"/>
  <c r="AP29" i="6"/>
  <c r="AP30" i="6"/>
  <c r="AP31" i="6"/>
  <c r="AP34" i="6"/>
  <c r="AP35" i="6"/>
  <c r="H25" i="1" s="1"/>
  <c r="H36" i="6"/>
  <c r="Z36" i="6" s="1"/>
  <c r="I36" i="6"/>
  <c r="AA36" i="6"/>
  <c r="AB36" i="6"/>
  <c r="AC36" i="6"/>
  <c r="AP37" i="6"/>
  <c r="Z38" i="6"/>
  <c r="AA38" i="6"/>
  <c r="AB38" i="6"/>
  <c r="AC38" i="6"/>
  <c r="AP38" i="6"/>
  <c r="AP39" i="6"/>
  <c r="AP40" i="6"/>
  <c r="AP41" i="6"/>
  <c r="Z44" i="6"/>
  <c r="AP44" i="6" s="1"/>
  <c r="Z45" i="6"/>
  <c r="AP45" i="6"/>
  <c r="H35" i="1"/>
  <c r="G30" i="1"/>
  <c r="H49" i="1"/>
  <c r="H51" i="1"/>
  <c r="H19" i="2"/>
  <c r="H20" i="2"/>
  <c r="H18" i="2"/>
  <c r="H49" i="2"/>
  <c r="H51" i="2"/>
  <c r="H48" i="2"/>
  <c r="A38" i="1"/>
  <c r="A39" i="1"/>
  <c r="A21" i="1"/>
  <c r="F22" i="6"/>
  <c r="Y47" i="6"/>
  <c r="X4" i="6"/>
  <c r="X5" i="6"/>
  <c r="X6" i="6"/>
  <c r="X7" i="6"/>
  <c r="X22" i="6"/>
  <c r="W34" i="6"/>
  <c r="X34" i="6" s="1"/>
  <c r="W35" i="6"/>
  <c r="X35" i="6"/>
  <c r="W41" i="6"/>
  <c r="X41" i="6" s="1"/>
  <c r="X8" i="6"/>
  <c r="X9" i="6"/>
  <c r="X10" i="6"/>
  <c r="X11" i="6"/>
  <c r="X12" i="6"/>
  <c r="X13" i="6"/>
  <c r="X14" i="6"/>
  <c r="X16" i="6"/>
  <c r="X17" i="6"/>
  <c r="X20" i="6"/>
  <c r="X21" i="6"/>
  <c r="X18" i="6"/>
  <c r="X19" i="6"/>
  <c r="W37" i="6"/>
  <c r="X37" i="6" s="1"/>
  <c r="W38" i="6"/>
  <c r="X38" i="6"/>
  <c r="W39" i="6"/>
  <c r="X39" i="6" s="1"/>
  <c r="W40" i="6"/>
  <c r="X40" i="6"/>
  <c r="W44" i="6"/>
  <c r="X44" i="6" s="1"/>
  <c r="W45" i="6"/>
  <c r="X45" i="6"/>
  <c r="X24" i="6"/>
  <c r="X23" i="6"/>
  <c r="D34" i="6"/>
  <c r="D35" i="6"/>
  <c r="D37" i="6"/>
  <c r="D38" i="6"/>
  <c r="D39" i="6"/>
  <c r="D40" i="6"/>
  <c r="D41" i="6"/>
  <c r="D44" i="6"/>
  <c r="D45" i="6"/>
  <c r="W43" i="6"/>
  <c r="W42" i="6"/>
  <c r="Z4" i="6"/>
  <c r="Z5" i="6"/>
  <c r="Z6" i="6"/>
  <c r="Z7" i="6"/>
  <c r="Z8" i="6"/>
  <c r="Z9" i="6"/>
  <c r="Z10" i="6"/>
  <c r="Z11" i="6"/>
  <c r="Z12" i="6"/>
  <c r="Z13" i="6"/>
  <c r="Z14" i="6"/>
  <c r="Z15" i="6"/>
  <c r="Z16" i="6"/>
  <c r="Z17" i="6"/>
  <c r="Z18" i="6"/>
  <c r="Z19" i="6"/>
  <c r="Z20" i="6"/>
  <c r="Z21" i="6"/>
  <c r="Z22" i="6"/>
  <c r="Z23" i="6"/>
  <c r="H31" i="2" s="1"/>
  <c r="Z24" i="6"/>
  <c r="Z25" i="6"/>
  <c r="Z26" i="6"/>
  <c r="Z27" i="6"/>
  <c r="BF27" i="6" s="1"/>
  <c r="Z28" i="6"/>
  <c r="Z29" i="6"/>
  <c r="Z30" i="6"/>
  <c r="Z31" i="6"/>
  <c r="Z34" i="6"/>
  <c r="Z35" i="6"/>
  <c r="Z37" i="6"/>
  <c r="Z39" i="6"/>
  <c r="Z40" i="6"/>
  <c r="Z41" i="6"/>
  <c r="X15" i="6"/>
  <c r="AA19" i="6"/>
  <c r="AB19" i="6"/>
  <c r="AC19" i="6"/>
  <c r="K51" i="2" s="1"/>
  <c r="AD19" i="6"/>
  <c r="AE19" i="6"/>
  <c r="AF19" i="6"/>
  <c r="N51" i="2" s="1"/>
  <c r="AG19" i="6"/>
  <c r="AH19" i="6"/>
  <c r="AI19" i="6"/>
  <c r="Q51" i="2"/>
  <c r="AJ19" i="6"/>
  <c r="R51" i="2" s="1"/>
  <c r="AK19" i="6"/>
  <c r="AL19" i="6"/>
  <c r="T51" i="2"/>
  <c r="T47" i="2" s="1"/>
  <c r="T52" i="2" s="1"/>
  <c r="AM19" i="6"/>
  <c r="AN19" i="6"/>
  <c r="K23" i="6"/>
  <c r="J23" i="6"/>
  <c r="AB23" i="6" s="1"/>
  <c r="J31" i="2" s="1"/>
  <c r="J30" i="2" s="1"/>
  <c r="J36" i="2" s="1"/>
  <c r="I23" i="6"/>
  <c r="AA23" i="6"/>
  <c r="U18" i="1"/>
  <c r="S19" i="1"/>
  <c r="T19" i="1"/>
  <c r="U19" i="1"/>
  <c r="V19" i="1"/>
  <c r="V17" i="1" s="1"/>
  <c r="S20" i="1"/>
  <c r="T20" i="1"/>
  <c r="U20" i="1"/>
  <c r="V20" i="1"/>
  <c r="W20" i="1" s="1"/>
  <c r="S22" i="1"/>
  <c r="S21" i="1" s="1"/>
  <c r="T21" i="1"/>
  <c r="V22" i="1"/>
  <c r="V21" i="1" s="1"/>
  <c r="S24" i="1"/>
  <c r="T24" i="1"/>
  <c r="U24" i="1"/>
  <c r="T25" i="1"/>
  <c r="V25" i="2"/>
  <c r="V23" i="2" s="1"/>
  <c r="V27" i="2" s="1"/>
  <c r="S26" i="1"/>
  <c r="T26" i="1"/>
  <c r="U26" i="1"/>
  <c r="V26" i="1"/>
  <c r="S50" i="1"/>
  <c r="S48" i="1"/>
  <c r="T50" i="1"/>
  <c r="U50" i="1"/>
  <c r="W50" i="1" s="1"/>
  <c r="U43" i="1"/>
  <c r="V50" i="1"/>
  <c r="V43" i="1"/>
  <c r="S49" i="1"/>
  <c r="S47" i="1" s="1"/>
  <c r="S52" i="1" s="1"/>
  <c r="S51" i="1"/>
  <c r="AK4" i="6"/>
  <c r="AK7" i="6"/>
  <c r="AK6" i="6"/>
  <c r="S19" i="2" s="1"/>
  <c r="S20" i="2"/>
  <c r="AK5" i="6"/>
  <c r="S24" i="2"/>
  <c r="S26" i="2"/>
  <c r="AK8" i="6"/>
  <c r="AK9" i="6"/>
  <c r="AK16" i="6"/>
  <c r="AK17" i="6"/>
  <c r="S33" i="2"/>
  <c r="AK10" i="6"/>
  <c r="AK11" i="6"/>
  <c r="AK12" i="6"/>
  <c r="AK13" i="6"/>
  <c r="S34" i="2" s="1"/>
  <c r="AK14" i="6"/>
  <c r="AK15" i="6"/>
  <c r="S18" i="6"/>
  <c r="AK18" i="6" s="1"/>
  <c r="S50" i="2"/>
  <c r="AK20" i="6"/>
  <c r="S31" i="2" s="1"/>
  <c r="AK21" i="6"/>
  <c r="AK22" i="6"/>
  <c r="S22" i="2"/>
  <c r="S21" i="2" s="1"/>
  <c r="AK23" i="6"/>
  <c r="S30" i="2"/>
  <c r="AK24" i="6"/>
  <c r="S40" i="2" s="1"/>
  <c r="AK25" i="6"/>
  <c r="S41" i="2" s="1"/>
  <c r="AK26" i="6"/>
  <c r="AK29" i="6"/>
  <c r="S42" i="2"/>
  <c r="AK27" i="6"/>
  <c r="AK28" i="6"/>
  <c r="AK30" i="6"/>
  <c r="AK31" i="6"/>
  <c r="S48" i="2"/>
  <c r="S35" i="2"/>
  <c r="AL4" i="6"/>
  <c r="T18" i="2" s="1"/>
  <c r="AL7" i="6"/>
  <c r="AM4" i="6"/>
  <c r="AM7" i="6"/>
  <c r="AN4" i="6"/>
  <c r="AN7" i="6"/>
  <c r="AL6" i="6"/>
  <c r="T19" i="2"/>
  <c r="AM6" i="6"/>
  <c r="U19" i="2"/>
  <c r="AN6" i="6"/>
  <c r="V19" i="2"/>
  <c r="T20" i="2"/>
  <c r="U20" i="2"/>
  <c r="V20" i="2"/>
  <c r="AL5" i="6"/>
  <c r="T24" i="2" s="1"/>
  <c r="AM5" i="6"/>
  <c r="U24" i="2"/>
  <c r="AN5" i="6"/>
  <c r="V24" i="2" s="1"/>
  <c r="T26" i="2"/>
  <c r="U26" i="2"/>
  <c r="V26" i="2"/>
  <c r="AM20" i="6"/>
  <c r="AM21" i="6"/>
  <c r="U31" i="2" s="1"/>
  <c r="U30" i="2" s="1"/>
  <c r="AM23" i="6"/>
  <c r="AL8" i="6"/>
  <c r="AL9" i="6"/>
  <c r="T33" i="2" s="1"/>
  <c r="AL16" i="6"/>
  <c r="AL17" i="6"/>
  <c r="AM8" i="6"/>
  <c r="AM9" i="6"/>
  <c r="AM16" i="6"/>
  <c r="AM17" i="6"/>
  <c r="AN8" i="6"/>
  <c r="AN9" i="6"/>
  <c r="V33" i="2" s="1"/>
  <c r="AN16" i="6"/>
  <c r="AN17" i="6"/>
  <c r="AL10" i="6"/>
  <c r="T34" i="2" s="1"/>
  <c r="T32" i="2" s="1"/>
  <c r="T36" i="2" s="1"/>
  <c r="AL11" i="6"/>
  <c r="AL12" i="6"/>
  <c r="AL13" i="6"/>
  <c r="AL14" i="6"/>
  <c r="AL15" i="6"/>
  <c r="AL18" i="6"/>
  <c r="T50" i="2"/>
  <c r="AL20" i="6"/>
  <c r="BF20" i="6" s="1"/>
  <c r="AL21" i="6"/>
  <c r="AL22" i="6"/>
  <c r="AL23" i="6"/>
  <c r="T31" i="2"/>
  <c r="T30" i="2" s="1"/>
  <c r="AL24" i="6"/>
  <c r="AL25" i="6"/>
  <c r="AL26" i="6"/>
  <c r="AL27" i="6"/>
  <c r="AL28" i="6"/>
  <c r="AL29" i="6"/>
  <c r="AL30" i="6"/>
  <c r="AL31" i="6"/>
  <c r="AM10" i="6"/>
  <c r="AM11" i="6"/>
  <c r="AM12" i="6"/>
  <c r="U34" i="2" s="1"/>
  <c r="AM13" i="6"/>
  <c r="AM14" i="6"/>
  <c r="AM15" i="6"/>
  <c r="AM18" i="6"/>
  <c r="U50" i="2" s="1"/>
  <c r="AM22" i="6"/>
  <c r="AM24" i="6"/>
  <c r="AM25" i="6"/>
  <c r="AM26" i="6"/>
  <c r="AM27" i="6"/>
  <c r="AM28" i="6"/>
  <c r="AM29" i="6"/>
  <c r="AM30" i="6"/>
  <c r="U43" i="2"/>
  <c r="AM31" i="6"/>
  <c r="U49" i="2"/>
  <c r="AN10" i="6"/>
  <c r="AN11" i="6"/>
  <c r="AN12" i="6"/>
  <c r="AN13" i="6"/>
  <c r="AN14" i="6"/>
  <c r="AN15" i="6"/>
  <c r="V18" i="6"/>
  <c r="AN18" i="6"/>
  <c r="V50" i="2" s="1"/>
  <c r="AN20" i="6"/>
  <c r="AN21" i="6"/>
  <c r="AN22" i="6"/>
  <c r="AN23" i="6"/>
  <c r="AN24" i="6"/>
  <c r="V40" i="2" s="1"/>
  <c r="AN27" i="6"/>
  <c r="AN25" i="6"/>
  <c r="AN26" i="6"/>
  <c r="V42" i="2" s="1"/>
  <c r="AN28" i="6"/>
  <c r="AN29" i="6"/>
  <c r="AN30" i="6"/>
  <c r="AN31" i="6"/>
  <c r="V49" i="2"/>
  <c r="T35" i="2"/>
  <c r="U35" i="2"/>
  <c r="V35" i="2"/>
  <c r="AI18" i="6"/>
  <c r="Q50" i="2" s="1"/>
  <c r="AH18" i="6"/>
  <c r="P50" i="2"/>
  <c r="O18" i="6"/>
  <c r="AG18" i="6" s="1"/>
  <c r="O50" i="2" s="1"/>
  <c r="AE18" i="6"/>
  <c r="M50" i="2"/>
  <c r="AD18" i="6"/>
  <c r="L50" i="2"/>
  <c r="AC18" i="6"/>
  <c r="K50" i="2"/>
  <c r="AB18" i="6"/>
  <c r="J50" i="2"/>
  <c r="AA18" i="6"/>
  <c r="I50" i="2"/>
  <c r="Q49" i="2"/>
  <c r="P49" i="2"/>
  <c r="O49" i="2"/>
  <c r="M49" i="2"/>
  <c r="L49" i="2"/>
  <c r="K49" i="2"/>
  <c r="I49" i="1"/>
  <c r="R48" i="2"/>
  <c r="AJ4" i="6"/>
  <c r="N48" i="2"/>
  <c r="AF4" i="6"/>
  <c r="AF7" i="6"/>
  <c r="AF22" i="6"/>
  <c r="N22" i="2" s="1"/>
  <c r="N21" i="2" s="1"/>
  <c r="AB4" i="6"/>
  <c r="J18" i="2" s="1"/>
  <c r="H40" i="2"/>
  <c r="R35" i="2"/>
  <c r="Q35" i="2"/>
  <c r="P35" i="2"/>
  <c r="O35" i="2"/>
  <c r="N35" i="2"/>
  <c r="M35" i="2"/>
  <c r="L35" i="2"/>
  <c r="K35" i="2"/>
  <c r="J35" i="2"/>
  <c r="I35" i="2"/>
  <c r="H35" i="2"/>
  <c r="AJ10" i="6"/>
  <c r="R34" i="2" s="1"/>
  <c r="AJ11" i="6"/>
  <c r="AJ12" i="6"/>
  <c r="AJ13" i="6"/>
  <c r="AJ14" i="6"/>
  <c r="BF14" i="6" s="1"/>
  <c r="AJ15" i="6"/>
  <c r="AJ5" i="6"/>
  <c r="R24" i="2"/>
  <c r="AJ6" i="6"/>
  <c r="R19" i="2" s="1"/>
  <c r="R17" i="2" s="1"/>
  <c r="AJ7" i="6"/>
  <c r="AJ8" i="6"/>
  <c r="AJ9" i="6"/>
  <c r="AJ16" i="6"/>
  <c r="AJ17" i="6"/>
  <c r="R18" i="6"/>
  <c r="AJ18" i="6"/>
  <c r="R50" i="2" s="1"/>
  <c r="AJ20" i="6"/>
  <c r="AJ21" i="6"/>
  <c r="AJ23" i="6"/>
  <c r="AJ22" i="6"/>
  <c r="R22" i="2" s="1"/>
  <c r="R21" i="2" s="1"/>
  <c r="AJ24" i="6"/>
  <c r="AJ25" i="6"/>
  <c r="AJ26" i="6"/>
  <c r="AJ27" i="6"/>
  <c r="AJ28" i="6"/>
  <c r="AJ29" i="6"/>
  <c r="AJ30" i="6"/>
  <c r="AJ31" i="6"/>
  <c r="AI10" i="6"/>
  <c r="AI11" i="6"/>
  <c r="Q34" i="2" s="1"/>
  <c r="AI12" i="6"/>
  <c r="AI13" i="6"/>
  <c r="AI4" i="6"/>
  <c r="AI5" i="6"/>
  <c r="Q24" i="2" s="1"/>
  <c r="AI6" i="6"/>
  <c r="AI7" i="6"/>
  <c r="AI8" i="6"/>
  <c r="AI9" i="6"/>
  <c r="AI14" i="6"/>
  <c r="AI15" i="6"/>
  <c r="AI16" i="6"/>
  <c r="AI17" i="6"/>
  <c r="AI20" i="6"/>
  <c r="AI21" i="6"/>
  <c r="Q31" i="2" s="1"/>
  <c r="Q30" i="2" s="1"/>
  <c r="AI22" i="6"/>
  <c r="AI23" i="6"/>
  <c r="AI24" i="6"/>
  <c r="AI25" i="6"/>
  <c r="AI26" i="6"/>
  <c r="AI27" i="6"/>
  <c r="AI28" i="6"/>
  <c r="Q41" i="2"/>
  <c r="AI29" i="6"/>
  <c r="AI30" i="6"/>
  <c r="Q43" i="2"/>
  <c r="AI31" i="6"/>
  <c r="AH10" i="6"/>
  <c r="AH11" i="6"/>
  <c r="AH12" i="6"/>
  <c r="AH13" i="6"/>
  <c r="AH4" i="6"/>
  <c r="AH5" i="6"/>
  <c r="AH6" i="6"/>
  <c r="P19" i="2" s="1"/>
  <c r="AH7" i="6"/>
  <c r="AH8" i="6"/>
  <c r="AH9" i="6"/>
  <c r="AH14" i="6"/>
  <c r="AH15" i="6"/>
  <c r="AH16" i="6"/>
  <c r="AH17" i="6"/>
  <c r="AH20" i="6"/>
  <c r="AH21" i="6"/>
  <c r="AH23" i="6"/>
  <c r="AH22" i="6"/>
  <c r="P22" i="2" s="1"/>
  <c r="P21" i="2" s="1"/>
  <c r="AH24" i="6"/>
  <c r="AH25" i="6"/>
  <c r="AH26" i="6"/>
  <c r="AH27" i="6"/>
  <c r="AH28" i="6"/>
  <c r="AH29" i="6"/>
  <c r="AH30" i="6"/>
  <c r="AH31" i="6"/>
  <c r="AG10" i="6"/>
  <c r="AG11" i="6"/>
  <c r="AG12" i="6"/>
  <c r="O34" i="2" s="1"/>
  <c r="AG13" i="6"/>
  <c r="AG4" i="6"/>
  <c r="AG5" i="6"/>
  <c r="O24" i="2"/>
  <c r="AG6" i="6"/>
  <c r="AG7" i="6"/>
  <c r="AG8" i="6"/>
  <c r="AG9" i="6"/>
  <c r="AG14" i="6"/>
  <c r="AG15" i="6"/>
  <c r="AG16" i="6"/>
  <c r="AG17" i="6"/>
  <c r="AG20" i="6"/>
  <c r="AG21" i="6"/>
  <c r="AG22" i="6"/>
  <c r="AG23" i="6"/>
  <c r="O31" i="2" s="1"/>
  <c r="O30" i="2" s="1"/>
  <c r="AG24" i="6"/>
  <c r="AG25" i="6"/>
  <c r="AG26" i="6"/>
  <c r="AG27" i="6"/>
  <c r="O40" i="2"/>
  <c r="AG28" i="6"/>
  <c r="AG29" i="6"/>
  <c r="AG30" i="6"/>
  <c r="O43" i="2"/>
  <c r="AG31" i="6"/>
  <c r="AF10" i="6"/>
  <c r="AF11" i="6"/>
  <c r="AF12" i="6"/>
  <c r="AF13" i="6"/>
  <c r="N34" i="2" s="1"/>
  <c r="AF14" i="6"/>
  <c r="AF15" i="6"/>
  <c r="AF5" i="6"/>
  <c r="N24" i="2" s="1"/>
  <c r="AF6" i="6"/>
  <c r="AF8" i="6"/>
  <c r="AF9" i="6"/>
  <c r="N33" i="2" s="1"/>
  <c r="AF16" i="6"/>
  <c r="AF17" i="6"/>
  <c r="N18" i="6"/>
  <c r="AF20" i="6"/>
  <c r="N31" i="2" s="1"/>
  <c r="N30" i="2" s="1"/>
  <c r="AF21" i="6"/>
  <c r="AF23" i="6"/>
  <c r="AF24" i="6"/>
  <c r="AF25" i="6"/>
  <c r="AF26" i="6"/>
  <c r="AF27" i="6"/>
  <c r="AF28" i="6"/>
  <c r="N41" i="2" s="1"/>
  <c r="AF29" i="6"/>
  <c r="AF30" i="6"/>
  <c r="N43" i="2"/>
  <c r="AF31" i="6"/>
  <c r="AE10" i="6"/>
  <c r="AE11" i="6"/>
  <c r="AE12" i="6"/>
  <c r="AE13" i="6"/>
  <c r="AE4" i="6"/>
  <c r="AE5" i="6"/>
  <c r="M24" i="2"/>
  <c r="AE6" i="6"/>
  <c r="M19" i="2" s="1"/>
  <c r="AE7" i="6"/>
  <c r="AE8" i="6"/>
  <c r="AE9" i="6"/>
  <c r="AE14" i="6"/>
  <c r="AE15" i="6"/>
  <c r="AE16" i="6"/>
  <c r="AE17" i="6"/>
  <c r="AE20" i="6"/>
  <c r="AE21" i="6"/>
  <c r="AE22" i="6"/>
  <c r="AE23" i="6"/>
  <c r="AE24" i="6"/>
  <c r="AE25" i="6"/>
  <c r="AE26" i="6"/>
  <c r="M42" i="2" s="1"/>
  <c r="AE29" i="6"/>
  <c r="AE27" i="6"/>
  <c r="AE28" i="6"/>
  <c r="AE30" i="6"/>
  <c r="AE31" i="6"/>
  <c r="AD10" i="6"/>
  <c r="AD11" i="6"/>
  <c r="AD12" i="6"/>
  <c r="AD13" i="6"/>
  <c r="AD4" i="6"/>
  <c r="AD5" i="6"/>
  <c r="L24" i="2"/>
  <c r="AD6" i="6"/>
  <c r="AD7" i="6"/>
  <c r="AD8" i="6"/>
  <c r="AD9" i="6"/>
  <c r="L33" i="2" s="1"/>
  <c r="AD16" i="6"/>
  <c r="AD17" i="6"/>
  <c r="AD14" i="6"/>
  <c r="AD15" i="6"/>
  <c r="AD20" i="6"/>
  <c r="AD21" i="6"/>
  <c r="AD22" i="6"/>
  <c r="AD23" i="6"/>
  <c r="AD24" i="6"/>
  <c r="AD25" i="6"/>
  <c r="AD26" i="6"/>
  <c r="AD27" i="6"/>
  <c r="AD28" i="6"/>
  <c r="AD29" i="6"/>
  <c r="AD30" i="6"/>
  <c r="AD31" i="6"/>
  <c r="AC10" i="6"/>
  <c r="AC11" i="6"/>
  <c r="AC12" i="6"/>
  <c r="AC13" i="6"/>
  <c r="AC4" i="6"/>
  <c r="AC5" i="6"/>
  <c r="K24" i="2"/>
  <c r="AC6" i="6"/>
  <c r="K19" i="2" s="1"/>
  <c r="AC7" i="6"/>
  <c r="AC8" i="6"/>
  <c r="BF8" i="6" s="1"/>
  <c r="AC9" i="6"/>
  <c r="AC14" i="6"/>
  <c r="AC15" i="6"/>
  <c r="AC16" i="6"/>
  <c r="AC17" i="6"/>
  <c r="AC20" i="6"/>
  <c r="AC21" i="6"/>
  <c r="AC22" i="6"/>
  <c r="K22" i="2" s="1"/>
  <c r="AC23" i="6"/>
  <c r="AC24" i="6"/>
  <c r="AC25" i="6"/>
  <c r="AC26" i="6"/>
  <c r="K42" i="2" s="1"/>
  <c r="AC27" i="6"/>
  <c r="AC28" i="6"/>
  <c r="AC29" i="6"/>
  <c r="AC30" i="6"/>
  <c r="AC31" i="6"/>
  <c r="AB10" i="6"/>
  <c r="AB11" i="6"/>
  <c r="AB12" i="6"/>
  <c r="J34" i="2" s="1"/>
  <c r="AB13" i="6"/>
  <c r="AB5" i="6"/>
  <c r="J24" i="2"/>
  <c r="AB6" i="6"/>
  <c r="J19" i="2" s="1"/>
  <c r="AB7" i="6"/>
  <c r="AB8" i="6"/>
  <c r="AB9" i="6"/>
  <c r="AB14" i="6"/>
  <c r="AB15" i="6"/>
  <c r="AB16" i="6"/>
  <c r="AB17" i="6"/>
  <c r="AB20" i="6"/>
  <c r="AB21" i="6"/>
  <c r="AB22" i="6"/>
  <c r="AB24" i="6"/>
  <c r="AB25" i="6"/>
  <c r="AB26" i="6"/>
  <c r="AB27" i="6"/>
  <c r="AB28" i="6"/>
  <c r="AB29" i="6"/>
  <c r="AB30" i="6"/>
  <c r="AB31" i="6"/>
  <c r="AA10" i="6"/>
  <c r="AA11" i="6"/>
  <c r="AA12" i="6"/>
  <c r="AA13" i="6"/>
  <c r="AA4" i="6"/>
  <c r="AA5" i="6"/>
  <c r="AA6" i="6"/>
  <c r="I19" i="2" s="1"/>
  <c r="AA7" i="6"/>
  <c r="AA8" i="6"/>
  <c r="AA9" i="6"/>
  <c r="AA14" i="6"/>
  <c r="AA15" i="6"/>
  <c r="AA16" i="6"/>
  <c r="AA17" i="6"/>
  <c r="AA20" i="6"/>
  <c r="AA21" i="6"/>
  <c r="AA22" i="6"/>
  <c r="I22" i="2"/>
  <c r="I21" i="2" s="1"/>
  <c r="AA24" i="6"/>
  <c r="AA25" i="6"/>
  <c r="AA26" i="6"/>
  <c r="I42" i="2" s="1"/>
  <c r="AA27" i="6"/>
  <c r="AA28" i="6"/>
  <c r="AA29" i="6"/>
  <c r="AA30" i="6"/>
  <c r="I43" i="2" s="1"/>
  <c r="AA31" i="6"/>
  <c r="I48" i="2"/>
  <c r="H33" i="2"/>
  <c r="G33" i="2" s="1"/>
  <c r="G32" i="2" s="1"/>
  <c r="R26" i="2"/>
  <c r="Q26" i="2"/>
  <c r="P26" i="2"/>
  <c r="O26" i="2"/>
  <c r="N26" i="2"/>
  <c r="M26" i="2"/>
  <c r="L26" i="2"/>
  <c r="K26" i="2"/>
  <c r="J26" i="2"/>
  <c r="I26" i="2"/>
  <c r="H26" i="2"/>
  <c r="Q25" i="2"/>
  <c r="O25" i="2"/>
  <c r="J25" i="2"/>
  <c r="I25" i="2"/>
  <c r="H25" i="2"/>
  <c r="P24" i="2"/>
  <c r="I24" i="2"/>
  <c r="H24" i="2"/>
  <c r="R20" i="2"/>
  <c r="Q20" i="2"/>
  <c r="P20" i="2"/>
  <c r="O20" i="2"/>
  <c r="N20" i="2"/>
  <c r="M20" i="2"/>
  <c r="L20" i="2"/>
  <c r="K20" i="2"/>
  <c r="J20" i="2"/>
  <c r="I20" i="2"/>
  <c r="Q19" i="2"/>
  <c r="O19" i="2"/>
  <c r="N19" i="2"/>
  <c r="L19" i="2"/>
  <c r="Q18" i="2"/>
  <c r="R18" i="2"/>
  <c r="Q51" i="1"/>
  <c r="N51" i="1"/>
  <c r="R50" i="1"/>
  <c r="Q50" i="1"/>
  <c r="P50" i="1"/>
  <c r="O50" i="1"/>
  <c r="N50" i="1"/>
  <c r="M50" i="1"/>
  <c r="L50" i="1"/>
  <c r="K50" i="1"/>
  <c r="J50" i="1"/>
  <c r="I50" i="1"/>
  <c r="H50" i="1"/>
  <c r="Q49" i="1"/>
  <c r="P49" i="1"/>
  <c r="M49" i="1"/>
  <c r="L49" i="1"/>
  <c r="R24" i="1"/>
  <c r="R22" i="1"/>
  <c r="R21" i="1" s="1"/>
  <c r="R43" i="1"/>
  <c r="P24" i="1"/>
  <c r="P23" i="1" s="1"/>
  <c r="P43" i="1"/>
  <c r="N24" i="1"/>
  <c r="N19" i="1"/>
  <c r="N22" i="1"/>
  <c r="N21" i="1" s="1"/>
  <c r="N27" i="1" s="1"/>
  <c r="N41" i="1"/>
  <c r="N25" i="1"/>
  <c r="L24" i="1"/>
  <c r="L18" i="1"/>
  <c r="L43" i="1"/>
  <c r="L22" i="1"/>
  <c r="L21" i="1" s="1"/>
  <c r="J22" i="1"/>
  <c r="J21" i="1" s="1"/>
  <c r="Q24" i="1"/>
  <c r="O24" i="1"/>
  <c r="O19" i="1"/>
  <c r="O42" i="1"/>
  <c r="O48" i="1"/>
  <c r="O47" i="1" s="1"/>
  <c r="O52" i="1" s="1"/>
  <c r="M19" i="1"/>
  <c r="M18" i="1"/>
  <c r="K18" i="1"/>
  <c r="K22" i="1"/>
  <c r="K21" i="1" s="1"/>
  <c r="K43" i="1"/>
  <c r="K48" i="1"/>
  <c r="I18" i="1"/>
  <c r="I24" i="1"/>
  <c r="I43" i="1"/>
  <c r="R26" i="1"/>
  <c r="Q26" i="1"/>
  <c r="P26" i="1"/>
  <c r="O26" i="1"/>
  <c r="N26" i="1"/>
  <c r="N23" i="1" s="1"/>
  <c r="M26" i="1"/>
  <c r="L26" i="1"/>
  <c r="K26" i="1"/>
  <c r="J26" i="1"/>
  <c r="I26" i="1"/>
  <c r="H26" i="1"/>
  <c r="O25" i="1"/>
  <c r="L25" i="1"/>
  <c r="L23" i="1" s="1"/>
  <c r="K24" i="1"/>
  <c r="K23" i="1" s="1"/>
  <c r="J24" i="1"/>
  <c r="R20" i="1"/>
  <c r="Q20" i="1"/>
  <c r="P20" i="1"/>
  <c r="O20" i="1"/>
  <c r="N20" i="1"/>
  <c r="M20" i="1"/>
  <c r="M17" i="1" s="1"/>
  <c r="L20" i="1"/>
  <c r="K20" i="1"/>
  <c r="J20" i="1"/>
  <c r="I20" i="1"/>
  <c r="H20" i="1"/>
  <c r="R19" i="1"/>
  <c r="Q19" i="1"/>
  <c r="P19" i="1"/>
  <c r="L19" i="1"/>
  <c r="J19" i="1"/>
  <c r="I19" i="1"/>
  <c r="H19" i="1"/>
  <c r="H18" i="1"/>
  <c r="O18" i="1"/>
  <c r="Q18" i="1"/>
  <c r="V31" i="2"/>
  <c r="V30" i="2" s="1"/>
  <c r="BF32" i="6"/>
  <c r="BF33" i="6"/>
  <c r="BF42" i="6"/>
  <c r="BF43" i="6"/>
  <c r="W5" i="6"/>
  <c r="W6" i="6"/>
  <c r="W7" i="6"/>
  <c r="W8" i="6"/>
  <c r="W9" i="6"/>
  <c r="W10" i="6"/>
  <c r="W11" i="6"/>
  <c r="W12" i="6"/>
  <c r="W13" i="6"/>
  <c r="W14" i="6"/>
  <c r="W15" i="6"/>
  <c r="W16" i="6"/>
  <c r="W17" i="6"/>
  <c r="W19" i="6"/>
  <c r="W4" i="6"/>
  <c r="J22" i="2"/>
  <c r="J21" i="2"/>
  <c r="A27" i="1"/>
  <c r="A28" i="1"/>
  <c r="A29" i="1"/>
  <c r="A36" i="1"/>
  <c r="A37" i="1"/>
  <c r="A17" i="1"/>
  <c r="F47" i="1"/>
  <c r="F52" i="1"/>
  <c r="E47" i="1"/>
  <c r="E52" i="1" s="1"/>
  <c r="D47" i="1"/>
  <c r="D52" i="1" s="1"/>
  <c r="D54" i="1" s="1"/>
  <c r="D39" i="1"/>
  <c r="D44" i="1" s="1"/>
  <c r="D32" i="1"/>
  <c r="D36" i="1" s="1"/>
  <c r="D23" i="1"/>
  <c r="D21" i="1"/>
  <c r="D17" i="1"/>
  <c r="D27" i="1" s="1"/>
  <c r="C47" i="1"/>
  <c r="G39" i="1"/>
  <c r="G44" i="1" s="1"/>
  <c r="F39" i="1"/>
  <c r="F44" i="1" s="1"/>
  <c r="E39" i="1"/>
  <c r="E44" i="1"/>
  <c r="C39" i="1"/>
  <c r="C44" i="1" s="1"/>
  <c r="F32" i="1"/>
  <c r="F36" i="1" s="1"/>
  <c r="E32" i="1"/>
  <c r="E36" i="1" s="1"/>
  <c r="C32" i="1"/>
  <c r="C36" i="1" s="1"/>
  <c r="G20" i="4"/>
  <c r="X30" i="1" s="1"/>
  <c r="F30" i="1"/>
  <c r="E30" i="1"/>
  <c r="D30" i="1"/>
  <c r="C30" i="1"/>
  <c r="G23" i="1"/>
  <c r="F23" i="1"/>
  <c r="E23" i="1"/>
  <c r="C23" i="1"/>
  <c r="G21" i="1"/>
  <c r="F21" i="1"/>
  <c r="F17" i="1"/>
  <c r="E21" i="1"/>
  <c r="C21" i="1"/>
  <c r="C27" i="1" s="1"/>
  <c r="G15" i="4"/>
  <c r="X17" i="1" s="1"/>
  <c r="G17" i="1"/>
  <c r="E17" i="1"/>
  <c r="C17" i="1"/>
  <c r="G21" i="4"/>
  <c r="D22" i="3" s="1"/>
  <c r="G22" i="3" s="1"/>
  <c r="C52" i="1"/>
  <c r="F47" i="2"/>
  <c r="F52" i="2" s="1"/>
  <c r="E47" i="2"/>
  <c r="E52" i="2"/>
  <c r="D47" i="2"/>
  <c r="D52" i="2" s="1"/>
  <c r="C47" i="2"/>
  <c r="C52" i="2"/>
  <c r="G39" i="2"/>
  <c r="G44" i="2" s="1"/>
  <c r="F39" i="2"/>
  <c r="F44" i="2"/>
  <c r="E39" i="2"/>
  <c r="E44" i="2" s="1"/>
  <c r="D39" i="2"/>
  <c r="D44" i="2"/>
  <c r="C39" i="2"/>
  <c r="C44" i="2" s="1"/>
  <c r="C54" i="2" s="1"/>
  <c r="X30" i="2"/>
  <c r="G30" i="2"/>
  <c r="F32" i="2"/>
  <c r="E32" i="2"/>
  <c r="E36" i="2" s="1"/>
  <c r="D32" i="2"/>
  <c r="D30" i="2"/>
  <c r="C32" i="2"/>
  <c r="F30" i="2"/>
  <c r="E30" i="2"/>
  <c r="C30" i="2"/>
  <c r="G23" i="2"/>
  <c r="F23" i="2"/>
  <c r="E23" i="2"/>
  <c r="D23" i="2"/>
  <c r="D21" i="2"/>
  <c r="D17" i="2"/>
  <c r="D27" i="2" s="1"/>
  <c r="D54" i="2" s="1"/>
  <c r="C23" i="2"/>
  <c r="G21" i="2"/>
  <c r="F21" i="2"/>
  <c r="E21" i="2"/>
  <c r="C21" i="2"/>
  <c r="C17" i="2"/>
  <c r="C27" i="2"/>
  <c r="X17" i="2"/>
  <c r="G17" i="2"/>
  <c r="F17" i="2"/>
  <c r="E17" i="2"/>
  <c r="D33" i="4"/>
  <c r="E33" i="4"/>
  <c r="F33" i="4"/>
  <c r="G34" i="4"/>
  <c r="G33" i="4" s="1"/>
  <c r="E34" i="3"/>
  <c r="F34" i="3"/>
  <c r="F35" i="4"/>
  <c r="E35" i="4"/>
  <c r="C35" i="4"/>
  <c r="C33" i="4"/>
  <c r="E36" i="3"/>
  <c r="F36" i="3"/>
  <c r="C36" i="3"/>
  <c r="C34" i="3"/>
  <c r="D7" i="1"/>
  <c r="H12" i="1"/>
  <c r="D21" i="3"/>
  <c r="D20" i="3" s="1"/>
  <c r="G20" i="3" s="1"/>
  <c r="G27" i="4"/>
  <c r="X47" i="1" s="1"/>
  <c r="X52" i="1" s="1"/>
  <c r="G24" i="4"/>
  <c r="X39" i="2" s="1"/>
  <c r="G16" i="4"/>
  <c r="D17" i="3" s="1"/>
  <c r="G17" i="3" s="1"/>
  <c r="G17" i="4"/>
  <c r="X23" i="1"/>
  <c r="D16" i="3"/>
  <c r="E26" i="4"/>
  <c r="E23" i="4"/>
  <c r="E19" i="4"/>
  <c r="E14" i="4"/>
  <c r="G14" i="4" s="1"/>
  <c r="D13" i="4"/>
  <c r="C14" i="4"/>
  <c r="D14" i="4"/>
  <c r="D18" i="3"/>
  <c r="G18" i="3" s="1"/>
  <c r="F26" i="4"/>
  <c r="F23" i="4"/>
  <c r="F19" i="4"/>
  <c r="F14" i="4"/>
  <c r="F29" i="4" s="1"/>
  <c r="D26" i="4"/>
  <c r="D23" i="4"/>
  <c r="D19" i="4"/>
  <c r="B10" i="4"/>
  <c r="C27" i="3"/>
  <c r="C24" i="3"/>
  <c r="C20" i="3"/>
  <c r="C15" i="3"/>
  <c r="C30" i="3" s="1"/>
  <c r="D5" i="4"/>
  <c r="D4" i="4"/>
  <c r="D5" i="3"/>
  <c r="D4" i="3"/>
  <c r="D7" i="2"/>
  <c r="D6" i="2"/>
  <c r="D5" i="2"/>
  <c r="D5" i="1"/>
  <c r="D6" i="1"/>
  <c r="B12" i="5"/>
  <c r="B8" i="3"/>
  <c r="B8" i="4" s="1"/>
  <c r="C26" i="4"/>
  <c r="C23" i="4"/>
  <c r="G21" i="3"/>
  <c r="C19" i="4"/>
  <c r="F27" i="3"/>
  <c r="E27" i="3"/>
  <c r="F24" i="3"/>
  <c r="F30" i="3" s="1"/>
  <c r="E24" i="3"/>
  <c r="F20" i="3"/>
  <c r="F15" i="3"/>
  <c r="E20" i="3"/>
  <c r="E15" i="3"/>
  <c r="E30" i="3"/>
  <c r="E12" i="1"/>
  <c r="D35" i="4"/>
  <c r="I34" i="2"/>
  <c r="K41" i="2"/>
  <c r="P42" i="1"/>
  <c r="I42" i="1"/>
  <c r="R42" i="1"/>
  <c r="S42" i="1"/>
  <c r="R40" i="1"/>
  <c r="T42" i="2"/>
  <c r="H42" i="2"/>
  <c r="T40" i="1"/>
  <c r="O51" i="1"/>
  <c r="M51" i="2"/>
  <c r="M51" i="1"/>
  <c r="R48" i="1"/>
  <c r="O22" i="2"/>
  <c r="O21" i="2" s="1"/>
  <c r="Q22" i="2"/>
  <c r="Q21" i="2" s="1"/>
  <c r="Q27" i="2" s="1"/>
  <c r="V48" i="1"/>
  <c r="H41" i="1"/>
  <c r="H30" i="2"/>
  <c r="H17" i="2"/>
  <c r="W36" i="6"/>
  <c r="X36" i="6"/>
  <c r="D36" i="6"/>
  <c r="D1" i="6" s="1"/>
  <c r="H53" i="6"/>
  <c r="K34" i="2"/>
  <c r="K25" i="1"/>
  <c r="U25" i="2"/>
  <c r="U23" i="2" s="1"/>
  <c r="U27" i="2" s="1"/>
  <c r="H34" i="2"/>
  <c r="H32" i="2"/>
  <c r="H36" i="2" s="1"/>
  <c r="M22" i="2"/>
  <c r="M21" i="2" s="1"/>
  <c r="J42" i="1"/>
  <c r="J18" i="1"/>
  <c r="J17" i="1" s="1"/>
  <c r="R51" i="1"/>
  <c r="K31" i="2"/>
  <c r="K30" i="2" s="1"/>
  <c r="L31" i="2"/>
  <c r="L30" i="2" s="1"/>
  <c r="M48" i="2"/>
  <c r="I49" i="2"/>
  <c r="V34" i="2"/>
  <c r="V32" i="2"/>
  <c r="V36" i="2" s="1"/>
  <c r="U48" i="2"/>
  <c r="T49" i="2"/>
  <c r="V51" i="2"/>
  <c r="O51" i="2"/>
  <c r="O22" i="1"/>
  <c r="O21" i="1" s="1"/>
  <c r="J25" i="1"/>
  <c r="J23" i="1" s="1"/>
  <c r="P25" i="1"/>
  <c r="P22" i="1"/>
  <c r="P21" i="1" s="1"/>
  <c r="P18" i="1"/>
  <c r="R25" i="1"/>
  <c r="R23" i="1"/>
  <c r="R27" i="1" s="1"/>
  <c r="R41" i="1"/>
  <c r="J41" i="2"/>
  <c r="L22" i="2"/>
  <c r="L21" i="2" s="1"/>
  <c r="L18" i="2"/>
  <c r="L17" i="2"/>
  <c r="L34" i="2"/>
  <c r="M41" i="2"/>
  <c r="M31" i="2"/>
  <c r="M30" i="2" s="1"/>
  <c r="M18" i="2"/>
  <c r="O42" i="2"/>
  <c r="O18" i="2"/>
  <c r="O17" i="2" s="1"/>
  <c r="Q42" i="2"/>
  <c r="V22" i="2"/>
  <c r="V21" i="2" s="1"/>
  <c r="U22" i="2"/>
  <c r="U21" i="2" s="1"/>
  <c r="U33" i="2"/>
  <c r="U32" i="2" s="1"/>
  <c r="U36" i="2" s="1"/>
  <c r="T25" i="2"/>
  <c r="T23" i="2" s="1"/>
  <c r="T27" i="2" s="1"/>
  <c r="U18" i="2"/>
  <c r="U17" i="2" s="1"/>
  <c r="S25" i="2"/>
  <c r="S23" i="2"/>
  <c r="U51" i="1"/>
  <c r="V42" i="1"/>
  <c r="V18" i="1"/>
  <c r="I51" i="2"/>
  <c r="H40" i="1"/>
  <c r="Y24" i="6"/>
  <c r="Y21" i="6"/>
  <c r="Y50" i="6" s="1"/>
  <c r="D36" i="2"/>
  <c r="L42" i="1"/>
  <c r="N42" i="1"/>
  <c r="N18" i="1"/>
  <c r="N17" i="1"/>
  <c r="P41" i="1"/>
  <c r="P39" i="1" s="1"/>
  <c r="I51" i="1"/>
  <c r="J33" i="2"/>
  <c r="J32" i="2"/>
  <c r="K21" i="2"/>
  <c r="P18" i="2"/>
  <c r="P17" i="2" s="1"/>
  <c r="V18" i="2"/>
  <c r="V17" i="2" s="1"/>
  <c r="U51" i="2"/>
  <c r="S51" i="2"/>
  <c r="J51" i="2"/>
  <c r="H22" i="1"/>
  <c r="H21" i="1" s="1"/>
  <c r="J42" i="2"/>
  <c r="J39" i="2" s="1"/>
  <c r="R40" i="2"/>
  <c r="S43" i="2"/>
  <c r="H43" i="2"/>
  <c r="K42" i="1"/>
  <c r="O41" i="1"/>
  <c r="Q43" i="1"/>
  <c r="J41" i="1"/>
  <c r="L40" i="1"/>
  <c r="L39" i="1" s="1"/>
  <c r="P40" i="1"/>
  <c r="L41" i="2"/>
  <c r="L39" i="2" s="1"/>
  <c r="L44" i="2" s="1"/>
  <c r="N42" i="2"/>
  <c r="P41" i="2"/>
  <c r="Q40" i="2"/>
  <c r="R43" i="2"/>
  <c r="U42" i="2"/>
  <c r="T41" i="2"/>
  <c r="V41" i="1"/>
  <c r="U42" i="1"/>
  <c r="T43" i="1"/>
  <c r="H43" i="1"/>
  <c r="Q40" i="1"/>
  <c r="P42" i="2"/>
  <c r="P39" i="2" s="1"/>
  <c r="P44" i="2" s="1"/>
  <c r="V41" i="2"/>
  <c r="V39" i="2" s="1"/>
  <c r="V44" i="2" s="1"/>
  <c r="S43" i="1"/>
  <c r="I41" i="1"/>
  <c r="K41" i="1"/>
  <c r="M40" i="1"/>
  <c r="O40" i="1"/>
  <c r="O39" i="1"/>
  <c r="O44" i="1" s="1"/>
  <c r="Q42" i="1"/>
  <c r="J40" i="1"/>
  <c r="N40" i="1"/>
  <c r="I41" i="2"/>
  <c r="J40" i="2"/>
  <c r="K40" i="2"/>
  <c r="K39" i="2" s="1"/>
  <c r="L40" i="2"/>
  <c r="M40" i="2"/>
  <c r="O41" i="2"/>
  <c r="P40" i="2"/>
  <c r="R42" i="2"/>
  <c r="V43" i="2"/>
  <c r="U41" i="2"/>
  <c r="U39" i="2" s="1"/>
  <c r="T40" i="2"/>
  <c r="V40" i="1"/>
  <c r="U41" i="1"/>
  <c r="T42" i="1"/>
  <c r="T39" i="1" s="1"/>
  <c r="T44" i="1" s="1"/>
  <c r="S41" i="1"/>
  <c r="H42" i="1"/>
  <c r="H41" i="2"/>
  <c r="W41" i="2" s="1"/>
  <c r="L41" i="1"/>
  <c r="L42" i="2"/>
  <c r="I40" i="1"/>
  <c r="K40" i="1"/>
  <c r="K39" i="1" s="1"/>
  <c r="K44" i="1" s="1"/>
  <c r="M43" i="1"/>
  <c r="O43" i="1"/>
  <c r="Q41" i="1"/>
  <c r="Q39" i="1" s="1"/>
  <c r="Q44" i="1" s="1"/>
  <c r="J43" i="1"/>
  <c r="W43" i="1" s="1"/>
  <c r="N43" i="1"/>
  <c r="I40" i="2"/>
  <c r="J43" i="2"/>
  <c r="K43" i="2"/>
  <c r="W43" i="2" s="1"/>
  <c r="L43" i="2"/>
  <c r="M43" i="2"/>
  <c r="N40" i="2"/>
  <c r="P43" i="2"/>
  <c r="R41" i="2"/>
  <c r="U40" i="2"/>
  <c r="T43" i="2"/>
  <c r="U40" i="1"/>
  <c r="U39" i="1" s="1"/>
  <c r="U44" i="1" s="1"/>
  <c r="S40" i="1"/>
  <c r="T17" i="1"/>
  <c r="Z53" i="6"/>
  <c r="H22" i="2"/>
  <c r="H21" i="2" s="1"/>
  <c r="H27" i="2" s="1"/>
  <c r="U22" i="1"/>
  <c r="U21" i="1" s="1"/>
  <c r="G27" i="2"/>
  <c r="F27" i="2"/>
  <c r="E27" i="2"/>
  <c r="G36" i="2"/>
  <c r="F36" i="2"/>
  <c r="C36" i="2"/>
  <c r="T23" i="1"/>
  <c r="T17" i="2"/>
  <c r="J17" i="2"/>
  <c r="Q23" i="2"/>
  <c r="O17" i="1"/>
  <c r="Q17" i="2"/>
  <c r="S32" i="2"/>
  <c r="S36" i="2"/>
  <c r="BF16" i="6"/>
  <c r="O33" i="2"/>
  <c r="O32" i="2" s="1"/>
  <c r="O36" i="2" s="1"/>
  <c r="I23" i="2"/>
  <c r="J23" i="2"/>
  <c r="J27" i="2" s="1"/>
  <c r="I17" i="1"/>
  <c r="H17" i="1"/>
  <c r="W20" i="2"/>
  <c r="O23" i="2"/>
  <c r="S23" i="1"/>
  <c r="S17" i="1"/>
  <c r="W24" i="2"/>
  <c r="U17" i="1"/>
  <c r="H23" i="2"/>
  <c r="W26" i="2"/>
  <c r="V23" i="1"/>
  <c r="W35" i="2"/>
  <c r="W26" i="1"/>
  <c r="M47" i="2"/>
  <c r="M52" i="2" s="1"/>
  <c r="N32" i="2"/>
  <c r="N36" i="2"/>
  <c r="L17" i="1"/>
  <c r="L27" i="1" s="1"/>
  <c r="Q17" i="1"/>
  <c r="X44" i="2"/>
  <c r="C54" i="1"/>
  <c r="C29" i="4"/>
  <c r="X21" i="1"/>
  <c r="I31" i="2"/>
  <c r="I30" i="2"/>
  <c r="Y45" i="6"/>
  <c r="X21" i="2"/>
  <c r="X23" i="2"/>
  <c r="X27" i="2"/>
  <c r="BF9" i="6"/>
  <c r="M25" i="2"/>
  <c r="M23" i="2"/>
  <c r="M34" i="2"/>
  <c r="E29" i="4"/>
  <c r="O23" i="1"/>
  <c r="K48" i="2"/>
  <c r="BF40" i="6"/>
  <c r="K25" i="2"/>
  <c r="K18" i="2"/>
  <c r="K17" i="2"/>
  <c r="K27" i="2" s="1"/>
  <c r="BF7" i="6"/>
  <c r="BF13" i="6"/>
  <c r="BF26" i="6"/>
  <c r="BF22" i="6"/>
  <c r="BF30" i="6"/>
  <c r="X47" i="2"/>
  <c r="X52" i="2" s="1"/>
  <c r="G26" i="4"/>
  <c r="D28" i="3"/>
  <c r="D27" i="3" s="1"/>
  <c r="E54" i="2"/>
  <c r="H12" i="2"/>
  <c r="E12" i="2"/>
  <c r="X39" i="1"/>
  <c r="X44" i="1" s="1"/>
  <c r="G23" i="4"/>
  <c r="D25" i="3"/>
  <c r="D24" i="3" s="1"/>
  <c r="E27" i="1"/>
  <c r="E54" i="1"/>
  <c r="T22" i="2"/>
  <c r="T21" i="2"/>
  <c r="N48" i="1"/>
  <c r="O48" i="2"/>
  <c r="O47" i="2" s="1"/>
  <c r="O52" i="2" s="1"/>
  <c r="G19" i="4"/>
  <c r="BF28" i="6"/>
  <c r="BF21" i="6"/>
  <c r="Q48" i="2"/>
  <c r="Q33" i="2"/>
  <c r="Q32" i="2"/>
  <c r="Q36" i="2" s="1"/>
  <c r="J51" i="1"/>
  <c r="BF19" i="6"/>
  <c r="BF12" i="6"/>
  <c r="K19" i="1"/>
  <c r="J48" i="1"/>
  <c r="R18" i="1"/>
  <c r="R17" i="1" s="1"/>
  <c r="W19" i="2"/>
  <c r="I33" i="2"/>
  <c r="I18" i="2"/>
  <c r="BF4" i="6"/>
  <c r="BF10" i="6"/>
  <c r="P25" i="2"/>
  <c r="P23" i="2"/>
  <c r="P33" i="2"/>
  <c r="K51" i="1"/>
  <c r="K33" i="2"/>
  <c r="L25" i="2"/>
  <c r="L23" i="2"/>
  <c r="L27" i="2" s="1"/>
  <c r="P48" i="2"/>
  <c r="V51" i="1"/>
  <c r="L48" i="2"/>
  <c r="M33" i="2"/>
  <c r="M32" i="2" s="1"/>
  <c r="Y41" i="6"/>
  <c r="Y51" i="6"/>
  <c r="V48" i="2"/>
  <c r="V47" i="2" s="1"/>
  <c r="V52" i="2" s="1"/>
  <c r="V54" i="2" s="1"/>
  <c r="AN47" i="6" s="1"/>
  <c r="S49" i="2"/>
  <c r="S47" i="2" s="1"/>
  <c r="S52" i="2" s="1"/>
  <c r="U47" i="2"/>
  <c r="U52" i="2"/>
  <c r="U44" i="2"/>
  <c r="U54" i="2" s="1"/>
  <c r="AM47" i="6" s="1"/>
  <c r="P44" i="1"/>
  <c r="N39" i="1"/>
  <c r="N44" i="1" s="1"/>
  <c r="R39" i="1"/>
  <c r="R44" i="1"/>
  <c r="V47" i="1"/>
  <c r="V52" i="1" s="1"/>
  <c r="I47" i="2"/>
  <c r="I52" i="2"/>
  <c r="H39" i="1"/>
  <c r="H44" i="1"/>
  <c r="R39" i="2"/>
  <c r="R44" i="2" s="1"/>
  <c r="M39" i="2"/>
  <c r="M44" i="2"/>
  <c r="O39" i="2"/>
  <c r="O44" i="2" s="1"/>
  <c r="J39" i="1"/>
  <c r="J44" i="1"/>
  <c r="K44" i="2"/>
  <c r="S39" i="1"/>
  <c r="S44" i="1"/>
  <c r="L44" i="1"/>
  <c r="D49" i="6"/>
  <c r="Q39" i="2"/>
  <c r="Q44" i="2" s="1"/>
  <c r="T39" i="2"/>
  <c r="T44" i="2" s="1"/>
  <c r="N39" i="2"/>
  <c r="N44" i="2"/>
  <c r="J44" i="2"/>
  <c r="V39" i="1"/>
  <c r="V44" i="1"/>
  <c r="I39" i="1"/>
  <c r="I44" i="1" s="1"/>
  <c r="W40" i="2"/>
  <c r="T27" i="1"/>
  <c r="J27" i="1"/>
  <c r="O27" i="1"/>
  <c r="P27" i="2"/>
  <c r="O27" i="2"/>
  <c r="M36" i="2"/>
  <c r="K47" i="2"/>
  <c r="K52" i="2"/>
  <c r="I17" i="2"/>
  <c r="I27" i="2"/>
  <c r="K17" i="1"/>
  <c r="K27" i="1" s="1"/>
  <c r="G28" i="3"/>
  <c r="G27" i="3"/>
  <c r="Y52" i="6"/>
  <c r="Y53" i="6"/>
  <c r="G25" i="3"/>
  <c r="G24" i="3" s="1"/>
  <c r="I30" i="3" s="1"/>
  <c r="G29" i="4"/>
  <c r="K23" i="2"/>
  <c r="W18" i="1"/>
  <c r="I32" i="2"/>
  <c r="I36" i="2"/>
  <c r="G47" i="2"/>
  <c r="G52" i="2" s="1"/>
  <c r="G54" i="2" s="1"/>
  <c r="H50" i="2"/>
  <c r="H47" i="2"/>
  <c r="G47" i="1"/>
  <c r="G52" i="1"/>
  <c r="H48" i="1"/>
  <c r="T54" i="2" l="1"/>
  <c r="AL47" i="6" s="1"/>
  <c r="O54" i="2"/>
  <c r="AG47" i="6" s="1"/>
  <c r="G27" i="1"/>
  <c r="G54" i="1" s="1"/>
  <c r="S39" i="2"/>
  <c r="S44" i="2" s="1"/>
  <c r="AU35" i="6"/>
  <c r="BF35" i="6" s="1"/>
  <c r="AU34" i="6"/>
  <c r="M25" i="1" s="1"/>
  <c r="N25" i="2"/>
  <c r="AQ39" i="6"/>
  <c r="I48" i="1" s="1"/>
  <c r="J48" i="2"/>
  <c r="BF29" i="6"/>
  <c r="W40" i="1"/>
  <c r="F54" i="2"/>
  <c r="W19" i="1"/>
  <c r="W17" i="1" s="1"/>
  <c r="Y17" i="1" s="1"/>
  <c r="BF11" i="6"/>
  <c r="H39" i="2"/>
  <c r="H44" i="2" s="1"/>
  <c r="H52" i="2"/>
  <c r="H54" i="2" s="1"/>
  <c r="Y49" i="6"/>
  <c r="Y55" i="6" s="1"/>
  <c r="S27" i="1"/>
  <c r="M41" i="1"/>
  <c r="M39" i="1" s="1"/>
  <c r="M44" i="1" s="1"/>
  <c r="K47" i="1"/>
  <c r="K52" i="1" s="1"/>
  <c r="BF24" i="6"/>
  <c r="AF18" i="6"/>
  <c r="W18" i="6"/>
  <c r="P34" i="2"/>
  <c r="P32" i="2" s="1"/>
  <c r="M24" i="1"/>
  <c r="M23" i="1" s="1"/>
  <c r="BF5" i="6"/>
  <c r="V27" i="1"/>
  <c r="H47" i="1"/>
  <c r="W22" i="2"/>
  <c r="W21" i="2" s="1"/>
  <c r="Y21" i="2" s="1"/>
  <c r="X27" i="1"/>
  <c r="K32" i="2"/>
  <c r="K36" i="2" s="1"/>
  <c r="K54" i="2" s="1"/>
  <c r="AC47" i="6" s="1"/>
  <c r="BF6" i="6"/>
  <c r="Q47" i="2"/>
  <c r="Q52" i="2" s="1"/>
  <c r="Q54" i="2" s="1"/>
  <c r="AI47" i="6" s="1"/>
  <c r="BF23" i="6"/>
  <c r="G16" i="3"/>
  <c r="D15" i="3"/>
  <c r="W42" i="2"/>
  <c r="W39" i="2" s="1"/>
  <c r="I39" i="2"/>
  <c r="I44" i="2" s="1"/>
  <c r="I54" i="2" s="1"/>
  <c r="AA47" i="6" s="1"/>
  <c r="D29" i="4"/>
  <c r="P31" i="2"/>
  <c r="R33" i="2"/>
  <c r="R32" i="2" s="1"/>
  <c r="H24" i="1"/>
  <c r="H34" i="1"/>
  <c r="V34" i="1"/>
  <c r="S32" i="1"/>
  <c r="S36" i="1" s="1"/>
  <c r="S54" i="1" s="1"/>
  <c r="R49" i="2"/>
  <c r="R47" i="2" s="1"/>
  <c r="R52" i="2" s="1"/>
  <c r="AZ45" i="6"/>
  <c r="R49" i="1" s="1"/>
  <c r="R47" i="1" s="1"/>
  <c r="R52" i="1" s="1"/>
  <c r="AT44" i="6"/>
  <c r="L51" i="2"/>
  <c r="L47" i="2" s="1"/>
  <c r="L52" i="2" s="1"/>
  <c r="K36" i="1"/>
  <c r="J49" i="2"/>
  <c r="AR45" i="6"/>
  <c r="M17" i="2"/>
  <c r="M27" i="2" s="1"/>
  <c r="M54" i="2" s="1"/>
  <c r="AE47" i="6" s="1"/>
  <c r="P17" i="1"/>
  <c r="P27" i="1" s="1"/>
  <c r="X32" i="1"/>
  <c r="X36" i="1" s="1"/>
  <c r="X54" i="1" s="1"/>
  <c r="X32" i="2"/>
  <c r="L32" i="2"/>
  <c r="L36" i="2" s="1"/>
  <c r="BF31" i="6"/>
  <c r="U32" i="1"/>
  <c r="U36" i="1" s="1"/>
  <c r="R25" i="2"/>
  <c r="R23" i="2" s="1"/>
  <c r="R27" i="2" s="1"/>
  <c r="AY34" i="6"/>
  <c r="Q25" i="1" s="1"/>
  <c r="Q23" i="1" s="1"/>
  <c r="Q34" i="1"/>
  <c r="D35" i="3"/>
  <c r="G35" i="4"/>
  <c r="F27" i="1"/>
  <c r="F54" i="1" s="1"/>
  <c r="O32" i="1"/>
  <c r="O36" i="1" s="1"/>
  <c r="O54" i="1" s="1"/>
  <c r="N49" i="2"/>
  <c r="AV45" i="6"/>
  <c r="N49" i="1" s="1"/>
  <c r="N47" i="1" s="1"/>
  <c r="N52" i="1" s="1"/>
  <c r="S18" i="2"/>
  <c r="S17" i="2" s="1"/>
  <c r="S27" i="2" s="1"/>
  <c r="BC35" i="6"/>
  <c r="U25" i="1" s="1"/>
  <c r="U23" i="1" s="1"/>
  <c r="U27" i="1" s="1"/>
  <c r="AY37" i="6"/>
  <c r="Q48" i="1" s="1"/>
  <c r="Q47" i="1" s="1"/>
  <c r="Q52" i="1" s="1"/>
  <c r="AU37" i="6"/>
  <c r="I33" i="1"/>
  <c r="N18" i="2"/>
  <c r="P51" i="2"/>
  <c r="P47" i="2" s="1"/>
  <c r="P52" i="2" s="1"/>
  <c r="BC37" i="6"/>
  <c r="T33" i="1"/>
  <c r="AY41" i="6"/>
  <c r="Q22" i="1" s="1"/>
  <c r="Q21" i="1" s="1"/>
  <c r="P33" i="1"/>
  <c r="P32" i="1" s="1"/>
  <c r="AU41" i="6"/>
  <c r="M22" i="1" s="1"/>
  <c r="M21" i="1" s="1"/>
  <c r="L33" i="1"/>
  <c r="L32" i="1" s="1"/>
  <c r="AQ41" i="6"/>
  <c r="AQ34" i="6"/>
  <c r="I34" i="1"/>
  <c r="R31" i="2"/>
  <c r="R30" i="2" s="1"/>
  <c r="AP36" i="6"/>
  <c r="V33" i="1"/>
  <c r="V32" i="1" s="1"/>
  <c r="V36" i="1" s="1"/>
  <c r="V54" i="1" s="1"/>
  <c r="BC39" i="6"/>
  <c r="BF39" i="6" s="1"/>
  <c r="BB38" i="6"/>
  <c r="T34" i="1"/>
  <c r="R34" i="1"/>
  <c r="R32" i="1" s="1"/>
  <c r="R36" i="1" s="1"/>
  <c r="Q33" i="1"/>
  <c r="Q32" i="1" s="1"/>
  <c r="Q36" i="1" s="1"/>
  <c r="AX36" i="6"/>
  <c r="P48" i="1" s="1"/>
  <c r="P47" i="1" s="1"/>
  <c r="P52" i="1" s="1"/>
  <c r="P31" i="1"/>
  <c r="P30" i="1" s="1"/>
  <c r="N34" i="1"/>
  <c r="N32" i="1" s="1"/>
  <c r="N36" i="1" s="1"/>
  <c r="M33" i="1"/>
  <c r="M32" i="1" s="1"/>
  <c r="M36" i="1" s="1"/>
  <c r="AT36" i="6"/>
  <c r="L48" i="1" s="1"/>
  <c r="L31" i="1"/>
  <c r="J34" i="1"/>
  <c r="J32" i="1" s="1"/>
  <c r="J36" i="1" s="1"/>
  <c r="I47" i="1" l="1"/>
  <c r="I52" i="1" s="1"/>
  <c r="S54" i="2"/>
  <c r="AK47" i="6" s="1"/>
  <c r="W44" i="2"/>
  <c r="Y39" i="2"/>
  <c r="Y44" i="2" s="1"/>
  <c r="L30" i="1"/>
  <c r="W31" i="1"/>
  <c r="W30" i="1" s="1"/>
  <c r="BF36" i="6"/>
  <c r="I22" i="1"/>
  <c r="BF41" i="6"/>
  <c r="N17" i="2"/>
  <c r="W18" i="2"/>
  <c r="W17" i="2" s="1"/>
  <c r="Y17" i="2" s="1"/>
  <c r="H23" i="1"/>
  <c r="H27" i="1" s="1"/>
  <c r="W24" i="1"/>
  <c r="G15" i="3"/>
  <c r="G30" i="3" s="1"/>
  <c r="D30" i="3"/>
  <c r="M27" i="1"/>
  <c r="N23" i="2"/>
  <c r="N27" i="2" s="1"/>
  <c r="W25" i="2"/>
  <c r="W23" i="2" s="1"/>
  <c r="W34" i="2"/>
  <c r="W41" i="1"/>
  <c r="W39" i="1" s="1"/>
  <c r="L47" i="1"/>
  <c r="L52" i="1" s="1"/>
  <c r="T48" i="1"/>
  <c r="T47" i="1" s="1"/>
  <c r="T52" i="1" s="1"/>
  <c r="T54" i="1" s="1"/>
  <c r="BF38" i="6"/>
  <c r="L36" i="1"/>
  <c r="T32" i="1"/>
  <c r="T36" i="1" s="1"/>
  <c r="W33" i="1"/>
  <c r="I32" i="1"/>
  <c r="I36" i="1" s="1"/>
  <c r="Q27" i="1"/>
  <c r="Q54" i="1" s="1"/>
  <c r="L54" i="2"/>
  <c r="AD47" i="6" s="1"/>
  <c r="AP53" i="6"/>
  <c r="K54" i="1"/>
  <c r="Z47" i="6"/>
  <c r="B17" i="5"/>
  <c r="B21" i="5" s="1"/>
  <c r="U48" i="1"/>
  <c r="U47" i="1" s="1"/>
  <c r="U52" i="1" s="1"/>
  <c r="U54" i="1" s="1"/>
  <c r="M48" i="1"/>
  <c r="M47" i="1" s="1"/>
  <c r="M52" i="1" s="1"/>
  <c r="M54" i="1" s="1"/>
  <c r="BF37" i="6"/>
  <c r="N54" i="1"/>
  <c r="X36" i="2"/>
  <c r="X54" i="2" s="1"/>
  <c r="Y32" i="2"/>
  <c r="J49" i="1"/>
  <c r="BF45" i="6"/>
  <c r="L51" i="1"/>
  <c r="W51" i="1" s="1"/>
  <c r="BF44" i="6"/>
  <c r="R36" i="2"/>
  <c r="R54" i="2" s="1"/>
  <c r="AJ47" i="6" s="1"/>
  <c r="W33" i="2"/>
  <c r="W32" i="2" s="1"/>
  <c r="W48" i="2"/>
  <c r="J47" i="2"/>
  <c r="I25" i="1"/>
  <c r="BF34" i="6"/>
  <c r="P36" i="1"/>
  <c r="P54" i="1" s="1"/>
  <c r="D34" i="3"/>
  <c r="G34" i="3" s="1"/>
  <c r="G35" i="3"/>
  <c r="G36" i="3" s="1"/>
  <c r="D36" i="3"/>
  <c r="W49" i="2"/>
  <c r="R54" i="1"/>
  <c r="H32" i="1"/>
  <c r="H36" i="1" s="1"/>
  <c r="W34" i="1"/>
  <c r="P30" i="2"/>
  <c r="P36" i="2" s="1"/>
  <c r="P54" i="2" s="1"/>
  <c r="AH47" i="6" s="1"/>
  <c r="W31" i="2"/>
  <c r="W30" i="2" s="1"/>
  <c r="Y30" i="2" s="1"/>
  <c r="H52" i="1"/>
  <c r="BF18" i="6"/>
  <c r="N50" i="2"/>
  <c r="W50" i="2" s="1"/>
  <c r="W51" i="2"/>
  <c r="W44" i="1" l="1"/>
  <c r="Y39" i="1"/>
  <c r="Y44" i="1" s="1"/>
  <c r="Y30" i="1"/>
  <c r="Y36" i="1" s="1"/>
  <c r="H54" i="1"/>
  <c r="N47" i="2"/>
  <c r="N52" i="2" s="1"/>
  <c r="N54" i="2" s="1"/>
  <c r="AF47" i="6" s="1"/>
  <c r="W36" i="2"/>
  <c r="W32" i="1"/>
  <c r="Y32" i="1" s="1"/>
  <c r="I23" i="1"/>
  <c r="I27" i="1" s="1"/>
  <c r="I54" i="1" s="1"/>
  <c r="W25" i="1"/>
  <c r="W23" i="1" s="1"/>
  <c r="W49" i="1"/>
  <c r="J47" i="1"/>
  <c r="W27" i="2"/>
  <c r="Y23" i="2"/>
  <c r="I21" i="1"/>
  <c r="W22" i="1"/>
  <c r="W21" i="1" s="1"/>
  <c r="Y21" i="1" s="1"/>
  <c r="W48" i="1"/>
  <c r="J52" i="2"/>
  <c r="J54" i="2" s="1"/>
  <c r="AB47" i="6" s="1"/>
  <c r="Y36" i="2"/>
  <c r="L54" i="1"/>
  <c r="Y27" i="2"/>
  <c r="W27" i="1" l="1"/>
  <c r="Y23" i="1"/>
  <c r="Y27" i="1"/>
  <c r="J52" i="1"/>
  <c r="J54" i="1" s="1"/>
  <c r="W47" i="1"/>
  <c r="W47" i="2"/>
  <c r="W36" i="1"/>
  <c r="W52" i="2" l="1"/>
  <c r="W54" i="2" s="1"/>
  <c r="Y47" i="2"/>
  <c r="Y52" i="2" s="1"/>
  <c r="Y54" i="2" s="1"/>
  <c r="W52" i="1"/>
  <c r="W54" i="1" s="1"/>
  <c r="Y47" i="1"/>
  <c r="Y52" i="1" s="1"/>
  <c r="Y54" i="1" s="1"/>
</calcChain>
</file>

<file path=xl/sharedStrings.xml><?xml version="1.0" encoding="utf-8"?>
<sst xmlns="http://schemas.openxmlformats.org/spreadsheetml/2006/main" count="542" uniqueCount="264">
  <si>
    <t>Detailed Financial Plan - Commitments</t>
  </si>
  <si>
    <t>Country:</t>
  </si>
  <si>
    <t>Accountable Entity:</t>
  </si>
  <si>
    <t>Grant Number:</t>
  </si>
  <si>
    <t>Date Submitted:</t>
  </si>
  <si>
    <t>Quarter #</t>
  </si>
  <si>
    <t>Forecasted Commitments for -&gt;</t>
  </si>
  <si>
    <t>Cumulative</t>
  </si>
  <si>
    <t>Current Period</t>
  </si>
  <si>
    <t>Next Period</t>
  </si>
  <si>
    <t>Projections for Future Quarters</t>
  </si>
  <si>
    <t>TOTAL</t>
  </si>
  <si>
    <t>Variance</t>
  </si>
  <si>
    <t>Actual Cumulative Commitments at Beginning of Current Period</t>
  </si>
  <si>
    <t>Projected Commitments during Current Period</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</si>
  <si>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</si>
  <si>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</si>
  <si>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</si>
  <si>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Jul '16
Sep '16</t>
  </si>
  <si>
    <t>Oct '16
Dec '16</t>
  </si>
  <si>
    <t>Jan '17
Mar '17</t>
  </si>
  <si>
    <t>Apr '17
Jun '17</t>
  </si>
  <si>
    <t>Jul '17
Aug '17</t>
  </si>
  <si>
    <t>From QFR Schedule B - Column 5</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</si>
  <si>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</si>
  <si>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</si>
  <si>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</si>
  <si>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</si>
  <si>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</si>
  <si>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</si>
  <si>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</si>
  <si>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</si>
  <si>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</si>
  <si>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</si>
  <si>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</si>
  <si>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</si>
  <si>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</si>
  <si>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</si>
  <si>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</si>
  <si>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</si>
  <si>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 This activity is MCC-Managed</t>
  </si>
  <si>
    <t>Schedule B.  Summary of Multi-Year Financial Plan Adjustments to Date</t>
  </si>
  <si>
    <t>Amounts Expressed in US Dollars</t>
  </si>
  <si>
    <t>DISBURSEMENT REQUEST</t>
  </si>
  <si>
    <t xml:space="preserve">THRESHOLD PROGRAM GRANT AGREEMENT </t>
  </si>
  <si>
    <t>Country</t>
  </si>
  <si>
    <t>Projects</t>
  </si>
  <si>
    <t>Theshold Program / Program Administration and Monitoring and Evaluation</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</si>
  <si>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</si>
  <si>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</si>
  <si>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</si>
  <si>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</si>
  <si>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</si>
  <si>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</si>
  <si>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</si>
  <si>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</si>
  <si>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</si>
  <si>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</si>
  <si>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</si>
  <si>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</si>
  <si>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</si>
  <si>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</si>
  <si>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</si>
  <si>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</si>
  <si>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</si>
  <si>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</si>
  <si>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</si>
  <si>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</si>
  <si>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</si>
  <si>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Name: ___</t>
  </si>
  <si>
    <t>Date:  _____________________________________________________________</t>
  </si>
  <si>
    <t xml:space="preserve">Name: </t>
  </si>
  <si>
    <t>Date:  ______________________________________________________________</t>
  </si>
  <si>
    <t>TOTAL - Education</t>
  </si>
  <si>
    <t>TOTAL - Resource Mobilization</t>
  </si>
  <si>
    <t>Jan '18
Mar '18</t>
  </si>
  <si>
    <t>Apr '18
Jun '18</t>
  </si>
  <si>
    <t>Jul '18
Aug '18</t>
  </si>
  <si>
    <t>Oct '17
Dec '17</t>
  </si>
  <si>
    <t>Oct '18
Dec '18</t>
  </si>
  <si>
    <t>Jan '19
Mar '19</t>
  </si>
  <si>
    <t>Apr '19
Jun '19</t>
  </si>
  <si>
    <t>Signed by the  Executive Director of PRONACOM</t>
  </si>
  <si>
    <t>Guatemala</t>
  </si>
  <si>
    <t>PRONACOM</t>
  </si>
  <si>
    <t>TR14GTM15001</t>
  </si>
  <si>
    <t>Grant Quarter #2</t>
  </si>
  <si>
    <t>Grant Quarter #3</t>
  </si>
  <si>
    <t>Grant Quarter #4</t>
  </si>
  <si>
    <t>Grant Quarter #5</t>
  </si>
  <si>
    <t>Grant Quarter #6</t>
  </si>
  <si>
    <t>Grant Quarter #7</t>
  </si>
  <si>
    <t>Grant Quarter #8</t>
  </si>
  <si>
    <t>Grant Quarter #10</t>
  </si>
  <si>
    <t>Grant Quarter #11</t>
  </si>
  <si>
    <t>Grant Quarter #12</t>
  </si>
  <si>
    <t>Grant Quarter #13</t>
  </si>
  <si>
    <t>Grant Quarter #14</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</si>
  <si>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</si>
  <si>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</si>
  <si>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</si>
  <si>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</si>
  <si>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</si>
  <si>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</si>
  <si>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</si>
  <si>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</si>
  <si>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</si>
  <si>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</si>
  <si>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</si>
  <si>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</si>
  <si>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</si>
  <si>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</si>
  <si>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Adjustment Reported/
Approved
(insert date)</t>
  </si>
  <si>
    <t xml:space="preserve">   Activity (code)</t>
  </si>
  <si>
    <t>N/A</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</si>
  <si>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</si>
  <si>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</si>
  <si>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</si>
  <si>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</si>
  <si>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</si>
  <si>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</si>
  <si>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</si>
  <si>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</si>
  <si>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</si>
  <si>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</si>
  <si>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</si>
  <si>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</si>
  <si>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</si>
  <si>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</si>
  <si>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</si>
  <si>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</si>
  <si>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</si>
  <si>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</si>
  <si>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</si>
  <si>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</si>
  <si>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</si>
  <si>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</si>
  <si>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</si>
  <si>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</si>
  <si>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</si>
  <si>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</si>
  <si>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</si>
  <si>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</si>
  <si>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</si>
  <si>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</si>
  <si>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</si>
  <si>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</si>
  <si>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</si>
  <si>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</si>
  <si>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</si>
  <si>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This activity is partially MCC-Managed</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</si>
  <si>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</si>
  <si>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</si>
  <si>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</si>
  <si>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</si>
  <si>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</si>
  <si>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</si>
  <si>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</si>
  <si>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</si>
  <si>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</si>
  <si>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</si>
  <si>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</si>
  <si>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</si>
  <si>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</si>
  <si>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</si>
  <si>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</si>
  <si>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</si>
  <si>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</si>
  <si>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</si>
  <si>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</si>
  <si>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r>
      <t xml:space="preserve">F.  Definitions:  </t>
    </r>
    <r>
      <rPr>
        <sz val="10"/>
        <rFont val="Arial"/>
        <family val="2"/>
      </rPr>
      <t xml:space="preserve">Capitalized terms used herein shall have the meanings assigned to such terms in the Threshold Program Agreement by and between the Government of Honduras and the United States, acting through the Millennium Challenge Corporation, dated April 8, 2015, and entered into force on May 15, 2016. </t>
    </r>
  </si>
  <si>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</si>
  <si>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</si>
  <si>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</si>
  <si>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</si>
  <si>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</si>
  <si>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</si>
  <si>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</si>
  <si>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</si>
  <si>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</si>
  <si>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</si>
  <si>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</si>
  <si>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</si>
  <si>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</si>
  <si>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</si>
  <si>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</si>
  <si>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</si>
  <si>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</si>
  <si>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</si>
  <si>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</si>
  <si>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</si>
  <si>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</si>
  <si>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</si>
  <si>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</si>
  <si>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</si>
  <si>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</si>
  <si>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</si>
  <si>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</si>
  <si>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</si>
  <si>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</si>
  <si>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</si>
  <si>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</si>
  <si>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</si>
  <si>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</si>
  <si>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</si>
  <si>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</si>
  <si>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</si>
  <si>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</si>
  <si>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</si>
  <si>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</si>
  <si>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</si>
  <si>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</si>
  <si>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q6</t>
  </si>
  <si>
    <t>q7</t>
  </si>
  <si>
    <t>Recurring Expenses for which commitments will  be made in same quarter as expense.</t>
  </si>
  <si>
    <t>Salary Type Expenses</t>
  </si>
  <si>
    <t>Cash by quarter</t>
  </si>
  <si>
    <t>Committments by quarter</t>
  </si>
  <si>
    <t>q2</t>
  </si>
  <si>
    <t>q5</t>
  </si>
  <si>
    <t>q1</t>
  </si>
  <si>
    <t>q4</t>
  </si>
  <si>
    <t>check Cash=comm</t>
  </si>
  <si>
    <t>Grant Quarter #15</t>
  </si>
  <si>
    <t>Grant Quarter #16</t>
  </si>
  <si>
    <t>Jul '19
Aug '19</t>
  </si>
  <si>
    <t>Oct '19
Dec '19</t>
  </si>
  <si>
    <t>Jan '20
Mar '20</t>
  </si>
  <si>
    <t>Column 18</t>
  </si>
  <si>
    <t>Column 19</t>
  </si>
  <si>
    <t>Actual Cumulative Disbursements at Beginning of Current Period</t>
  </si>
  <si>
    <t>Projected Disbursements during Current Period</t>
  </si>
  <si>
    <t>Out of Cycle Report:  Yes [ ] | No [ x ]</t>
  </si>
  <si>
    <t xml:space="preserve">  </t>
  </si>
  <si>
    <t>YZ</t>
  </si>
  <si>
    <t>Adjust</t>
  </si>
  <si>
    <t>Diferencia Componente Educación ($.19.3 M)</t>
  </si>
  <si>
    <t>M&amp;E</t>
  </si>
  <si>
    <t>Diferencia Componente 4 ($800 K)</t>
  </si>
  <si>
    <t>Total Adelantos por Trimestre</t>
  </si>
  <si>
    <t>Total Diferencias</t>
  </si>
  <si>
    <t>Total Donación</t>
  </si>
  <si>
    <t>Total Comprometido a la fecha</t>
  </si>
  <si>
    <t>(1)</t>
  </si>
  <si>
    <t>(2)</t>
  </si>
  <si>
    <t>(3)</t>
  </si>
  <si>
    <t>(4)</t>
  </si>
  <si>
    <t>(5)</t>
  </si>
  <si>
    <t>(6)</t>
  </si>
  <si>
    <t>(7)</t>
  </si>
  <si>
    <t>Adicional $500,000 al contrato de MINEDU para Fortalacimiento Institucional</t>
  </si>
  <si>
    <t>Agregar desglose de desembolsos de $.1.6 M de componente de Aduanas</t>
  </si>
  <si>
    <t>Agregar desgolose de desembolsos por $.1.7 M para Monitoreo y Evaluación del MCC</t>
  </si>
  <si>
    <t>Reducción de $.6,000 en talleres y comunicaciones (resdistribución pago de Coordinador del Programa Umbral)</t>
  </si>
  <si>
    <t>Adicional $.6,000 para pago al Coordinador del Programa Umbral  (1.5 meses no cubiertos x PRONACOM)</t>
  </si>
  <si>
    <t>Agregar desglose de desembolsos  ($.4.3 M) para Firma Consultora de Formación para el Trabajo</t>
  </si>
  <si>
    <t>Disminuir $.50,000 para el pago de auditorías (redistribución en otros rubros del presupuesto)</t>
  </si>
  <si>
    <t>q15</t>
  </si>
  <si>
    <t>Jul '16</t>
  </si>
  <si>
    <t>Aug '16</t>
  </si>
  <si>
    <t>Sep '16</t>
  </si>
  <si>
    <t>MCC (Acting Fiscal Agent)</t>
  </si>
  <si>
    <t>April 8, 2015/May 15, 2016</t>
  </si>
  <si>
    <t>Certified by Finance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</si>
</sst>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quot;$&quot;* #,##0.00_);_(&quot;$&quot;* \(#,##0.00\);_(&quot;$&quot;* &quot;-&quot;??_);_(@_)"/>
    <numFmt numFmtId="165" formatCode="_(* #,##0.00_);_(* \(#,##0.00\);_(* &quot;-&quot;??_);_(@_)"/>
    <numFmt numFmtId="166" formatCode="_(* #,##0_);_(* \(#,##0\);_(* &quot;-&quot;??_);_(@_)"/>
    <numFmt numFmtId="167" formatCode="0_);[Red]\(0\)"/>
    <numFmt numFmtId="168" formatCode="[$-409]mmmm\ d\,\ yyyy;@"/>
    <numFmt numFmtId="169" formatCode="[$-409]mmm\-yy;@"/>
    <numFmt numFmtId="170" formatCode="m/d/yy;@"/>
    <numFmt numFmtId="171" formatCode="_(&quot;$&quot;* #,##0_);_(&quot;$&quot;* \(#,##0\);_(&quot;$&quot;* &quot;-&quot;??_);_(@_)"/>
    <numFmt numFmtId="172" formatCode="0.0%"/>
  </numFmts>
  <fonts count="32" x14ac:knownFonts="1">
    <font>
      <sz val="11"/>
      <color theme="1"/>
      <name val="Calibri"/>
      <family val="2"/>
      <scheme val="minor"/>
    </font>
    <font>
      <sz val="11"/>
      <color theme="1"/>
      <name val="Calibri"/>
      <family val="2"/>
      <scheme val="minor"/>
    </font>
    <font>
      <sz val="10"/>
      <name val="Arial"/>
      <family val="2"/>
    </font>
    <font>
      <b/>
      <sz val="10"/>
      <name val="Arial Narrow"/>
      <family val="2"/>
    </font>
    <font>
      <b/>
      <sz val="10"/>
      <name val="Arial"/>
      <family val="2"/>
    </font>
    <font>
      <b/>
      <u/>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name val="Arial"/>
      <family val="2"/>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b/>
      <sz val="11"/>
      <color theme="0"/>
      <name val="Calibri"/>
      <family val="2"/>
      <scheme val="minor"/>
    </font>
    <font>
      <sz val="11"/>
      <color rgb="FFC00000"/>
      <name val="Calibri"/>
      <family val="2"/>
      <scheme val="minor"/>
    </font>
    <font>
      <b/>
      <sz val="11"/>
      <color rgb="FFC00000"/>
      <name val="Calibri"/>
      <family val="2"/>
      <scheme val="minor"/>
    </font>
    <font>
      <b/>
      <sz val="9"/>
      <color theme="1"/>
      <name val="Calibri"/>
      <family val="2"/>
      <scheme val="minor"/>
    </font>
    <font>
      <b/>
      <sz val="8"/>
      <color theme="1"/>
      <name val="Calibri"/>
      <family val="2"/>
      <scheme val="minor"/>
    </font>
  </fonts>
  <fills count="28">
    <fill>
      <patternFill patternType="none"/>
    </fill>
    <fill>
      <patternFill patternType="gray125"/>
    </fill>
    <fill>
      <patternFill patternType="solid">
        <fgColor indexed="8"/>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theme="0" tint="-0.249977111117893"/>
        <bgColor indexed="64"/>
      </patternFill>
    </fill>
    <fill>
      <patternFill patternType="solid">
        <fgColor rgb="FF99CCFF"/>
        <bgColor indexed="64"/>
      </patternFill>
    </fill>
    <fill>
      <patternFill patternType="solid">
        <fgColor indexed="22"/>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darkTrellis"/>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7"/>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7030A0"/>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8" tint="-0.499984740745262"/>
        <bgColor indexed="64"/>
      </patternFill>
    </fill>
    <fill>
      <patternFill patternType="solid">
        <fgColor theme="0" tint="-0.34998626667073579"/>
        <bgColor indexed="64"/>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top/>
      <bottom style="thin">
        <color auto="1"/>
      </bottom>
      <diagonal/>
    </border>
    <border>
      <left style="thin">
        <color indexed="55"/>
      </left>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5">
    <xf numFmtId="0" fontId="0" fillId="0" borderId="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164" fontId="1" fillId="0" borderId="0" applyFont="0" applyFill="0" applyBorder="0" applyAlignment="0" applyProtection="0"/>
    <xf numFmtId="0" fontId="25" fillId="0" borderId="0"/>
    <xf numFmtId="43" fontId="25" fillId="0" borderId="0" applyFont="0" applyFill="0" applyBorder="0" applyAlignment="0" applyProtection="0"/>
  </cellStyleXfs>
  <cellXfs count="372">
    <xf numFmtId="0" fontId="0" fillId="0" borderId="0" xfId="0"/>
    <xf numFmtId="166" fontId="2" fillId="0" borderId="0" xfId="2" applyNumberFormat="1"/>
    <xf numFmtId="166" fontId="3" fillId="0" borderId="1" xfId="3" applyNumberFormat="1" applyFont="1" applyBorder="1"/>
    <xf numFmtId="166" fontId="2" fillId="0" borderId="2" xfId="2" applyNumberFormat="1" applyFill="1" applyBorder="1"/>
    <xf numFmtId="166" fontId="2" fillId="0" borderId="3" xfId="2" applyNumberFormat="1" applyBorder="1"/>
    <xf numFmtId="166" fontId="2" fillId="0" borderId="0" xfId="2" applyNumberFormat="1" applyBorder="1"/>
    <xf numFmtId="167" fontId="2" fillId="0" borderId="0" xfId="2" applyNumberFormat="1"/>
    <xf numFmtId="0" fontId="2" fillId="0" borderId="0" xfId="4"/>
    <xf numFmtId="166" fontId="4" fillId="0" borderId="1" xfId="2" applyNumberFormat="1" applyFont="1" applyBorder="1"/>
    <xf numFmtId="166" fontId="2" fillId="0" borderId="0" xfId="2" applyNumberFormat="1" applyFont="1"/>
    <xf numFmtId="0" fontId="2" fillId="0" borderId="0" xfId="4" applyBorder="1"/>
    <xf numFmtId="166" fontId="2" fillId="0" borderId="4" xfId="2" applyNumberFormat="1" applyFill="1" applyBorder="1" applyAlignment="1">
      <alignment horizontal="right"/>
    </xf>
    <xf numFmtId="166" fontId="2" fillId="0" borderId="5" xfId="2" applyNumberFormat="1" applyFill="1" applyBorder="1"/>
    <xf numFmtId="0" fontId="0" fillId="0" borderId="6" xfId="0" applyBorder="1" applyAlignment="1">
      <alignment horizontal="left" indent="1"/>
    </xf>
    <xf numFmtId="166" fontId="2" fillId="0" borderId="7" xfId="2" applyNumberFormat="1" applyFill="1" applyBorder="1" applyAlignment="1">
      <alignment horizontal="right"/>
    </xf>
    <xf numFmtId="166" fontId="2" fillId="0" borderId="0" xfId="2" applyNumberFormat="1" applyFill="1" applyBorder="1"/>
    <xf numFmtId="0" fontId="0" fillId="0" borderId="8" xfId="0" applyBorder="1" applyAlignment="1">
      <alignment horizontal="left" indent="1"/>
    </xf>
    <xf numFmtId="166" fontId="2" fillId="0" borderId="7" xfId="2" applyNumberFormat="1" applyFont="1" applyFill="1" applyBorder="1" applyAlignment="1">
      <alignment horizontal="right"/>
    </xf>
    <xf numFmtId="168" fontId="0" fillId="0" borderId="8" xfId="0" applyNumberFormat="1" applyBorder="1" applyAlignment="1">
      <alignment horizontal="left" indent="1"/>
    </xf>
    <xf numFmtId="166" fontId="2" fillId="0" borderId="9" xfId="2" applyNumberFormat="1" applyFont="1" applyBorder="1" applyAlignment="1">
      <alignment horizontal="right"/>
    </xf>
    <xf numFmtId="166" fontId="2" fillId="0" borderId="10" xfId="2" applyNumberFormat="1" applyFill="1" applyBorder="1" applyAlignment="1"/>
    <xf numFmtId="166" fontId="2" fillId="0" borderId="0" xfId="2" applyNumberFormat="1" applyAlignment="1"/>
    <xf numFmtId="166" fontId="2" fillId="0" borderId="0" xfId="2" applyNumberFormat="1" applyFill="1" applyBorder="1" applyAlignment="1">
      <alignment horizontal="center"/>
    </xf>
    <xf numFmtId="166" fontId="2" fillId="0" borderId="0" xfId="2" applyNumberFormat="1" applyBorder="1" applyAlignment="1">
      <alignment horizontal="center"/>
    </xf>
    <xf numFmtId="166" fontId="5" fillId="0" borderId="0" xfId="2" applyNumberFormat="1" applyFont="1" applyBorder="1" applyAlignment="1">
      <alignment horizontal="left"/>
    </xf>
    <xf numFmtId="167" fontId="4" fillId="0" borderId="0" xfId="2" applyNumberFormat="1" applyFont="1" applyFill="1"/>
    <xf numFmtId="166" fontId="4" fillId="0" borderId="0" xfId="2" applyNumberFormat="1" applyFont="1" applyFill="1"/>
    <xf numFmtId="166" fontId="2" fillId="0" borderId="0" xfId="2" applyNumberFormat="1" applyFont="1" applyFill="1" applyBorder="1" applyAlignment="1">
      <alignment horizontal="left"/>
    </xf>
    <xf numFmtId="166" fontId="5" fillId="0" borderId="0" xfId="2" applyNumberFormat="1" applyFont="1" applyFill="1" applyBorder="1" applyAlignment="1">
      <alignment horizontal="left"/>
    </xf>
    <xf numFmtId="0" fontId="2" fillId="0" borderId="0" xfId="4" applyFont="1" applyFill="1" applyBorder="1" applyAlignment="1">
      <alignment horizontal="left"/>
    </xf>
    <xf numFmtId="166" fontId="4" fillId="0" borderId="0" xfId="2" applyNumberFormat="1" applyFont="1" applyFill="1" applyBorder="1"/>
    <xf numFmtId="49" fontId="7" fillId="3" borderId="13" xfId="3" applyNumberFormat="1" applyFont="1" applyFill="1" applyBorder="1" applyAlignment="1">
      <alignment horizontal="center" vertical="center"/>
    </xf>
    <xf numFmtId="49" fontId="7" fillId="4" borderId="12" xfId="3" applyNumberFormat="1" applyFont="1" applyFill="1" applyBorder="1" applyAlignment="1">
      <alignment horizontal="center" vertical="center"/>
    </xf>
    <xf numFmtId="167" fontId="4" fillId="6" borderId="12" xfId="2" applyNumberFormat="1" applyFont="1" applyFill="1" applyBorder="1" applyAlignment="1">
      <alignment horizontal="center" vertical="center"/>
    </xf>
    <xf numFmtId="167" fontId="4" fillId="0" borderId="0" xfId="2" applyNumberFormat="1" applyFont="1" applyFill="1" applyBorder="1" applyAlignment="1">
      <alignment horizontal="center" vertical="center"/>
    </xf>
    <xf numFmtId="49" fontId="3" fillId="3" borderId="13" xfId="3" applyNumberFormat="1" applyFont="1" applyFill="1" applyBorder="1" applyAlignment="1">
      <alignment horizontal="center" vertical="center" wrapText="1"/>
    </xf>
    <xf numFmtId="49" fontId="3" fillId="4" borderId="12" xfId="3" applyNumberFormat="1" applyFont="1" applyFill="1" applyBorder="1" applyAlignment="1">
      <alignment horizontal="center" vertical="center" wrapText="1"/>
    </xf>
    <xf numFmtId="0" fontId="4" fillId="7" borderId="12" xfId="4" applyFont="1" applyFill="1" applyBorder="1" applyAlignment="1">
      <alignment horizontal="center" vertical="center" wrapText="1"/>
    </xf>
    <xf numFmtId="0" fontId="4" fillId="8" borderId="12" xfId="4" applyFont="1" applyFill="1" applyBorder="1" applyAlignment="1">
      <alignment horizontal="center" vertical="center" wrapText="1"/>
    </xf>
    <xf numFmtId="167" fontId="4" fillId="0" borderId="0" xfId="2" applyNumberFormat="1" applyFont="1" applyFill="1" applyBorder="1" applyAlignment="1">
      <alignment horizontal="center" vertical="center" wrapText="1"/>
    </xf>
    <xf numFmtId="166" fontId="2" fillId="0" borderId="13" xfId="2" applyNumberFormat="1" applyBorder="1"/>
    <xf numFmtId="166" fontId="2" fillId="0" borderId="12" xfId="2" applyNumberFormat="1" applyBorder="1"/>
    <xf numFmtId="166" fontId="9" fillId="8" borderId="12" xfId="3" applyNumberFormat="1" applyFont="1" applyFill="1" applyBorder="1" applyAlignment="1">
      <alignment horizontal="center" vertical="center"/>
    </xf>
    <xf numFmtId="49" fontId="3" fillId="3" borderId="16" xfId="3" applyNumberFormat="1" applyFont="1" applyFill="1" applyBorder="1" applyAlignment="1">
      <alignment horizontal="center" vertical="center" wrapText="1"/>
    </xf>
    <xf numFmtId="49" fontId="3" fillId="4" borderId="17" xfId="3" applyNumberFormat="1" applyFont="1" applyFill="1" applyBorder="1" applyAlignment="1">
      <alignment horizontal="center" vertical="center" wrapText="1"/>
    </xf>
    <xf numFmtId="49" fontId="3" fillId="5" borderId="12" xfId="0" applyNumberFormat="1" applyFont="1" applyFill="1" applyBorder="1" applyAlignment="1">
      <alignment horizontal="center" vertical="center" wrapText="1"/>
    </xf>
    <xf numFmtId="166" fontId="4" fillId="5" borderId="12" xfId="2" applyNumberFormat="1" applyFont="1" applyFill="1" applyBorder="1"/>
    <xf numFmtId="49" fontId="7" fillId="4" borderId="12" xfId="3" applyNumberFormat="1" applyFont="1" applyFill="1" applyBorder="1" applyAlignment="1">
      <alignment horizontal="center" vertical="center" wrapText="1"/>
    </xf>
    <xf numFmtId="167" fontId="2" fillId="0" borderId="12" xfId="2" applyNumberFormat="1" applyBorder="1"/>
    <xf numFmtId="166" fontId="4" fillId="8" borderId="12" xfId="2" applyNumberFormat="1" applyFont="1" applyFill="1" applyBorder="1" applyAlignment="1">
      <alignment horizontal="center" vertical="center" wrapText="1"/>
    </xf>
    <xf numFmtId="166" fontId="4" fillId="9" borderId="12" xfId="2" applyNumberFormat="1" applyFont="1" applyFill="1" applyBorder="1" applyAlignment="1">
      <alignment horizontal="center"/>
    </xf>
    <xf numFmtId="166" fontId="4" fillId="9" borderId="13" xfId="2" applyNumberFormat="1" applyFont="1" applyFill="1" applyBorder="1" applyAlignment="1">
      <alignment horizontal="center"/>
    </xf>
    <xf numFmtId="166" fontId="10" fillId="2" borderId="12" xfId="2" applyNumberFormat="1" applyFont="1" applyFill="1" applyBorder="1" applyAlignment="1">
      <alignment wrapText="1"/>
    </xf>
    <xf numFmtId="166" fontId="4" fillId="2" borderId="13" xfId="2" applyNumberFormat="1" applyFont="1" applyFill="1" applyBorder="1" applyAlignment="1">
      <alignment horizontal="center"/>
    </xf>
    <xf numFmtId="166" fontId="4" fillId="2" borderId="12" xfId="2" applyNumberFormat="1" applyFont="1" applyFill="1" applyBorder="1" applyAlignment="1">
      <alignment horizontal="center"/>
    </xf>
    <xf numFmtId="167" fontId="4" fillId="2" borderId="12" xfId="2" applyNumberFormat="1" applyFont="1" applyFill="1" applyBorder="1" applyAlignment="1">
      <alignment horizontal="center"/>
    </xf>
    <xf numFmtId="1" fontId="2" fillId="0" borderId="0" xfId="2" applyNumberFormat="1" applyBorder="1"/>
    <xf numFmtId="166" fontId="3" fillId="5" borderId="12" xfId="2" applyNumberFormat="1" applyFont="1" applyFill="1" applyBorder="1" applyAlignment="1">
      <alignment horizontal="left" vertical="center" wrapText="1"/>
    </xf>
    <xf numFmtId="166" fontId="4" fillId="5" borderId="13" xfId="2" applyNumberFormat="1" applyFont="1" applyFill="1" applyBorder="1"/>
    <xf numFmtId="166" fontId="3" fillId="10" borderId="12" xfId="2" applyNumberFormat="1" applyFont="1" applyFill="1" applyBorder="1" applyAlignment="1">
      <alignment horizontal="left" wrapText="1"/>
    </xf>
    <xf numFmtId="166" fontId="4" fillId="10" borderId="13" xfId="2" applyNumberFormat="1" applyFont="1" applyFill="1" applyBorder="1"/>
    <xf numFmtId="166" fontId="3" fillId="0" borderId="12" xfId="2" applyNumberFormat="1" applyFont="1" applyBorder="1" applyAlignment="1">
      <alignment wrapText="1"/>
    </xf>
    <xf numFmtId="166" fontId="4" fillId="0" borderId="13" xfId="2" applyNumberFormat="1" applyFont="1" applyBorder="1"/>
    <xf numFmtId="166" fontId="4" fillId="0" borderId="12" xfId="2" applyNumberFormat="1" applyFont="1" applyBorder="1"/>
    <xf numFmtId="166" fontId="4" fillId="2" borderId="13" xfId="2" applyNumberFormat="1" applyFont="1" applyFill="1" applyBorder="1"/>
    <xf numFmtId="166" fontId="4" fillId="2" borderId="12" xfId="2" applyNumberFormat="1" applyFont="1" applyFill="1" applyBorder="1"/>
    <xf numFmtId="166" fontId="3" fillId="10" borderId="12" xfId="2" applyNumberFormat="1" applyFont="1" applyFill="1" applyBorder="1" applyAlignment="1">
      <alignment wrapText="1"/>
    </xf>
    <xf numFmtId="1" fontId="2" fillId="0" borderId="0" xfId="4" applyNumberFormat="1" applyBorder="1"/>
    <xf numFmtId="0" fontId="4" fillId="2" borderId="13" xfId="4" applyFont="1" applyFill="1" applyBorder="1"/>
    <xf numFmtId="0" fontId="4" fillId="2" borderId="12" xfId="4" applyFont="1" applyFill="1" applyBorder="1"/>
    <xf numFmtId="0" fontId="2" fillId="0" borderId="13" xfId="4" applyBorder="1"/>
    <xf numFmtId="0" fontId="2" fillId="0" borderId="12" xfId="4" applyBorder="1"/>
    <xf numFmtId="0" fontId="3" fillId="5" borderId="12" xfId="2" applyNumberFormat="1" applyFont="1" applyFill="1" applyBorder="1" applyAlignment="1">
      <alignment horizontal="left" wrapText="1"/>
    </xf>
    <xf numFmtId="166" fontId="3" fillId="5" borderId="12" xfId="2" applyNumberFormat="1" applyFont="1" applyFill="1" applyBorder="1" applyAlignment="1">
      <alignment horizontal="left" wrapText="1"/>
    </xf>
    <xf numFmtId="0" fontId="3" fillId="10" borderId="12" xfId="2" applyNumberFormat="1" applyFont="1" applyFill="1" applyBorder="1" applyAlignment="1">
      <alignment horizontal="left" wrapText="1"/>
    </xf>
    <xf numFmtId="166" fontId="2" fillId="0" borderId="0" xfId="2" applyNumberFormat="1" applyFill="1"/>
    <xf numFmtId="0" fontId="2" fillId="0" borderId="0" xfId="4" applyFont="1"/>
    <xf numFmtId="166" fontId="14" fillId="0" borderId="0" xfId="2" applyNumberFormat="1" applyFont="1"/>
    <xf numFmtId="167" fontId="14" fillId="0" borderId="0" xfId="2" applyNumberFormat="1" applyFont="1"/>
    <xf numFmtId="166" fontId="14" fillId="0" borderId="0" xfId="2" applyNumberFormat="1" applyFont="1" applyFill="1"/>
    <xf numFmtId="0" fontId="4" fillId="0" borderId="4" xfId="0" applyFont="1" applyBorder="1"/>
    <xf numFmtId="0" fontId="0" fillId="0" borderId="5" xfId="0" applyBorder="1"/>
    <xf numFmtId="0" fontId="0" fillId="0" borderId="6" xfId="0" applyBorder="1"/>
    <xf numFmtId="0" fontId="2"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xf numFmtId="0" fontId="2" fillId="0" borderId="0" xfId="0" applyFont="1" applyBorder="1" applyAlignment="1">
      <alignment horizontal="center"/>
    </xf>
    <xf numFmtId="0" fontId="2" fillId="0" borderId="8" xfId="0" applyFont="1" applyBorder="1" applyAlignment="1">
      <alignment horizontal="center"/>
    </xf>
    <xf numFmtId="168" fontId="0" fillId="0" borderId="0" xfId="0" applyNumberFormat="1" applyBorder="1" applyAlignment="1">
      <alignment horizontal="left" indent="1"/>
    </xf>
    <xf numFmtId="0" fontId="2" fillId="0" borderId="9" xfId="0" applyFont="1" applyBorder="1" applyAlignment="1">
      <alignment horizontal="center"/>
    </xf>
    <xf numFmtId="0" fontId="0" fillId="0" borderId="10" xfId="0"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5" fillId="0" borderId="4" xfId="0" applyFont="1" applyBorder="1" applyAlignment="1"/>
    <xf numFmtId="0" fontId="5" fillId="0" borderId="5" xfId="0" applyFont="1" applyBorder="1" applyAlignment="1">
      <alignment horizontal="left"/>
    </xf>
    <xf numFmtId="0" fontId="5" fillId="0" borderId="6" xfId="0" applyFont="1" applyBorder="1" applyAlignment="1">
      <alignment horizontal="left"/>
    </xf>
    <xf numFmtId="166" fontId="2" fillId="0" borderId="0" xfId="1" applyNumberFormat="1" applyFont="1" applyBorder="1"/>
    <xf numFmtId="170" fontId="2" fillId="0" borderId="7" xfId="0" applyNumberFormat="1"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2" fillId="0" borderId="7" xfId="0" applyFont="1" applyBorder="1" applyAlignment="1">
      <alignment horizontal="left"/>
    </xf>
    <xf numFmtId="0" fontId="15" fillId="0" borderId="0" xfId="0" applyFont="1" applyBorder="1" applyAlignment="1"/>
    <xf numFmtId="0" fontId="15" fillId="0" borderId="0" xfId="0" applyFont="1" applyBorder="1"/>
    <xf numFmtId="0" fontId="15" fillId="0" borderId="8" xfId="0" applyFont="1" applyBorder="1"/>
    <xf numFmtId="166" fontId="4" fillId="0" borderId="0" xfId="1" applyNumberFormat="1" applyFont="1" applyBorder="1"/>
    <xf numFmtId="0" fontId="4" fillId="0" borderId="0" xfId="0" applyFont="1"/>
    <xf numFmtId="0" fontId="15" fillId="0" borderId="9" xfId="0" applyFont="1" applyBorder="1" applyAlignment="1"/>
    <xf numFmtId="0" fontId="0" fillId="0" borderId="10" xfId="0" applyBorder="1"/>
    <xf numFmtId="0" fontId="0" fillId="0" borderId="11" xfId="0" applyBorder="1"/>
    <xf numFmtId="0" fontId="16" fillId="0" borderId="1" xfId="0" applyFont="1" applyFill="1" applyBorder="1"/>
    <xf numFmtId="0" fontId="16" fillId="8" borderId="19" xfId="0" applyFont="1" applyFill="1" applyBorder="1" applyAlignment="1">
      <alignment horizont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5" borderId="22" xfId="0" applyFont="1" applyFill="1" applyBorder="1"/>
    <xf numFmtId="0" fontId="16" fillId="0" borderId="17" xfId="0" applyFont="1" applyFill="1" applyBorder="1" applyAlignment="1">
      <alignment horizontal="left"/>
    </xf>
    <xf numFmtId="0" fontId="17" fillId="0" borderId="23" xfId="0" applyFont="1" applyFill="1" applyBorder="1" applyAlignment="1">
      <alignment horizontal="center" wrapText="1"/>
    </xf>
    <xf numFmtId="0" fontId="16" fillId="0" borderId="0" xfId="0" applyFont="1" applyFill="1" applyBorder="1" applyAlignment="1">
      <alignment horizontal="center"/>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5" fillId="0" borderId="26" xfId="0" applyFont="1" applyFill="1" applyBorder="1"/>
    <xf numFmtId="0" fontId="16" fillId="0" borderId="12" xfId="0" applyFont="1" applyFill="1" applyBorder="1" applyAlignment="1">
      <alignment horizontal="center"/>
    </xf>
    <xf numFmtId="0" fontId="16" fillId="0" borderId="27" xfId="0" applyFont="1" applyFill="1" applyBorder="1" applyAlignment="1">
      <alignment horizontal="center"/>
    </xf>
    <xf numFmtId="0" fontId="5" fillId="0" borderId="5" xfId="0" applyFont="1" applyBorder="1" applyAlignment="1"/>
    <xf numFmtId="0" fontId="5" fillId="0" borderId="6" xfId="0" applyFont="1" applyBorder="1" applyAlignment="1"/>
    <xf numFmtId="0" fontId="19" fillId="0" borderId="4" xfId="5" applyFont="1" applyBorder="1"/>
    <xf numFmtId="0" fontId="2" fillId="0" borderId="6" xfId="5" applyBorder="1" applyAlignment="1">
      <alignment horizontal="center"/>
    </xf>
    <xf numFmtId="0" fontId="2" fillId="0" borderId="0" xfId="5"/>
    <xf numFmtId="0" fontId="20" fillId="0" borderId="7" xfId="5" applyFont="1" applyBorder="1"/>
    <xf numFmtId="0" fontId="2" fillId="0" borderId="8" xfId="5" applyBorder="1" applyAlignment="1">
      <alignment horizontal="center"/>
    </xf>
    <xf numFmtId="0" fontId="4" fillId="0" borderId="17" xfId="5" applyFont="1" applyBorder="1"/>
    <xf numFmtId="0" fontId="2" fillId="0" borderId="17" xfId="5" applyFont="1" applyBorder="1" applyAlignment="1">
      <alignment horizontal="left"/>
    </xf>
    <xf numFmtId="0" fontId="4" fillId="0" borderId="12" xfId="5" applyFont="1" applyBorder="1"/>
    <xf numFmtId="0" fontId="2" fillId="0" borderId="12" xfId="4" applyFont="1" applyFill="1" applyBorder="1" applyAlignment="1">
      <alignment horizontal="left" wrapText="1"/>
    </xf>
    <xf numFmtId="0" fontId="2" fillId="0" borderId="0" xfId="4" applyFont="1" applyFill="1" applyBorder="1" applyAlignment="1">
      <alignment wrapText="1"/>
    </xf>
    <xf numFmtId="0" fontId="4" fillId="0" borderId="12" xfId="4" applyFont="1" applyFill="1" applyBorder="1" applyAlignment="1"/>
    <xf numFmtId="0" fontId="2" fillId="0" borderId="12" xfId="5" applyFont="1" applyBorder="1" applyAlignment="1">
      <alignment horizontal="left"/>
    </xf>
    <xf numFmtId="0" fontId="4" fillId="0" borderId="12" xfId="4" applyFont="1" applyFill="1" applyBorder="1" applyAlignment="1">
      <alignment wrapText="1"/>
    </xf>
    <xf numFmtId="0" fontId="2" fillId="0" borderId="12" xfId="5" applyFont="1" applyBorder="1" applyAlignment="1">
      <alignment horizontal="left" wrapText="1"/>
    </xf>
    <xf numFmtId="168" fontId="2" fillId="0" borderId="12" xfId="5" applyNumberFormat="1" applyFont="1" applyBorder="1" applyAlignment="1">
      <alignment horizontal="left"/>
    </xf>
    <xf numFmtId="0" fontId="4" fillId="0" borderId="12" xfId="5" applyFont="1" applyFill="1" applyBorder="1"/>
    <xf numFmtId="0" fontId="4" fillId="0" borderId="12" xfId="5" applyFont="1" applyBorder="1" applyAlignment="1">
      <alignment wrapText="1"/>
    </xf>
    <xf numFmtId="171" fontId="2" fillId="0" borderId="12" xfId="6" applyNumberFormat="1" applyFont="1" applyFill="1" applyBorder="1" applyAlignment="1">
      <alignment horizontal="center"/>
    </xf>
    <xf numFmtId="171" fontId="2" fillId="13" borderId="12" xfId="6" applyNumberFormat="1" applyFont="1" applyFill="1" applyBorder="1" applyAlignment="1">
      <alignment horizontal="center"/>
    </xf>
    <xf numFmtId="171" fontId="2" fillId="0" borderId="12" xfId="6" applyNumberFormat="1" applyFont="1" applyFill="1" applyBorder="1" applyAlignment="1"/>
    <xf numFmtId="0" fontId="17" fillId="12" borderId="12" xfId="5" applyFont="1" applyFill="1" applyBorder="1" applyAlignment="1">
      <alignment horizontal="center" vertical="center" wrapText="1"/>
    </xf>
    <xf numFmtId="0" fontId="2" fillId="0" borderId="31" xfId="5" applyFont="1" applyBorder="1"/>
    <xf numFmtId="0" fontId="2" fillId="0" borderId="32" xfId="5" applyFont="1" applyBorder="1" applyAlignment="1">
      <alignment horizontal="center"/>
    </xf>
    <xf numFmtId="0" fontId="4" fillId="0" borderId="33" xfId="5" applyFont="1" applyBorder="1"/>
    <xf numFmtId="0" fontId="2" fillId="0" borderId="34" xfId="5" applyFont="1" applyBorder="1" applyAlignment="1">
      <alignment horizontal="center"/>
    </xf>
    <xf numFmtId="0" fontId="4" fillId="0" borderId="35" xfId="5" applyFont="1" applyBorder="1"/>
    <xf numFmtId="0" fontId="2" fillId="0" borderId="16" xfId="5" applyFont="1" applyBorder="1" applyAlignment="1">
      <alignment horizontal="center"/>
    </xf>
    <xf numFmtId="0" fontId="4" fillId="0" borderId="36" xfId="5" applyFont="1" applyBorder="1"/>
    <xf numFmtId="0" fontId="2" fillId="0" borderId="35" xfId="5" applyFont="1" applyBorder="1"/>
    <xf numFmtId="0" fontId="2" fillId="0" borderId="0" xfId="5" applyFont="1"/>
    <xf numFmtId="0" fontId="2" fillId="0" borderId="0" xfId="5" applyFont="1" applyAlignment="1">
      <alignment horizontal="center"/>
    </xf>
    <xf numFmtId="0" fontId="2" fillId="0" borderId="0" xfId="5" applyFill="1" applyBorder="1"/>
    <xf numFmtId="0" fontId="2" fillId="0" borderId="0" xfId="5" applyFill="1" applyBorder="1" applyAlignment="1">
      <alignment horizontal="center"/>
    </xf>
    <xf numFmtId="0" fontId="2" fillId="0" borderId="0" xfId="5" applyAlignment="1">
      <alignment horizontal="center"/>
    </xf>
    <xf numFmtId="0" fontId="0" fillId="0" borderId="23" xfId="0" applyBorder="1" applyAlignment="1">
      <alignment horizontal="left" indent="1"/>
    </xf>
    <xf numFmtId="168" fontId="0" fillId="0" borderId="23" xfId="0" applyNumberFormat="1" applyBorder="1" applyAlignment="1">
      <alignment horizontal="left" indent="1"/>
    </xf>
    <xf numFmtId="0" fontId="2" fillId="0" borderId="7" xfId="0" applyFont="1" applyBorder="1" applyAlignment="1"/>
    <xf numFmtId="0" fontId="4" fillId="5" borderId="7" xfId="0" applyFont="1" applyFill="1" applyBorder="1"/>
    <xf numFmtId="0" fontId="15" fillId="0" borderId="4" xfId="0" applyFont="1" applyFill="1" applyBorder="1"/>
    <xf numFmtId="0" fontId="2" fillId="0" borderId="40" xfId="0" applyFont="1" applyFill="1" applyBorder="1"/>
    <xf numFmtId="0" fontId="4" fillId="5" borderId="22" xfId="0" applyFont="1" applyFill="1" applyBorder="1" applyAlignment="1">
      <alignment wrapText="1"/>
    </xf>
    <xf numFmtId="0" fontId="4" fillId="5" borderId="26" xfId="0" applyFont="1" applyFill="1" applyBorder="1" applyAlignment="1">
      <alignment horizontal="left" wrapText="1"/>
    </xf>
    <xf numFmtId="0" fontId="4" fillId="0" borderId="41" xfId="0" applyFont="1" applyFill="1" applyBorder="1" applyAlignment="1">
      <alignment horizontal="center"/>
    </xf>
    <xf numFmtId="4" fontId="4" fillId="5" borderId="12" xfId="0" applyNumberFormat="1" applyFont="1" applyFill="1" applyBorder="1"/>
    <xf numFmtId="165" fontId="4" fillId="5" borderId="12" xfId="0" applyNumberFormat="1" applyFont="1" applyFill="1" applyBorder="1"/>
    <xf numFmtId="4" fontId="4" fillId="5" borderId="27" xfId="0" applyNumberFormat="1" applyFont="1" applyFill="1" applyBorder="1"/>
    <xf numFmtId="4" fontId="2" fillId="12" borderId="12" xfId="0" applyNumberFormat="1" applyFont="1" applyFill="1" applyBorder="1"/>
    <xf numFmtId="165" fontId="2" fillId="0" borderId="12" xfId="0" applyNumberFormat="1" applyFont="1" applyFill="1" applyBorder="1"/>
    <xf numFmtId="4" fontId="2" fillId="12" borderId="27" xfId="0" applyNumberFormat="1" applyFont="1" applyFill="1" applyBorder="1"/>
    <xf numFmtId="4" fontId="4" fillId="12" borderId="27" xfId="0" applyNumberFormat="1" applyFont="1" applyFill="1" applyBorder="1"/>
    <xf numFmtId="0" fontId="4" fillId="14" borderId="42" xfId="0" applyFont="1" applyFill="1" applyBorder="1" applyAlignment="1">
      <alignment horizontal="center"/>
    </xf>
    <xf numFmtId="4" fontId="2" fillId="12" borderId="29" xfId="0" applyNumberFormat="1" applyFont="1" applyFill="1" applyBorder="1"/>
    <xf numFmtId="165" fontId="2" fillId="0" borderId="29" xfId="0" applyNumberFormat="1" applyFont="1" applyFill="1" applyBorder="1"/>
    <xf numFmtId="4" fontId="2" fillId="12" borderId="43" xfId="0" applyNumberFormat="1" applyFont="1" applyFill="1" applyBorder="1"/>
    <xf numFmtId="4" fontId="4" fillId="6" borderId="37" xfId="0" applyNumberFormat="1" applyFont="1" applyFill="1" applyBorder="1"/>
    <xf numFmtId="165" fontId="4" fillId="6" borderId="37" xfId="0" applyNumberFormat="1" applyFont="1" applyFill="1" applyBorder="1"/>
    <xf numFmtId="165" fontId="2" fillId="12" borderId="12" xfId="0" applyNumberFormat="1" applyFont="1" applyFill="1" applyBorder="1"/>
    <xf numFmtId="165" fontId="2" fillId="12" borderId="29" xfId="0" applyNumberFormat="1" applyFont="1" applyFill="1" applyBorder="1"/>
    <xf numFmtId="0" fontId="2" fillId="12" borderId="26" xfId="0" applyFont="1" applyFill="1" applyBorder="1" applyAlignment="1">
      <alignment horizontal="left" vertical="top" wrapText="1"/>
    </xf>
    <xf numFmtId="0" fontId="4" fillId="12" borderId="26" xfId="0" applyFont="1" applyFill="1" applyBorder="1" applyAlignment="1">
      <alignment vertical="top" wrapText="1"/>
    </xf>
    <xf numFmtId="0" fontId="4" fillId="5" borderId="26" xfId="0" applyFont="1" applyFill="1" applyBorder="1" applyAlignment="1">
      <alignment vertical="top" wrapText="1"/>
    </xf>
    <xf numFmtId="0" fontId="4" fillId="5" borderId="26" xfId="0" applyFont="1" applyFill="1" applyBorder="1" applyAlignment="1">
      <alignment horizontal="left" vertical="top" wrapText="1"/>
    </xf>
    <xf numFmtId="0" fontId="4" fillId="12" borderId="28" xfId="0" applyFont="1" applyFill="1" applyBorder="1" applyAlignment="1">
      <alignment vertical="top" wrapText="1"/>
    </xf>
    <xf numFmtId="0" fontId="4" fillId="6" borderId="38" xfId="0" applyFont="1" applyFill="1" applyBorder="1" applyAlignment="1">
      <alignment wrapText="1"/>
    </xf>
    <xf numFmtId="0" fontId="2" fillId="12" borderId="26" xfId="0" applyFont="1" applyFill="1" applyBorder="1" applyAlignment="1">
      <alignment horizontal="left" wrapText="1"/>
    </xf>
    <xf numFmtId="0" fontId="0" fillId="0" borderId="15" xfId="0" applyBorder="1" applyAlignment="1">
      <alignment horizontal="left" indent="1"/>
    </xf>
    <xf numFmtId="168" fontId="0" fillId="0" borderId="15" xfId="0" applyNumberFormat="1" applyBorder="1" applyAlignment="1">
      <alignment horizontal="left" indent="1"/>
    </xf>
    <xf numFmtId="165" fontId="4" fillId="5" borderId="17" xfId="0" applyNumberFormat="1" applyFont="1" applyFill="1" applyBorder="1"/>
    <xf numFmtId="165" fontId="2" fillId="10" borderId="12" xfId="0" applyNumberFormat="1" applyFont="1" applyFill="1" applyBorder="1"/>
    <xf numFmtId="165" fontId="2" fillId="12" borderId="10" xfId="0" applyNumberFormat="1" applyFont="1" applyFill="1" applyBorder="1"/>
    <xf numFmtId="165" fontId="4" fillId="8" borderId="29" xfId="0" applyNumberFormat="1" applyFont="1" applyFill="1" applyBorder="1" applyAlignment="1"/>
    <xf numFmtId="165" fontId="4" fillId="5" borderId="25" xfId="0" applyNumberFormat="1" applyFont="1" applyFill="1" applyBorder="1"/>
    <xf numFmtId="165" fontId="2" fillId="12" borderId="27" xfId="0" applyNumberFormat="1" applyFont="1" applyFill="1" applyBorder="1"/>
    <xf numFmtId="165" fontId="4" fillId="5" borderId="27" xfId="0" applyNumberFormat="1" applyFont="1" applyFill="1" applyBorder="1"/>
    <xf numFmtId="165" fontId="4" fillId="12" borderId="27" xfId="0" applyNumberFormat="1" applyFont="1" applyFill="1" applyBorder="1"/>
    <xf numFmtId="165" fontId="2" fillId="12" borderId="11" xfId="0" applyNumberFormat="1" applyFont="1" applyFill="1" applyBorder="1"/>
    <xf numFmtId="165" fontId="4" fillId="8" borderId="43" xfId="0" applyNumberFormat="1" applyFont="1" applyFill="1" applyBorder="1" applyAlignment="1"/>
    <xf numFmtId="166" fontId="3" fillId="11" borderId="12" xfId="1" applyNumberFormat="1" applyFont="1" applyFill="1" applyBorder="1" applyAlignment="1">
      <alignment horizontal="center"/>
    </xf>
    <xf numFmtId="49" fontId="2" fillId="0" borderId="11" xfId="2" applyNumberFormat="1" applyFont="1" applyBorder="1" applyAlignment="1">
      <alignment horizontal="center"/>
    </xf>
    <xf numFmtId="0" fontId="2" fillId="0" borderId="11" xfId="2" applyNumberFormat="1" applyFont="1" applyBorder="1" applyAlignment="1">
      <alignment horizontal="center"/>
    </xf>
    <xf numFmtId="166" fontId="2" fillId="0" borderId="0" xfId="2" applyNumberFormat="1" applyAlignment="1">
      <alignment vertical="top"/>
    </xf>
    <xf numFmtId="166" fontId="2" fillId="0" borderId="0" xfId="2" applyNumberFormat="1" applyFont="1" applyAlignment="1">
      <alignment vertical="top"/>
    </xf>
    <xf numFmtId="0" fontId="2" fillId="0" borderId="0" xfId="4" applyAlignment="1">
      <alignment vertical="top"/>
    </xf>
    <xf numFmtId="167" fontId="4" fillId="6" borderId="12" xfId="2" applyNumberFormat="1" applyFont="1" applyFill="1" applyBorder="1" applyAlignment="1">
      <alignment horizontal="center" vertical="top"/>
    </xf>
    <xf numFmtId="166" fontId="3" fillId="11" borderId="12" xfId="1" applyNumberFormat="1" applyFont="1" applyFill="1" applyBorder="1" applyAlignment="1">
      <alignment horizontal="center" vertical="top"/>
    </xf>
    <xf numFmtId="166" fontId="4" fillId="2" borderId="12" xfId="2" applyNumberFormat="1" applyFont="1" applyFill="1" applyBorder="1" applyAlignment="1">
      <alignment horizontal="center" vertical="top"/>
    </xf>
    <xf numFmtId="49" fontId="4" fillId="8" borderId="12" xfId="0" applyNumberFormat="1" applyFont="1" applyFill="1" applyBorder="1" applyAlignment="1">
      <alignment horizontal="center" vertical="center" wrapText="1"/>
    </xf>
    <xf numFmtId="165" fontId="4" fillId="5" borderId="13" xfId="2" applyNumberFormat="1" applyFont="1" applyFill="1" applyBorder="1"/>
    <xf numFmtId="165" fontId="4" fillId="10" borderId="13" xfId="2" applyNumberFormat="1" applyFont="1" applyFill="1" applyBorder="1"/>
    <xf numFmtId="165" fontId="4" fillId="5" borderId="12" xfId="2" applyNumberFormat="1" applyFont="1" applyFill="1" applyBorder="1" applyAlignment="1">
      <alignment vertical="top"/>
    </xf>
    <xf numFmtId="165" fontId="4" fillId="10" borderId="12" xfId="2" applyNumberFormat="1" applyFont="1" applyFill="1" applyBorder="1" applyAlignment="1">
      <alignment vertical="top"/>
    </xf>
    <xf numFmtId="166" fontId="23" fillId="15" borderId="12" xfId="2" applyNumberFormat="1" applyFont="1" applyFill="1" applyBorder="1" applyAlignment="1">
      <alignment horizontal="left" vertical="center" wrapText="1"/>
    </xf>
    <xf numFmtId="165" fontId="2" fillId="15" borderId="13" xfId="2" applyNumberFormat="1" applyFont="1" applyFill="1" applyBorder="1"/>
    <xf numFmtId="165" fontId="2" fillId="15" borderId="12" xfId="2" applyNumberFormat="1" applyFont="1" applyFill="1" applyBorder="1"/>
    <xf numFmtId="165" fontId="2" fillId="15" borderId="12" xfId="2" applyNumberFormat="1" applyFont="1" applyFill="1" applyBorder="1" applyAlignment="1">
      <alignment vertical="top"/>
    </xf>
    <xf numFmtId="1" fontId="2" fillId="0" borderId="0" xfId="2" applyNumberFormat="1" applyFont="1" applyBorder="1"/>
    <xf numFmtId="166" fontId="2" fillId="0" borderId="0" xfId="2" applyNumberFormat="1" applyFont="1" applyBorder="1"/>
    <xf numFmtId="166" fontId="2" fillId="0" borderId="13" xfId="2" applyNumberFormat="1" applyFont="1" applyBorder="1"/>
    <xf numFmtId="166" fontId="2" fillId="0" borderId="12" xfId="2" applyNumberFormat="1" applyFont="1" applyBorder="1"/>
    <xf numFmtId="166" fontId="2" fillId="15" borderId="13" xfId="2" applyNumberFormat="1" applyFont="1" applyFill="1" applyBorder="1"/>
    <xf numFmtId="166" fontId="2" fillId="15" borderId="12" xfId="2" applyNumberFormat="1" applyFont="1" applyFill="1" applyBorder="1"/>
    <xf numFmtId="1" fontId="2" fillId="0" borderId="0" xfId="4" applyNumberFormat="1" applyFont="1" applyBorder="1"/>
    <xf numFmtId="0" fontId="23" fillId="15" borderId="12" xfId="2" applyNumberFormat="1" applyFont="1" applyFill="1" applyBorder="1" applyAlignment="1">
      <alignment horizontal="left" wrapText="1"/>
    </xf>
    <xf numFmtId="0" fontId="2" fillId="0" borderId="0" xfId="4" applyFont="1" applyBorder="1"/>
    <xf numFmtId="0" fontId="2" fillId="0" borderId="13" xfId="4" applyFont="1" applyBorder="1"/>
    <xf numFmtId="0" fontId="2" fillId="0" borderId="12" xfId="4" applyFont="1" applyBorder="1"/>
    <xf numFmtId="166" fontId="23" fillId="15" borderId="12" xfId="2" applyNumberFormat="1" applyFont="1" applyFill="1" applyBorder="1" applyAlignment="1">
      <alignment horizontal="left" wrapText="1"/>
    </xf>
    <xf numFmtId="165" fontId="4" fillId="0" borderId="12" xfId="2" applyNumberFormat="1" applyFont="1" applyBorder="1"/>
    <xf numFmtId="165" fontId="4" fillId="2" borderId="12" xfId="2" applyNumberFormat="1" applyFont="1" applyFill="1" applyBorder="1"/>
    <xf numFmtId="165" fontId="4" fillId="0" borderId="12" xfId="2" applyNumberFormat="1" applyFont="1" applyFill="1" applyBorder="1"/>
    <xf numFmtId="165" fontId="4" fillId="5" borderId="12" xfId="2" applyNumberFormat="1" applyFont="1" applyFill="1" applyBorder="1"/>
    <xf numFmtId="0" fontId="0" fillId="0" borderId="14" xfId="0" applyBorder="1"/>
    <xf numFmtId="0" fontId="0" fillId="0" borderId="15" xfId="0" applyBorder="1"/>
    <xf numFmtId="0" fontId="0" fillId="0" borderId="13" xfId="0" applyBorder="1"/>
    <xf numFmtId="0" fontId="11" fillId="0" borderId="0" xfId="4" applyFont="1" applyBorder="1" applyAlignment="1">
      <alignment horizontal="center" vertical="center"/>
    </xf>
    <xf numFmtId="166" fontId="13" fillId="11" borderId="18" xfId="2" applyNumberFormat="1" applyFont="1" applyFill="1" applyBorder="1" applyAlignment="1">
      <alignment horizontal="center" vertical="center"/>
    </xf>
    <xf numFmtId="165" fontId="13" fillId="11" borderId="18" xfId="2" applyNumberFormat="1" applyFont="1" applyFill="1" applyBorder="1" applyAlignment="1">
      <alignment horizontal="center" vertical="center"/>
    </xf>
    <xf numFmtId="0" fontId="11" fillId="0" borderId="13" xfId="4" applyFont="1" applyBorder="1" applyAlignment="1">
      <alignment horizontal="center" vertical="center"/>
    </xf>
    <xf numFmtId="0" fontId="11" fillId="0" borderId="12" xfId="4" applyFont="1" applyBorder="1" applyAlignment="1">
      <alignment horizontal="center" vertical="center"/>
    </xf>
    <xf numFmtId="0" fontId="12" fillId="11" borderId="12" xfId="2" applyNumberFormat="1" applyFont="1" applyFill="1" applyBorder="1" applyAlignment="1">
      <alignment horizontal="left" vertical="center" wrapText="1"/>
    </xf>
    <xf numFmtId="0" fontId="2" fillId="0" borderId="0" xfId="5" applyFill="1"/>
    <xf numFmtId="166" fontId="4" fillId="6" borderId="15" xfId="2" applyNumberFormat="1" applyFont="1" applyFill="1" applyBorder="1" applyAlignment="1">
      <alignment horizontal="center" vertical="center"/>
    </xf>
    <xf numFmtId="0" fontId="4" fillId="8" borderId="12" xfId="4" applyFont="1" applyFill="1" applyBorder="1" applyAlignment="1">
      <alignment horizontal="center" vertical="center" wrapText="1"/>
    </xf>
    <xf numFmtId="169" fontId="0" fillId="0" borderId="0" xfId="0" applyNumberFormat="1"/>
    <xf numFmtId="9" fontId="0" fillId="0" borderId="0" xfId="0" applyNumberFormat="1"/>
    <xf numFmtId="172" fontId="0" fillId="0" borderId="0" xfId="0" applyNumberFormat="1"/>
    <xf numFmtId="171" fontId="0" fillId="0" borderId="0" xfId="12" applyNumberFormat="1" applyFont="1"/>
    <xf numFmtId="171" fontId="0" fillId="0" borderId="0" xfId="0" applyNumberFormat="1"/>
    <xf numFmtId="0" fontId="0" fillId="16" borderId="0" xfId="0" applyFill="1"/>
    <xf numFmtId="0" fontId="0" fillId="17" borderId="0" xfId="0" applyFill="1"/>
    <xf numFmtId="10" fontId="0" fillId="0" borderId="0" xfId="0" applyNumberFormat="1"/>
    <xf numFmtId="0" fontId="24" fillId="6" borderId="0" xfId="0" applyFont="1" applyFill="1"/>
    <xf numFmtId="0" fontId="0" fillId="6" borderId="0" xfId="0" applyFill="1"/>
    <xf numFmtId="169" fontId="24" fillId="6" borderId="0" xfId="0" applyNumberFormat="1" applyFont="1" applyFill="1"/>
    <xf numFmtId="171" fontId="0" fillId="6" borderId="0" xfId="0" applyNumberFormat="1" applyFill="1"/>
    <xf numFmtId="165" fontId="2" fillId="0" borderId="0" xfId="4" applyNumberFormat="1" applyAlignment="1">
      <alignment horizontal="center" vertical="center"/>
    </xf>
    <xf numFmtId="4" fontId="0" fillId="0" borderId="0" xfId="0" applyNumberFormat="1"/>
    <xf numFmtId="171" fontId="26" fillId="18" borderId="0" xfId="12" applyNumberFormat="1" applyFont="1" applyFill="1"/>
    <xf numFmtId="171" fontId="0" fillId="0" borderId="0" xfId="0" applyNumberFormat="1" applyFill="1"/>
    <xf numFmtId="43" fontId="0" fillId="0" borderId="0" xfId="0" applyNumberFormat="1" applyFill="1"/>
    <xf numFmtId="0" fontId="0" fillId="19" borderId="0" xfId="0" applyFill="1"/>
    <xf numFmtId="171" fontId="0" fillId="20" borderId="0" xfId="0" applyNumberFormat="1" applyFill="1"/>
    <xf numFmtId="165" fontId="0" fillId="20" borderId="0" xfId="0" applyNumberFormat="1" applyFill="1"/>
    <xf numFmtId="165" fontId="4" fillId="0" borderId="0" xfId="0" applyNumberFormat="1" applyFont="1"/>
    <xf numFmtId="171" fontId="0" fillId="21" borderId="0" xfId="0" applyNumberFormat="1" applyFill="1"/>
    <xf numFmtId="171" fontId="0" fillId="19" borderId="0" xfId="0" applyNumberFormat="1" applyFill="1"/>
    <xf numFmtId="165" fontId="26" fillId="22" borderId="0" xfId="0" applyNumberFormat="1" applyFont="1" applyFill="1"/>
    <xf numFmtId="0" fontId="26" fillId="22" borderId="0" xfId="0" applyFont="1" applyFill="1"/>
    <xf numFmtId="43" fontId="26" fillId="23" borderId="0" xfId="0" applyNumberFormat="1" applyFont="1" applyFill="1"/>
    <xf numFmtId="171" fontId="26" fillId="18" borderId="0" xfId="0" applyNumberFormat="1" applyFont="1" applyFill="1"/>
    <xf numFmtId="0" fontId="26" fillId="18" borderId="0" xfId="0" applyFont="1" applyFill="1"/>
    <xf numFmtId="0" fontId="0" fillId="0" borderId="0" xfId="0" applyFill="1"/>
    <xf numFmtId="0" fontId="26" fillId="18" borderId="0" xfId="0" applyFont="1" applyFill="1" applyAlignment="1">
      <alignment horizontal="center"/>
    </xf>
    <xf numFmtId="171" fontId="26" fillId="18" borderId="0" xfId="12" applyNumberFormat="1" applyFont="1" applyFill="1" applyAlignment="1">
      <alignment horizontal="center"/>
    </xf>
    <xf numFmtId="165" fontId="26" fillId="22" borderId="0" xfId="1" applyFont="1" applyFill="1"/>
    <xf numFmtId="0" fontId="26" fillId="0" borderId="0" xfId="0" applyFont="1" applyFill="1"/>
    <xf numFmtId="165" fontId="26" fillId="0" borderId="0" xfId="1" applyFont="1" applyFill="1"/>
    <xf numFmtId="165" fontId="26" fillId="0" borderId="0" xfId="0" applyNumberFormat="1" applyFont="1" applyFill="1"/>
    <xf numFmtId="171" fontId="24" fillId="6" borderId="0" xfId="0" applyNumberFormat="1" applyFont="1" applyFill="1"/>
    <xf numFmtId="0" fontId="0" fillId="24" borderId="0" xfId="0" applyFill="1"/>
    <xf numFmtId="165" fontId="0" fillId="0" borderId="0" xfId="0" applyNumberFormat="1"/>
    <xf numFmtId="43" fontId="0" fillId="0" borderId="0" xfId="0" applyNumberFormat="1"/>
    <xf numFmtId="171" fontId="26" fillId="25" borderId="0" xfId="0" applyNumberFormat="1" applyFont="1" applyFill="1"/>
    <xf numFmtId="0" fontId="26" fillId="25" borderId="0" xfId="0" applyFont="1" applyFill="1"/>
    <xf numFmtId="171" fontId="24" fillId="0" borderId="0" xfId="0" applyNumberFormat="1" applyFont="1" applyFill="1"/>
    <xf numFmtId="0" fontId="24" fillId="0" borderId="0" xfId="0" applyFont="1" applyFill="1"/>
    <xf numFmtId="171" fontId="27" fillId="25" borderId="0" xfId="0" applyNumberFormat="1" applyFont="1" applyFill="1"/>
    <xf numFmtId="0" fontId="26" fillId="26" borderId="0" xfId="0" applyFont="1" applyFill="1"/>
    <xf numFmtId="171" fontId="26" fillId="26" borderId="0" xfId="0" applyNumberFormat="1" applyFont="1" applyFill="1"/>
    <xf numFmtId="165" fontId="26" fillId="26" borderId="0" xfId="0" applyNumberFormat="1" applyFont="1" applyFill="1"/>
    <xf numFmtId="43" fontId="26" fillId="26" borderId="0" xfId="0" applyNumberFormat="1" applyFont="1" applyFill="1"/>
    <xf numFmtId="165" fontId="0" fillId="0" borderId="0" xfId="1" applyFont="1" applyFill="1"/>
    <xf numFmtId="43" fontId="26" fillId="0" borderId="0" xfId="0" applyNumberFormat="1" applyFont="1" applyFill="1"/>
    <xf numFmtId="171" fontId="0" fillId="0" borderId="0" xfId="12" applyNumberFormat="1" applyFont="1" applyFill="1"/>
    <xf numFmtId="171" fontId="24" fillId="0" borderId="0" xfId="12" applyNumberFormat="1" applyFont="1" applyFill="1"/>
    <xf numFmtId="171" fontId="24" fillId="0" borderId="0" xfId="12" applyNumberFormat="1" applyFont="1"/>
    <xf numFmtId="165" fontId="28" fillId="27" borderId="0" xfId="1" applyFont="1" applyFill="1"/>
    <xf numFmtId="171" fontId="29" fillId="6" borderId="0" xfId="0" applyNumberFormat="1" applyFont="1" applyFill="1"/>
    <xf numFmtId="171" fontId="29" fillId="27" borderId="0" xfId="0" applyNumberFormat="1" applyFont="1" applyFill="1"/>
    <xf numFmtId="49" fontId="31" fillId="0" borderId="0" xfId="12" applyNumberFormat="1" applyFont="1" applyAlignment="1">
      <alignment horizontal="center"/>
    </xf>
    <xf numFmtId="49" fontId="31" fillId="6" borderId="0" xfId="12" applyNumberFormat="1" applyFont="1" applyFill="1" applyAlignment="1">
      <alignment horizontal="center"/>
    </xf>
    <xf numFmtId="0" fontId="30" fillId="0" borderId="0" xfId="0" applyFont="1"/>
    <xf numFmtId="4" fontId="2" fillId="0" borderId="0" xfId="2" applyNumberFormat="1" applyBorder="1"/>
    <xf numFmtId="4" fontId="3" fillId="5" borderId="12" xfId="0" applyNumberFormat="1" applyFont="1" applyFill="1" applyBorder="1" applyAlignment="1">
      <alignment horizontal="center" vertical="center" wrapText="1"/>
    </xf>
    <xf numFmtId="4" fontId="4" fillId="9" borderId="12" xfId="2" applyNumberFormat="1" applyFont="1" applyFill="1" applyBorder="1" applyAlignment="1">
      <alignment horizontal="center"/>
    </xf>
    <xf numFmtId="4" fontId="4" fillId="2" borderId="12" xfId="2" applyNumberFormat="1" applyFont="1" applyFill="1" applyBorder="1" applyAlignment="1">
      <alignment horizontal="center"/>
    </xf>
    <xf numFmtId="4" fontId="2" fillId="0" borderId="0" xfId="2" applyNumberFormat="1"/>
    <xf numFmtId="4" fontId="4" fillId="0" borderId="0" xfId="2" applyNumberFormat="1" applyFont="1" applyFill="1" applyBorder="1"/>
    <xf numFmtId="4" fontId="4" fillId="7" borderId="12" xfId="4" applyNumberFormat="1" applyFont="1" applyFill="1" applyBorder="1" applyAlignment="1">
      <alignment horizontal="center" vertical="center" wrapText="1"/>
    </xf>
    <xf numFmtId="4" fontId="3" fillId="11" borderId="12" xfId="1" applyNumberFormat="1" applyFont="1" applyFill="1" applyBorder="1" applyAlignment="1">
      <alignment horizontal="center"/>
    </xf>
    <xf numFmtId="165" fontId="2" fillId="0" borderId="0" xfId="2" applyNumberFormat="1" applyBorder="1"/>
    <xf numFmtId="165" fontId="2" fillId="0" borderId="0" xfId="2" applyNumberFormat="1" applyFont="1" applyBorder="1" applyAlignment="1">
      <alignment horizontal="center"/>
    </xf>
    <xf numFmtId="165" fontId="2" fillId="0" borderId="0" xfId="2" applyNumberFormat="1" applyBorder="1" applyAlignment="1">
      <alignment horizontal="center"/>
    </xf>
    <xf numFmtId="165" fontId="5" fillId="0" borderId="0" xfId="2" applyNumberFormat="1" applyFont="1" applyBorder="1" applyAlignment="1">
      <alignment horizontal="left"/>
    </xf>
    <xf numFmtId="165" fontId="5" fillId="0" borderId="0" xfId="2" applyNumberFormat="1" applyFont="1" applyFill="1" applyBorder="1" applyAlignment="1">
      <alignment horizontal="left"/>
    </xf>
    <xf numFmtId="165" fontId="3" fillId="11" borderId="12" xfId="1" applyNumberFormat="1" applyFont="1" applyFill="1" applyBorder="1" applyAlignment="1">
      <alignment horizontal="center"/>
    </xf>
    <xf numFmtId="165" fontId="4" fillId="9" borderId="12" xfId="2" applyNumberFormat="1" applyFont="1" applyFill="1" applyBorder="1" applyAlignment="1">
      <alignment horizontal="center"/>
    </xf>
    <xf numFmtId="165" fontId="4" fillId="2" borderId="12" xfId="2" applyNumberFormat="1" applyFont="1" applyFill="1" applyBorder="1" applyAlignment="1">
      <alignment horizontal="center"/>
    </xf>
    <xf numFmtId="165" fontId="4" fillId="2" borderId="12" xfId="4" applyNumberFormat="1" applyFont="1" applyFill="1" applyBorder="1"/>
    <xf numFmtId="165" fontId="2" fillId="0" borderId="0" xfId="2" applyNumberFormat="1"/>
    <xf numFmtId="165" fontId="2" fillId="0" borderId="12" xfId="2" applyNumberFormat="1" applyBorder="1"/>
    <xf numFmtId="14" fontId="3" fillId="5" borderId="12" xfId="0" applyNumberFormat="1" applyFont="1" applyFill="1" applyBorder="1" applyAlignment="1">
      <alignment horizontal="center" vertical="center" wrapText="1"/>
    </xf>
    <xf numFmtId="165" fontId="4" fillId="10" borderId="12" xfId="2" applyNumberFormat="1" applyFont="1" applyFill="1" applyBorder="1"/>
    <xf numFmtId="165" fontId="4" fillId="0" borderId="12" xfId="2" applyNumberFormat="1" applyFont="1" applyFill="1" applyBorder="1" applyAlignment="1">
      <alignment vertical="top"/>
    </xf>
    <xf numFmtId="165" fontId="4" fillId="2" borderId="12" xfId="2" applyNumberFormat="1" applyFont="1" applyFill="1" applyBorder="1" applyAlignment="1">
      <alignment vertical="top"/>
    </xf>
    <xf numFmtId="165" fontId="2" fillId="15" borderId="13" xfId="2" applyNumberFormat="1" applyFont="1" applyFill="1" applyBorder="1" applyAlignment="1">
      <alignment vertical="top"/>
    </xf>
    <xf numFmtId="165" fontId="4" fillId="10" borderId="13" xfId="2" applyNumberFormat="1" applyFont="1" applyFill="1" applyBorder="1" applyAlignment="1">
      <alignment vertical="top"/>
    </xf>
    <xf numFmtId="165" fontId="4" fillId="0" borderId="13" xfId="2" applyNumberFormat="1" applyFont="1" applyBorder="1"/>
    <xf numFmtId="165" fontId="4" fillId="2" borderId="13" xfId="2" applyNumberFormat="1" applyFont="1" applyFill="1" applyBorder="1"/>
    <xf numFmtId="165" fontId="4" fillId="2" borderId="13" xfId="4" applyNumberFormat="1" applyFont="1" applyFill="1" applyBorder="1"/>
    <xf numFmtId="165" fontId="2" fillId="0" borderId="0" xfId="2" applyNumberFormat="1" applyFill="1"/>
    <xf numFmtId="165" fontId="2" fillId="0" borderId="0" xfId="2" applyNumberFormat="1" applyAlignment="1">
      <alignment vertical="top"/>
    </xf>
    <xf numFmtId="165" fontId="2" fillId="0" borderId="0" xfId="4" applyNumberFormat="1" applyFont="1"/>
    <xf numFmtId="165" fontId="2" fillId="0" borderId="0" xfId="4" applyNumberFormat="1"/>
    <xf numFmtId="167" fontId="4" fillId="8" borderId="12" xfId="2" applyNumberFormat="1" applyFont="1" applyFill="1" applyBorder="1" applyAlignment="1">
      <alignment horizontal="center" vertical="top" wrapText="1"/>
    </xf>
    <xf numFmtId="166" fontId="6" fillId="2" borderId="12" xfId="3" applyNumberFormat="1" applyFont="1" applyFill="1" applyBorder="1" applyAlignment="1">
      <alignment horizontal="center" vertical="center" wrapText="1"/>
    </xf>
    <xf numFmtId="4" fontId="3" fillId="5" borderId="14" xfId="0" applyNumberFormat="1" applyFont="1" applyFill="1" applyBorder="1" applyAlignment="1">
      <alignment horizontal="center" vertical="center" wrapText="1"/>
    </xf>
    <xf numFmtId="4" fontId="3" fillId="5" borderId="15" xfId="0" applyNumberFormat="1" applyFont="1" applyFill="1" applyBorder="1" applyAlignment="1">
      <alignment horizontal="center" vertical="center" wrapText="1"/>
    </xf>
    <xf numFmtId="166" fontId="4" fillId="6" borderId="14" xfId="2" applyNumberFormat="1" applyFont="1" applyFill="1" applyBorder="1" applyAlignment="1">
      <alignment horizontal="center" vertical="center"/>
    </xf>
    <xf numFmtId="166" fontId="4" fillId="6" borderId="15" xfId="2" applyNumberFormat="1" applyFont="1" applyFill="1" applyBorder="1" applyAlignment="1">
      <alignment horizontal="center" vertical="center"/>
    </xf>
    <xf numFmtId="165" fontId="3" fillId="5" borderId="14" xfId="0"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165" fontId="3" fillId="5" borderId="13" xfId="0" applyNumberFormat="1" applyFont="1" applyFill="1" applyBorder="1" applyAlignment="1">
      <alignment horizontal="center" vertical="center" wrapText="1"/>
    </xf>
    <xf numFmtId="0" fontId="4" fillId="8" borderId="12" xfId="4" applyFont="1" applyFill="1" applyBorder="1" applyAlignment="1">
      <alignment horizontal="center" vertical="top" wrapText="1"/>
    </xf>
    <xf numFmtId="167" fontId="4" fillId="8" borderId="12" xfId="2" applyNumberFormat="1"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49" fontId="3" fillId="5" borderId="15" xfId="0" applyNumberFormat="1" applyFont="1" applyFill="1" applyBorder="1" applyAlignment="1">
      <alignment horizontal="center" vertical="center" wrapText="1"/>
    </xf>
    <xf numFmtId="49" fontId="3" fillId="8" borderId="12" xfId="0" applyNumberFormat="1" applyFont="1" applyFill="1" applyBorder="1" applyAlignment="1">
      <alignment horizontal="center" vertical="center" wrapText="1"/>
    </xf>
    <xf numFmtId="0" fontId="4" fillId="8" borderId="12" xfId="4"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21" xfId="0" applyFont="1" applyFill="1" applyBorder="1" applyAlignment="1">
      <alignment horizontal="center" vertical="center"/>
    </xf>
    <xf numFmtId="0" fontId="18" fillId="8" borderId="40" xfId="0" applyFont="1" applyFill="1" applyBorder="1" applyAlignment="1">
      <alignment vertical="center" wrapText="1"/>
    </xf>
    <xf numFmtId="0" fontId="0" fillId="8" borderId="44" xfId="0" applyFill="1" applyBorder="1" applyAlignment="1"/>
    <xf numFmtId="0" fontId="0" fillId="8" borderId="45" xfId="0" applyFill="1" applyBorder="1" applyAlignment="1"/>
    <xf numFmtId="0" fontId="4" fillId="8" borderId="30" xfId="0" applyFont="1" applyFill="1" applyBorder="1" applyAlignment="1">
      <alignment horizontal="center" vertical="center" wrapText="1"/>
    </xf>
    <xf numFmtId="0" fontId="22" fillId="0" borderId="39" xfId="0" applyFont="1" applyBorder="1" applyAlignment="1">
      <alignment horizontal="center" vertical="center"/>
    </xf>
    <xf numFmtId="0" fontId="4" fillId="0" borderId="33" xfId="5" applyFont="1" applyBorder="1"/>
    <xf numFmtId="0" fontId="4" fillId="0" borderId="34" xfId="5" applyFont="1" applyBorder="1"/>
    <xf numFmtId="0" fontId="4" fillId="0" borderId="31" xfId="5" applyFont="1" applyFill="1" applyBorder="1" applyAlignment="1"/>
    <xf numFmtId="0" fontId="4" fillId="0" borderId="32" xfId="5" applyFont="1" applyFill="1" applyBorder="1" applyAlignment="1"/>
    <xf numFmtId="0" fontId="19" fillId="0" borderId="9" xfId="5" applyFont="1" applyFill="1" applyBorder="1" applyAlignment="1">
      <alignment horizontal="center"/>
    </xf>
    <xf numFmtId="0" fontId="19" fillId="0" borderId="11" xfId="5" applyFont="1" applyFill="1" applyBorder="1" applyAlignment="1">
      <alignment horizontal="center"/>
    </xf>
    <xf numFmtId="0" fontId="4" fillId="8" borderId="14" xfId="5" applyFont="1" applyFill="1" applyBorder="1" applyAlignment="1">
      <alignment wrapText="1"/>
    </xf>
    <xf numFmtId="0" fontId="4" fillId="8" borderId="13" xfId="5" applyFont="1" applyFill="1" applyBorder="1" applyAlignment="1">
      <alignment wrapText="1"/>
    </xf>
    <xf numFmtId="0" fontId="4" fillId="8" borderId="12" xfId="5" applyFont="1" applyFill="1" applyBorder="1" applyAlignment="1">
      <alignment vertical="center" wrapText="1"/>
    </xf>
    <xf numFmtId="0" fontId="2" fillId="8" borderId="12" xfId="5" applyFill="1" applyBorder="1" applyAlignment="1">
      <alignment vertical="center" wrapText="1"/>
    </xf>
    <xf numFmtId="0" fontId="0" fillId="6" borderId="0" xfId="0" applyFont="1" applyFill="1" applyAlignment="1"/>
  </cellXfs>
  <cellStyles count="15">
    <cellStyle name="Comma 2" xfId="9"/>
    <cellStyle name="Comma 3" xfId="10"/>
    <cellStyle name="Comma 4" xfId="8"/>
    <cellStyle name="Comma 5" xfId="14"/>
    <cellStyle name="Comma_Formatos Nuevos 6ta Desemb. MCA Oct-Dic 10_09_07" xfId="2"/>
    <cellStyle name="Currency 2" xfId="11"/>
    <cellStyle name="Millares" xfId="1" builtinId="3"/>
    <cellStyle name="Millares 5" xfId="3"/>
    <cellStyle name="Moneda" xfId="12" builtinId="4"/>
    <cellStyle name="Moneda 4" xfId="6"/>
    <cellStyle name="Normal" xfId="0" builtinId="0"/>
    <cellStyle name="Normal 2" xfId="4"/>
    <cellStyle name="Normal 2 2" xfId="5"/>
    <cellStyle name="Normal 3" xfId="7"/>
    <cellStyle name="Normal 4" xfId="13"/>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topLeftCell="B1" zoomScale="85" zoomScaleNormal="85" zoomScalePageLayoutView="90" workbookViewId="0">
      <pane xSplit="1" ySplit="12" topLeftCell="C13" activePane="bottomRight" state="frozen"/>
      <selection activeCell="B1" sqref="B1"/>
      <selection pane="topRight" activeCell="C1" sqref="C1"/>
      <selection pane="bottomLeft" activeCell="B13" sqref="B13"/>
      <selection pane="bottomRight" activeCell="I54" sqref="I54"/>
    </sheetView>
  </sheetViews>
  <sheetFormatPr baseColWidth="10" defaultColWidth="0" defaultRowHeight="12.75" outlineLevelRow="1" outlineLevelCol="1" x14ac:dyDescent="0.2"/>
  <cols>
    <col min="1" max="1" width="9.140625" style="1" customWidth="1"/>
    <col min="2" max="2" width="50.42578125" style="1" customWidth="1"/>
    <col min="3" max="3" width="17.28515625" style="75" customWidth="1" outlineLevel="1"/>
    <col min="4" max="4" width="19.140625" style="1" bestFit="1" customWidth="1"/>
    <col min="5" max="7" width="17.28515625" style="324" customWidth="1" outlineLevel="1"/>
    <col min="8" max="8" width="17.28515625" style="311" customWidth="1"/>
    <col min="9" max="22" width="17.28515625" style="1" customWidth="1"/>
    <col min="23" max="23" width="17.28515625" style="6" customWidth="1"/>
    <col min="24" max="24" width="17.28515625" style="205" customWidth="1"/>
    <col min="25" max="25" width="17.28515625" style="7" customWidth="1"/>
    <col min="26" max="16384" width="0" style="1" hidden="1"/>
  </cols>
  <sheetData>
    <row r="1" spans="1:26" ht="13.5" outlineLevel="1" thickBot="1" x14ac:dyDescent="0.25">
      <c r="B1" s="2" t="s">
        <v>0</v>
      </c>
      <c r="C1" s="3"/>
      <c r="D1" s="4"/>
      <c r="E1" s="315"/>
      <c r="F1" s="315"/>
      <c r="G1" s="315"/>
    </row>
    <row r="2" spans="1:26" ht="6.75" customHeight="1" outlineLevel="1" thickBot="1" x14ac:dyDescent="0.25">
      <c r="B2" s="8"/>
      <c r="C2" s="3"/>
      <c r="D2" s="4"/>
      <c r="E2" s="315"/>
      <c r="F2" s="315"/>
      <c r="G2" s="315"/>
      <c r="X2" s="206"/>
    </row>
    <row r="3" spans="1:26" ht="12.75" customHeight="1" outlineLevel="1" x14ac:dyDescent="0.25">
      <c r="B3" s="11" t="s">
        <v>1</v>
      </c>
      <c r="C3" s="12"/>
      <c r="D3" s="13" t="s">
        <v>83</v>
      </c>
      <c r="E3" s="316"/>
      <c r="F3" s="316"/>
      <c r="G3" s="316"/>
    </row>
    <row r="4" spans="1:26" ht="12.75" customHeight="1" outlineLevel="1" x14ac:dyDescent="0.25">
      <c r="B4" s="14" t="s">
        <v>2</v>
      </c>
      <c r="C4" s="15"/>
      <c r="D4" s="16" t="s">
        <v>84</v>
      </c>
      <c r="E4" s="316"/>
      <c r="F4" s="316"/>
      <c r="G4" s="316"/>
    </row>
    <row r="5" spans="1:26" ht="12.75" customHeight="1" outlineLevel="1" x14ac:dyDescent="0.25">
      <c r="B5" s="17" t="s">
        <v>3</v>
      </c>
      <c r="C5" s="15"/>
      <c r="D5" s="16" t="str">
        <f>'THP DR'!B7</f>
        <v>TR14GTM15001</v>
      </c>
      <c r="E5" s="316"/>
      <c r="F5" s="316"/>
      <c r="G5" s="316"/>
    </row>
    <row r="6" spans="1:26" ht="12.75" customHeight="1" outlineLevel="1" x14ac:dyDescent="0.25">
      <c r="B6" s="14" t="s">
        <v>4</v>
      </c>
      <c r="C6" s="15"/>
      <c r="D6" s="18">
        <f>'THP DR'!B10</f>
        <v>42622</v>
      </c>
      <c r="E6" s="316"/>
      <c r="F6" s="316"/>
      <c r="G6" s="316"/>
      <c r="X6" s="207"/>
    </row>
    <row r="7" spans="1:26" ht="13.5" customHeight="1" outlineLevel="1" thickBot="1" x14ac:dyDescent="0.25">
      <c r="B7" s="19" t="s">
        <v>5</v>
      </c>
      <c r="C7" s="20"/>
      <c r="D7" s="203">
        <f>'THP DR'!B13</f>
        <v>1</v>
      </c>
      <c r="E7" s="316"/>
      <c r="F7" s="316"/>
      <c r="G7" s="316"/>
    </row>
    <row r="8" spans="1:26" ht="12.75" customHeight="1" outlineLevel="1" x14ac:dyDescent="0.2">
      <c r="B8" s="5"/>
      <c r="C8" s="22"/>
      <c r="D8" s="23"/>
      <c r="E8" s="317"/>
      <c r="F8" s="317"/>
      <c r="G8" s="317"/>
      <c r="H8" s="307"/>
    </row>
    <row r="9" spans="1:26" ht="12.75" customHeight="1" outlineLevel="1" x14ac:dyDescent="0.2">
      <c r="B9" s="24"/>
      <c r="C9" s="24"/>
      <c r="D9" s="24"/>
      <c r="E9" s="318"/>
      <c r="F9" s="318"/>
      <c r="G9" s="318"/>
      <c r="H9" s="307"/>
      <c r="W9" s="25"/>
    </row>
    <row r="10" spans="1:26" s="26" customFormat="1" ht="13.5" customHeight="1" outlineLevel="1" x14ac:dyDescent="0.2">
      <c r="B10" s="27"/>
      <c r="C10" s="28"/>
      <c r="D10" s="29"/>
      <c r="E10" s="319"/>
      <c r="F10" s="319"/>
      <c r="G10" s="319"/>
      <c r="H10" s="312"/>
      <c r="W10" s="25"/>
      <c r="X10" s="205"/>
      <c r="Y10" s="7"/>
    </row>
    <row r="11" spans="1:26" ht="15.75" outlineLevel="1" x14ac:dyDescent="0.2">
      <c r="A11" s="5"/>
      <c r="B11" s="340" t="s">
        <v>6</v>
      </c>
      <c r="C11" s="31" t="s">
        <v>7</v>
      </c>
      <c r="D11" s="32" t="s">
        <v>8</v>
      </c>
      <c r="E11" s="341" t="s">
        <v>9</v>
      </c>
      <c r="F11" s="342"/>
      <c r="G11" s="342"/>
      <c r="H11" s="342"/>
      <c r="I11" s="343" t="s">
        <v>10</v>
      </c>
      <c r="J11" s="344"/>
      <c r="K11" s="344"/>
      <c r="L11" s="344"/>
      <c r="M11" s="344"/>
      <c r="N11" s="344"/>
      <c r="O11" s="344"/>
      <c r="P11" s="344"/>
      <c r="Q11" s="344"/>
      <c r="R11" s="344"/>
      <c r="S11" s="344"/>
      <c r="T11" s="246"/>
      <c r="U11" s="246"/>
      <c r="V11" s="246"/>
      <c r="W11" s="33" t="s">
        <v>11</v>
      </c>
      <c r="X11" s="208" t="s">
        <v>11</v>
      </c>
      <c r="Y11" s="33" t="s">
        <v>12</v>
      </c>
    </row>
    <row r="12" spans="1:26" s="41" customFormat="1" ht="52.5" customHeight="1" x14ac:dyDescent="0.2">
      <c r="A12" s="5"/>
      <c r="B12" s="340"/>
      <c r="C12" s="35" t="s">
        <v>13</v>
      </c>
      <c r="D12" s="36" t="s">
        <v>14</v>
      </c>
      <c r="E12" s="345" t="str">
        <f>"Grant Quarter #"&amp;$D$7</f>
        <v>Grant Quarter #1</v>
      </c>
      <c r="F12" s="346"/>
      <c r="G12" s="347"/>
      <c r="H12" s="313" t="str">
        <f>"Grant Quarter #"&amp;$D$7</f>
        <v>Grant Quarter #1</v>
      </c>
      <c r="I12" s="38" t="s">
        <v>86</v>
      </c>
      <c r="J12" s="38" t="s">
        <v>87</v>
      </c>
      <c r="K12" s="38" t="s">
        <v>88</v>
      </c>
      <c r="L12" s="38" t="s">
        <v>89</v>
      </c>
      <c r="M12" s="38" t="s">
        <v>90</v>
      </c>
      <c r="N12" s="38" t="s">
        <v>91</v>
      </c>
      <c r="O12" s="38" t="s">
        <v>92</v>
      </c>
      <c r="P12" s="38" t="s">
        <v>93</v>
      </c>
      <c r="Q12" s="38" t="s">
        <v>94</v>
      </c>
      <c r="R12" s="38" t="s">
        <v>95</v>
      </c>
      <c r="S12" s="38" t="s">
        <v>96</v>
      </c>
      <c r="T12" s="247" t="s">
        <v>97</v>
      </c>
      <c r="U12" s="247" t="s">
        <v>223</v>
      </c>
      <c r="V12" s="247" t="s">
        <v>224</v>
      </c>
      <c r="W12" s="211" t="s">
        <v>15</v>
      </c>
      <c r="X12" s="348" t="s">
        <v>161</v>
      </c>
      <c r="Y12" s="339" t="s">
        <v>16</v>
      </c>
      <c r="Z12" s="40"/>
    </row>
    <row r="13" spans="1:26" s="41" customFormat="1" ht="25.5" x14ac:dyDescent="0.2">
      <c r="A13" s="5"/>
      <c r="B13" s="42" t="s">
        <v>17</v>
      </c>
      <c r="C13" s="43" t="s">
        <v>114</v>
      </c>
      <c r="D13" s="44" t="s">
        <v>114</v>
      </c>
      <c r="E13" s="326" t="s">
        <v>258</v>
      </c>
      <c r="F13" s="326" t="s">
        <v>259</v>
      </c>
      <c r="G13" s="326" t="s">
        <v>260</v>
      </c>
      <c r="H13" s="308" t="s">
        <v>18</v>
      </c>
      <c r="I13" s="247" t="s">
        <v>19</v>
      </c>
      <c r="J13" s="247" t="s">
        <v>20</v>
      </c>
      <c r="K13" s="247" t="s">
        <v>21</v>
      </c>
      <c r="L13" s="247" t="s">
        <v>22</v>
      </c>
      <c r="M13" s="247" t="s">
        <v>78</v>
      </c>
      <c r="N13" s="247" t="s">
        <v>75</v>
      </c>
      <c r="O13" s="247" t="s">
        <v>76</v>
      </c>
      <c r="P13" s="247" t="s">
        <v>77</v>
      </c>
      <c r="Q13" s="247" t="s">
        <v>79</v>
      </c>
      <c r="R13" s="247" t="s">
        <v>80</v>
      </c>
      <c r="S13" s="247" t="s">
        <v>81</v>
      </c>
      <c r="T13" s="247" t="s">
        <v>225</v>
      </c>
      <c r="U13" s="247" t="s">
        <v>226</v>
      </c>
      <c r="V13" s="247" t="s">
        <v>227</v>
      </c>
      <c r="W13" s="211"/>
      <c r="X13" s="348"/>
      <c r="Y13" s="339"/>
      <c r="Z13" s="40"/>
    </row>
    <row r="14" spans="1:26" customFormat="1" ht="15" x14ac:dyDescent="0.25">
      <c r="B14" s="202" t="s">
        <v>119</v>
      </c>
      <c r="C14" s="202" t="s">
        <v>120</v>
      </c>
      <c r="D14" s="202"/>
      <c r="E14" s="320" t="s">
        <v>121</v>
      </c>
      <c r="F14" s="320" t="s">
        <v>122</v>
      </c>
      <c r="G14" s="320" t="s">
        <v>123</v>
      </c>
      <c r="H14" s="314" t="s">
        <v>124</v>
      </c>
      <c r="I14" s="202" t="s">
        <v>125</v>
      </c>
      <c r="J14" s="202" t="s">
        <v>126</v>
      </c>
      <c r="K14" s="202" t="s">
        <v>127</v>
      </c>
      <c r="L14" s="202" t="s">
        <v>128</v>
      </c>
      <c r="M14" s="202" t="s">
        <v>129</v>
      </c>
      <c r="N14" s="202" t="s">
        <v>130</v>
      </c>
      <c r="O14" s="202" t="s">
        <v>131</v>
      </c>
      <c r="P14" s="202" t="s">
        <v>132</v>
      </c>
      <c r="Q14" s="202" t="s">
        <v>133</v>
      </c>
      <c r="R14" s="202" t="s">
        <v>134</v>
      </c>
      <c r="S14" s="202" t="s">
        <v>135</v>
      </c>
      <c r="T14" s="202" t="s">
        <v>136</v>
      </c>
      <c r="U14" s="202" t="s">
        <v>228</v>
      </c>
      <c r="V14" s="202" t="s">
        <v>229</v>
      </c>
      <c r="W14" s="202" t="s">
        <v>137</v>
      </c>
      <c r="X14" s="209" t="s">
        <v>138</v>
      </c>
      <c r="Y14" s="202" t="s">
        <v>139</v>
      </c>
    </row>
    <row r="15" spans="1:26" s="41" customFormat="1" x14ac:dyDescent="0.2">
      <c r="A15" s="5"/>
      <c r="B15" s="50"/>
      <c r="C15" s="51"/>
      <c r="D15" s="50"/>
      <c r="E15" s="321"/>
      <c r="F15" s="321"/>
      <c r="G15" s="321"/>
      <c r="H15" s="309"/>
      <c r="I15" s="50"/>
      <c r="J15" s="50"/>
      <c r="K15" s="50"/>
      <c r="L15" s="50"/>
      <c r="M15" s="50"/>
      <c r="N15" s="50"/>
      <c r="O15" s="50"/>
      <c r="P15" s="50"/>
      <c r="Q15" s="50"/>
      <c r="R15" s="50"/>
      <c r="S15" s="50"/>
      <c r="T15" s="50"/>
      <c r="U15" s="50"/>
      <c r="V15" s="50"/>
      <c r="W15" s="50"/>
      <c r="X15" s="50"/>
      <c r="Y15" s="50"/>
      <c r="Z15" s="40"/>
    </row>
    <row r="16" spans="1:26" s="41" customFormat="1" x14ac:dyDescent="0.2">
      <c r="A16" s="5"/>
      <c r="B16" s="52" t="s">
        <v>99</v>
      </c>
      <c r="C16" s="53"/>
      <c r="D16" s="54"/>
      <c r="E16" s="322"/>
      <c r="F16" s="322"/>
      <c r="G16" s="322"/>
      <c r="H16" s="310"/>
      <c r="I16" s="54"/>
      <c r="J16" s="54"/>
      <c r="K16" s="54"/>
      <c r="L16" s="54"/>
      <c r="M16" s="54"/>
      <c r="N16" s="54"/>
      <c r="O16" s="54"/>
      <c r="P16" s="54"/>
      <c r="Q16" s="54"/>
      <c r="R16" s="54"/>
      <c r="S16" s="54"/>
      <c r="T16" s="54"/>
      <c r="U16" s="54"/>
      <c r="V16" s="54"/>
      <c r="W16" s="55"/>
      <c r="X16" s="210"/>
      <c r="Y16" s="55"/>
      <c r="Z16" s="40"/>
    </row>
    <row r="17" spans="1:26" s="223" customFormat="1" outlineLevel="1" x14ac:dyDescent="0.2">
      <c r="A17" s="220" t="str">
        <f>LEFT(B17,4)</f>
        <v xml:space="preserve">1.1 </v>
      </c>
      <c r="B17" s="57" t="s">
        <v>100</v>
      </c>
      <c r="C17" s="212">
        <f>SUM(C18:C20)</f>
        <v>0</v>
      </c>
      <c r="D17" s="212">
        <f>SUM(D18:D20)</f>
        <v>0</v>
      </c>
      <c r="E17" s="212">
        <f t="shared" ref="E17:R17" si="0">SUM(E18:E20)</f>
        <v>0</v>
      </c>
      <c r="F17" s="212">
        <f t="shared" si="0"/>
        <v>0</v>
      </c>
      <c r="G17" s="212">
        <f t="shared" si="0"/>
        <v>0</v>
      </c>
      <c r="H17" s="212">
        <f t="shared" si="0"/>
        <v>0</v>
      </c>
      <c r="I17" s="212">
        <f t="shared" si="0"/>
        <v>0</v>
      </c>
      <c r="J17" s="212">
        <f t="shared" si="0"/>
        <v>8000000</v>
      </c>
      <c r="K17" s="212">
        <f t="shared" si="0"/>
        <v>0</v>
      </c>
      <c r="L17" s="212">
        <f t="shared" si="0"/>
        <v>0</v>
      </c>
      <c r="M17" s="212">
        <f t="shared" si="0"/>
        <v>3000000</v>
      </c>
      <c r="N17" s="212">
        <f t="shared" si="0"/>
        <v>200000</v>
      </c>
      <c r="O17" s="212">
        <f t="shared" si="0"/>
        <v>0</v>
      </c>
      <c r="P17" s="212">
        <f t="shared" si="0"/>
        <v>0</v>
      </c>
      <c r="Q17" s="212">
        <f t="shared" si="0"/>
        <v>0</v>
      </c>
      <c r="R17" s="212">
        <f t="shared" si="0"/>
        <v>0</v>
      </c>
      <c r="S17" s="212">
        <f t="shared" ref="S17:V17" si="1">SUM(S18:S20)</f>
        <v>0</v>
      </c>
      <c r="T17" s="212">
        <f t="shared" si="1"/>
        <v>0</v>
      </c>
      <c r="U17" s="212">
        <f t="shared" si="1"/>
        <v>0</v>
      </c>
      <c r="V17" s="212">
        <f t="shared" si="1"/>
        <v>0</v>
      </c>
      <c r="W17" s="212">
        <f>SUM(W18:W20)</f>
        <v>11200000</v>
      </c>
      <c r="X17" s="214">
        <f>'QFR - B'!G15</f>
        <v>12000000</v>
      </c>
      <c r="Y17" s="235">
        <f>X17-W17</f>
        <v>800000</v>
      </c>
      <c r="Z17" s="222"/>
    </row>
    <row r="18" spans="1:26" s="223" customFormat="1" outlineLevel="1" x14ac:dyDescent="0.2">
      <c r="A18" s="220" t="s">
        <v>172</v>
      </c>
      <c r="B18" s="216" t="s">
        <v>140</v>
      </c>
      <c r="C18" s="217"/>
      <c r="D18" s="218"/>
      <c r="E18" s="218"/>
      <c r="F18" s="218"/>
      <c r="G18" s="218"/>
      <c r="H18" s="218">
        <f>SUMIF('Contract level'!$A:$A,"="&amp;'DFP-Com'!$A18,'Contract level'!AP:AP)</f>
        <v>0</v>
      </c>
      <c r="I18" s="218">
        <f>SUMIF('Contract level'!$A:$A,"="&amp;'DFP-Com'!$A18,'Contract level'!AQ:AQ)</f>
        <v>0</v>
      </c>
      <c r="J18" s="218">
        <f>SUMIF('Contract level'!$A:$A,"="&amp;'DFP-Com'!$A18,'Contract level'!AR:AR)</f>
        <v>8000000</v>
      </c>
      <c r="K18" s="218">
        <f>SUMIF('Contract level'!$A:$A,"="&amp;'DFP-Com'!$A18,'Contract level'!AS:AS)</f>
        <v>0</v>
      </c>
      <c r="L18" s="218">
        <f>SUMIF('Contract level'!$A:$A,"="&amp;'DFP-Com'!$A18,'Contract level'!AT:AT)</f>
        <v>0</v>
      </c>
      <c r="M18" s="218">
        <f>SUMIF('Contract level'!$A:$A,"="&amp;'DFP-Com'!$A18,'Contract level'!AU:AU)</f>
        <v>0</v>
      </c>
      <c r="N18" s="218">
        <f>SUMIF('Contract level'!$A:$A,"="&amp;'DFP-Com'!$A18,'Contract level'!AV:AV)</f>
        <v>200000</v>
      </c>
      <c r="O18" s="218">
        <f>SUMIF('Contract level'!$A:$A,"="&amp;'DFP-Com'!$A18,'Contract level'!AW:AW)</f>
        <v>0</v>
      </c>
      <c r="P18" s="218">
        <f>SUMIF('Contract level'!$A:$A,"="&amp;'DFP-Com'!$A18,'Contract level'!AX:AX)</f>
        <v>0</v>
      </c>
      <c r="Q18" s="218">
        <f>SUMIF('Contract level'!$A:$A,"="&amp;'DFP-Com'!$A18,'Contract level'!AY:AY)</f>
        <v>0</v>
      </c>
      <c r="R18" s="218">
        <f>SUMIF('Contract level'!$A:$A,"="&amp;'DFP-Com'!$A18,'Contract level'!AZ:AZ)</f>
        <v>0</v>
      </c>
      <c r="S18" s="218">
        <f>SUMIF('Contract level'!$A:$A,"="&amp;'DFP-Com'!$A18,'Contract level'!BA:BA)</f>
        <v>0</v>
      </c>
      <c r="T18" s="218">
        <f>SUMIF('Contract level'!$A:$A,"="&amp;'DFP-Com'!$A18,'Contract level'!BB:BB)</f>
        <v>0</v>
      </c>
      <c r="U18" s="218">
        <f>SUMIF('Contract level'!$A:$A,"="&amp;'DFP-Com'!$A18,'Contract level'!BC:BC)</f>
        <v>0</v>
      </c>
      <c r="V18" s="218">
        <f>SUMIF('Contract level'!$A:$A,"="&amp;'DFP-Com'!$A18,'Contract level'!BD:BD)</f>
        <v>0</v>
      </c>
      <c r="W18" s="218">
        <f>SUM(H18:V18)+D18+C18</f>
        <v>8200000</v>
      </c>
      <c r="X18" s="219" t="s">
        <v>146</v>
      </c>
      <c r="Y18" s="218"/>
      <c r="Z18" s="222"/>
    </row>
    <row r="19" spans="1:26" s="223" customFormat="1" outlineLevel="1" x14ac:dyDescent="0.2">
      <c r="A19" s="220" t="s">
        <v>173</v>
      </c>
      <c r="B19" s="216" t="s">
        <v>141</v>
      </c>
      <c r="C19" s="217"/>
      <c r="D19" s="218"/>
      <c r="E19" s="218"/>
      <c r="F19" s="218"/>
      <c r="G19" s="218"/>
      <c r="H19" s="218">
        <f>SUMIF('Contract level'!$A:$A,"="&amp;'DFP-Com'!$A19,'Contract level'!AP:AP)</f>
        <v>0</v>
      </c>
      <c r="I19" s="218">
        <f>SUMIF('Contract level'!$A:$A,"="&amp;'DFP-Com'!$A19,'Contract level'!AQ:AQ)</f>
        <v>0</v>
      </c>
      <c r="J19" s="218">
        <f>SUMIF('Contract level'!$A:$A,"="&amp;'DFP-Com'!$A19,'Contract level'!AR:AR)</f>
        <v>0</v>
      </c>
      <c r="K19" s="218">
        <f>SUMIF('Contract level'!$A:$A,"="&amp;'DFP-Com'!$A19,'Contract level'!AS:AS)</f>
        <v>0</v>
      </c>
      <c r="L19" s="218">
        <f>SUMIF('Contract level'!$A:$A,"="&amp;'DFP-Com'!$A19,'Contract level'!AT:AT)</f>
        <v>0</v>
      </c>
      <c r="M19" s="218">
        <f>SUMIF('Contract level'!$A:$A,"="&amp;'DFP-Com'!$A19,'Contract level'!AU:AU)</f>
        <v>3000000</v>
      </c>
      <c r="N19" s="218">
        <f>SUMIF('Contract level'!$A:$A,"="&amp;'DFP-Com'!$A19,'Contract level'!AV:AV)</f>
        <v>0</v>
      </c>
      <c r="O19" s="218">
        <f>SUMIF('Contract level'!$A:$A,"="&amp;'DFP-Com'!$A19,'Contract level'!AW:AW)</f>
        <v>0</v>
      </c>
      <c r="P19" s="218">
        <f>SUMIF('Contract level'!$A:$A,"="&amp;'DFP-Com'!$A19,'Contract level'!AX:AX)</f>
        <v>0</v>
      </c>
      <c r="Q19" s="218">
        <f>SUMIF('Contract level'!$A:$A,"="&amp;'DFP-Com'!$A19,'Contract level'!AY:AY)</f>
        <v>0</v>
      </c>
      <c r="R19" s="218">
        <f>SUMIF('Contract level'!$A:$A,"="&amp;'DFP-Com'!$A19,'Contract level'!AZ:AZ)</f>
        <v>0</v>
      </c>
      <c r="S19" s="218">
        <f>SUMIF('Contract level'!$A:$A,"="&amp;'DFP-Com'!$A19,'Contract level'!BA:BA)</f>
        <v>0</v>
      </c>
      <c r="T19" s="218">
        <f>SUMIF('Contract level'!$A:$A,"="&amp;'DFP-Com'!$A19,'Contract level'!BB:BB)</f>
        <v>0</v>
      </c>
      <c r="U19" s="218">
        <f>SUMIF('Contract level'!$A:$A,"="&amp;'DFP-Com'!$A19,'Contract level'!BC:BC)</f>
        <v>0</v>
      </c>
      <c r="V19" s="218">
        <f>SUMIF('Contract level'!$A:$A,"="&amp;'DFP-Com'!$A19,'Contract level'!BD:BD)</f>
        <v>0</v>
      </c>
      <c r="W19" s="218">
        <f>SUM(H19:V19)+D19+C19</f>
        <v>3000000</v>
      </c>
      <c r="X19" s="219"/>
      <c r="Y19" s="218"/>
      <c r="Z19" s="222"/>
    </row>
    <row r="20" spans="1:26" s="223" customFormat="1" outlineLevel="1" x14ac:dyDescent="0.2">
      <c r="A20" s="220" t="s">
        <v>174</v>
      </c>
      <c r="B20" s="216" t="s">
        <v>148</v>
      </c>
      <c r="C20" s="217"/>
      <c r="D20" s="218"/>
      <c r="E20" s="218"/>
      <c r="F20" s="218"/>
      <c r="G20" s="218"/>
      <c r="H20" s="218">
        <f>SUMIF('Contract level'!$A:$A,"="&amp;'DFP-Com'!$A20,'Contract level'!AP:AP)</f>
        <v>0</v>
      </c>
      <c r="I20" s="218">
        <f>SUMIF('Contract level'!$A:$A,"="&amp;'DFP-Com'!$A20,'Contract level'!AQ:AQ)</f>
        <v>0</v>
      </c>
      <c r="J20" s="218">
        <f>SUMIF('Contract level'!$A:$A,"="&amp;'DFP-Com'!$A20,'Contract level'!AR:AR)</f>
        <v>0</v>
      </c>
      <c r="K20" s="218">
        <f>SUMIF('Contract level'!$A:$A,"="&amp;'DFP-Com'!$A20,'Contract level'!AS:AS)</f>
        <v>0</v>
      </c>
      <c r="L20" s="218">
        <f>SUMIF('Contract level'!$A:$A,"="&amp;'DFP-Com'!$A20,'Contract level'!AT:AT)</f>
        <v>0</v>
      </c>
      <c r="M20" s="218">
        <f>SUMIF('Contract level'!$A:$A,"="&amp;'DFP-Com'!$A20,'Contract level'!AU:AU)</f>
        <v>0</v>
      </c>
      <c r="N20" s="218">
        <f>SUMIF('Contract level'!$A:$A,"="&amp;'DFP-Com'!$A20,'Contract level'!AV:AV)</f>
        <v>0</v>
      </c>
      <c r="O20" s="218">
        <f>SUMIF('Contract level'!$A:$A,"="&amp;'DFP-Com'!$A20,'Contract level'!AW:AW)</f>
        <v>0</v>
      </c>
      <c r="P20" s="218">
        <f>SUMIF('Contract level'!$A:$A,"="&amp;'DFP-Com'!$A20,'Contract level'!AX:AX)</f>
        <v>0</v>
      </c>
      <c r="Q20" s="218">
        <f>SUMIF('Contract level'!$A:$A,"="&amp;'DFP-Com'!$A20,'Contract level'!AY:AY)</f>
        <v>0</v>
      </c>
      <c r="R20" s="218">
        <f>SUMIF('Contract level'!$A:$A,"="&amp;'DFP-Com'!$A20,'Contract level'!AZ:AZ)</f>
        <v>0</v>
      </c>
      <c r="S20" s="218">
        <f>SUMIF('Contract level'!$A:$A,"="&amp;'DFP-Com'!$A20,'Contract level'!BA:BA)</f>
        <v>0</v>
      </c>
      <c r="T20" s="218">
        <f>SUMIF('Contract level'!$A:$A,"="&amp;'DFP-Com'!$A20,'Contract level'!BB:BB)</f>
        <v>0</v>
      </c>
      <c r="U20" s="218">
        <f>SUMIF('Contract level'!$A:$A,"="&amp;'DFP-Com'!$A20,'Contract level'!BC:BC)</f>
        <v>0</v>
      </c>
      <c r="V20" s="218">
        <f>SUMIF('Contract level'!$A:$A,"="&amp;'DFP-Com'!$A20,'Contract level'!BD:BD)</f>
        <v>0</v>
      </c>
      <c r="W20" s="218">
        <f>SUM(H20:V20)+D20+C20</f>
        <v>0</v>
      </c>
      <c r="X20" s="219"/>
      <c r="Y20" s="218"/>
      <c r="Z20" s="222"/>
    </row>
    <row r="21" spans="1:26" s="223" customFormat="1" ht="12.95" customHeight="1" outlineLevel="1" x14ac:dyDescent="0.2">
      <c r="A21" s="220" t="str">
        <f t="shared" ref="A21:A39" si="2">LEFT(B21,4)</f>
        <v xml:space="preserve">1.2 </v>
      </c>
      <c r="B21" s="57" t="s">
        <v>101</v>
      </c>
      <c r="C21" s="212">
        <f>C22</f>
        <v>0</v>
      </c>
      <c r="D21" s="212">
        <f>D22</f>
        <v>0</v>
      </c>
      <c r="E21" s="212">
        <f t="shared" ref="E21:W21" si="3">E22</f>
        <v>0</v>
      </c>
      <c r="F21" s="212">
        <f t="shared" si="3"/>
        <v>0</v>
      </c>
      <c r="G21" s="212">
        <f t="shared" si="3"/>
        <v>0</v>
      </c>
      <c r="H21" s="212">
        <f t="shared" si="3"/>
        <v>0</v>
      </c>
      <c r="I21" s="212">
        <f t="shared" si="3"/>
        <v>48000</v>
      </c>
      <c r="J21" s="212">
        <f t="shared" si="3"/>
        <v>0</v>
      </c>
      <c r="K21" s="212">
        <f t="shared" si="3"/>
        <v>0</v>
      </c>
      <c r="L21" s="212">
        <f t="shared" si="3"/>
        <v>4000000</v>
      </c>
      <c r="M21" s="212">
        <f t="shared" si="3"/>
        <v>48000</v>
      </c>
      <c r="N21" s="212">
        <f t="shared" si="3"/>
        <v>0</v>
      </c>
      <c r="O21" s="212">
        <f t="shared" si="3"/>
        <v>0</v>
      </c>
      <c r="P21" s="212">
        <f t="shared" si="3"/>
        <v>0</v>
      </c>
      <c r="Q21" s="212">
        <f t="shared" si="3"/>
        <v>48000</v>
      </c>
      <c r="R21" s="212">
        <f t="shared" si="3"/>
        <v>0</v>
      </c>
      <c r="S21" s="212">
        <f t="shared" si="3"/>
        <v>0</v>
      </c>
      <c r="T21" s="212">
        <f t="shared" si="3"/>
        <v>0</v>
      </c>
      <c r="U21" s="212">
        <f t="shared" si="3"/>
        <v>24000</v>
      </c>
      <c r="V21" s="212">
        <f t="shared" si="3"/>
        <v>0</v>
      </c>
      <c r="W21" s="212">
        <f t="shared" si="3"/>
        <v>4168000</v>
      </c>
      <c r="X21" s="214">
        <f>'QFR - B'!G16</f>
        <v>4700000</v>
      </c>
      <c r="Y21" s="235">
        <f>X21-W21</f>
        <v>532000</v>
      </c>
      <c r="Z21" s="222"/>
    </row>
    <row r="22" spans="1:26" s="223" customFormat="1" ht="12.95" customHeight="1" outlineLevel="1" x14ac:dyDescent="0.2">
      <c r="A22" s="220" t="s">
        <v>175</v>
      </c>
      <c r="B22" s="216" t="s">
        <v>149</v>
      </c>
      <c r="C22" s="217"/>
      <c r="D22" s="218"/>
      <c r="E22" s="218"/>
      <c r="F22" s="218"/>
      <c r="G22" s="218"/>
      <c r="H22" s="218">
        <f>SUMIF('Contract level'!$A:$A,"="&amp;'DFP-Com'!$A22,'Contract level'!AP:AP)</f>
        <v>0</v>
      </c>
      <c r="I22" s="218">
        <f>SUMIF('Contract level'!$A:$A,"="&amp;'DFP-Com'!$A22,'Contract level'!AQ:AQ)</f>
        <v>48000</v>
      </c>
      <c r="J22" s="218">
        <f>SUMIF('Contract level'!$A:$A,"="&amp;'DFP-Com'!$A22,'Contract level'!AR:AR)</f>
        <v>0</v>
      </c>
      <c r="K22" s="218">
        <f>SUMIF('Contract level'!$A:$A,"="&amp;'DFP-Com'!$A22,'Contract level'!AS:AS)</f>
        <v>0</v>
      </c>
      <c r="L22" s="218">
        <f>SUMIF('Contract level'!$A:$A,"="&amp;'DFP-Com'!$A22,'Contract level'!AT:AT)</f>
        <v>4000000</v>
      </c>
      <c r="M22" s="218">
        <f>SUMIF('Contract level'!$A:$A,"="&amp;'DFP-Com'!$A22,'Contract level'!AU:AU)</f>
        <v>48000</v>
      </c>
      <c r="N22" s="218">
        <f>SUMIF('Contract level'!$A:$A,"="&amp;'DFP-Com'!$A22,'Contract level'!AV:AV)</f>
        <v>0</v>
      </c>
      <c r="O22" s="218">
        <f>SUMIF('Contract level'!$A:$A,"="&amp;'DFP-Com'!$A22,'Contract level'!AW:AW)</f>
        <v>0</v>
      </c>
      <c r="P22" s="218">
        <f>SUMIF('Contract level'!$A:$A,"="&amp;'DFP-Com'!$A22,'Contract level'!AX:AX)</f>
        <v>0</v>
      </c>
      <c r="Q22" s="218">
        <f>SUMIF('Contract level'!$A:$A,"="&amp;'DFP-Com'!$A22,'Contract level'!AY:AY)</f>
        <v>48000</v>
      </c>
      <c r="R22" s="218">
        <f>SUMIF('Contract level'!$A:$A,"="&amp;'DFP-Com'!$A22,'Contract level'!AZ:AZ)</f>
        <v>0</v>
      </c>
      <c r="S22" s="218">
        <f>SUMIF('Contract level'!$A:$A,"="&amp;'DFP-Com'!$A22,'Contract level'!BA:BA)</f>
        <v>0</v>
      </c>
      <c r="T22" s="218">
        <f>SUMIF('Contract level'!$A:$A,"="&amp;'DFP-Com'!$A22,'Contract level'!BB:BB)</f>
        <v>0</v>
      </c>
      <c r="U22" s="218">
        <f>SUMIF('Contract level'!$A:$A,"="&amp;'DFP-Com'!$A22,'Contract level'!BC:BC)</f>
        <v>24000</v>
      </c>
      <c r="V22" s="218">
        <f>SUMIF('Contract level'!$A:$A,"="&amp;'DFP-Com'!$A22,'Contract level'!BD:BD)</f>
        <v>0</v>
      </c>
      <c r="W22" s="218">
        <f>SUM(H22:V22)+D22+C22</f>
        <v>4168000</v>
      </c>
      <c r="X22" s="219"/>
      <c r="Y22" s="218"/>
      <c r="Z22" s="222"/>
    </row>
    <row r="23" spans="1:26" s="223" customFormat="1" outlineLevel="1" x14ac:dyDescent="0.2">
      <c r="A23" s="220">
        <v>1.3</v>
      </c>
      <c r="B23" s="57" t="s">
        <v>102</v>
      </c>
      <c r="C23" s="212">
        <f>SUM(C24:C26)</f>
        <v>0</v>
      </c>
      <c r="D23" s="212">
        <f t="shared" ref="D23:W23" si="4">SUM(D24:D26)</f>
        <v>0</v>
      </c>
      <c r="E23" s="212">
        <f t="shared" si="4"/>
        <v>0</v>
      </c>
      <c r="F23" s="212">
        <f t="shared" si="4"/>
        <v>0</v>
      </c>
      <c r="G23" s="212">
        <f t="shared" si="4"/>
        <v>0</v>
      </c>
      <c r="H23" s="212">
        <f t="shared" si="4"/>
        <v>0</v>
      </c>
      <c r="I23" s="212">
        <f t="shared" si="4"/>
        <v>84000</v>
      </c>
      <c r="J23" s="212">
        <f t="shared" si="4"/>
        <v>3000000</v>
      </c>
      <c r="K23" s="212">
        <f t="shared" si="4"/>
        <v>0</v>
      </c>
      <c r="L23" s="212">
        <f t="shared" si="4"/>
        <v>0</v>
      </c>
      <c r="M23" s="212">
        <f t="shared" si="4"/>
        <v>84000</v>
      </c>
      <c r="N23" s="212">
        <f t="shared" si="4"/>
        <v>0</v>
      </c>
      <c r="O23" s="212">
        <f t="shared" si="4"/>
        <v>0</v>
      </c>
      <c r="P23" s="212">
        <f t="shared" si="4"/>
        <v>0</v>
      </c>
      <c r="Q23" s="212">
        <f t="shared" si="4"/>
        <v>84000</v>
      </c>
      <c r="R23" s="212">
        <f t="shared" si="4"/>
        <v>0</v>
      </c>
      <c r="S23" s="212">
        <f t="shared" ref="S23:V23" si="5">SUM(S24:S26)</f>
        <v>0</v>
      </c>
      <c r="T23" s="212">
        <f t="shared" si="5"/>
        <v>0</v>
      </c>
      <c r="U23" s="212">
        <f t="shared" si="5"/>
        <v>42000</v>
      </c>
      <c r="V23" s="212">
        <f t="shared" si="5"/>
        <v>0</v>
      </c>
      <c r="W23" s="212">
        <f t="shared" si="4"/>
        <v>3294000</v>
      </c>
      <c r="X23" s="214">
        <f>'QFR - B'!G17</f>
        <v>3000000</v>
      </c>
      <c r="Y23" s="235">
        <f>X23-W23</f>
        <v>-294000</v>
      </c>
      <c r="Z23" s="222"/>
    </row>
    <row r="24" spans="1:26" s="223" customFormat="1" ht="12.95" customHeight="1" outlineLevel="1" x14ac:dyDescent="0.2">
      <c r="A24" s="220" t="s">
        <v>176</v>
      </c>
      <c r="B24" s="216" t="s">
        <v>142</v>
      </c>
      <c r="C24" s="217"/>
      <c r="D24" s="218"/>
      <c r="E24" s="218"/>
      <c r="F24" s="218"/>
      <c r="G24" s="218"/>
      <c r="H24" s="218">
        <f>SUMIF('Contract level'!$A:$A,"="&amp;'DFP-Com'!$A24,'Contract level'!AP:AP)</f>
        <v>0</v>
      </c>
      <c r="I24" s="218">
        <f>SUMIF('Contract level'!$A:$A,"="&amp;'DFP-Com'!$A24,'Contract level'!AQ:AQ)</f>
        <v>0</v>
      </c>
      <c r="J24" s="218">
        <f>SUMIF('Contract level'!$A:$A,"="&amp;'DFP-Com'!$A24,'Contract level'!AR:AR)</f>
        <v>3000000</v>
      </c>
      <c r="K24" s="218">
        <f>SUMIF('Contract level'!$A:$A,"="&amp;'DFP-Com'!$A24,'Contract level'!AS:AS)</f>
        <v>0</v>
      </c>
      <c r="L24" s="218">
        <f>SUMIF('Contract level'!$A:$A,"="&amp;'DFP-Com'!$A24,'Contract level'!AT:AT)</f>
        <v>0</v>
      </c>
      <c r="M24" s="218">
        <f>SUMIF('Contract level'!$A:$A,"="&amp;'DFP-Com'!$A24,'Contract level'!AU:AU)</f>
        <v>0</v>
      </c>
      <c r="N24" s="218">
        <f>SUMIF('Contract level'!$A:$A,"="&amp;'DFP-Com'!$A24,'Contract level'!AV:AV)</f>
        <v>0</v>
      </c>
      <c r="O24" s="218">
        <f>SUMIF('Contract level'!$A:$A,"="&amp;'DFP-Com'!$A24,'Contract level'!AW:AW)</f>
        <v>0</v>
      </c>
      <c r="P24" s="218">
        <f>SUMIF('Contract level'!$A:$A,"="&amp;'DFP-Com'!$A24,'Contract level'!AX:AX)</f>
        <v>0</v>
      </c>
      <c r="Q24" s="218">
        <f>SUMIF('Contract level'!$A:$A,"="&amp;'DFP-Com'!$A24,'Contract level'!AY:AY)</f>
        <v>0</v>
      </c>
      <c r="R24" s="218">
        <f>SUMIF('Contract level'!$A:$A,"="&amp;'DFP-Com'!$A24,'Contract level'!AZ:AZ)</f>
        <v>0</v>
      </c>
      <c r="S24" s="218">
        <f>SUMIF('Contract level'!$A:$A,"="&amp;'DFP-Com'!$A24,'Contract level'!BA:BA)</f>
        <v>0</v>
      </c>
      <c r="T24" s="218">
        <f>SUMIF('Contract level'!$A:$A,"="&amp;'DFP-Com'!$A24,'Contract level'!BB:BB)</f>
        <v>0</v>
      </c>
      <c r="U24" s="218">
        <f>SUMIF('Contract level'!$A:$A,"="&amp;'DFP-Com'!$A24,'Contract level'!BC:BC)</f>
        <v>0</v>
      </c>
      <c r="V24" s="218">
        <f>SUMIF('Contract level'!$A:$A,"="&amp;'DFP-Com'!$A24,'Contract level'!BD:BD)</f>
        <v>0</v>
      </c>
      <c r="W24" s="218">
        <f>SUM(H24:V24)+D24+C24</f>
        <v>3000000</v>
      </c>
      <c r="X24" s="219"/>
      <c r="Y24" s="218"/>
      <c r="Z24" s="222"/>
    </row>
    <row r="25" spans="1:26" s="223" customFormat="1" ht="12.95" customHeight="1" outlineLevel="1" x14ac:dyDescent="0.2">
      <c r="A25" s="220" t="s">
        <v>177</v>
      </c>
      <c r="B25" s="216" t="s">
        <v>159</v>
      </c>
      <c r="C25" s="217"/>
      <c r="D25" s="218"/>
      <c r="E25" s="218"/>
      <c r="F25" s="218"/>
      <c r="G25" s="218"/>
      <c r="H25" s="218">
        <f>SUMIF('Contract level'!$A:$A,"="&amp;'DFP-Com'!$A25,'Contract level'!AP:AP)</f>
        <v>0</v>
      </c>
      <c r="I25" s="218">
        <f>SUMIF('Contract level'!$A:$A,"="&amp;'DFP-Com'!$A25,'Contract level'!AQ:AQ)</f>
        <v>84000</v>
      </c>
      <c r="J25" s="218">
        <f>SUMIF('Contract level'!$A:$A,"="&amp;'DFP-Com'!$A25,'Contract level'!AR:AR)</f>
        <v>0</v>
      </c>
      <c r="K25" s="218">
        <f>SUMIF('Contract level'!$A:$A,"="&amp;'DFP-Com'!$A25,'Contract level'!AS:AS)</f>
        <v>0</v>
      </c>
      <c r="L25" s="218">
        <f>SUMIF('Contract level'!$A:$A,"="&amp;'DFP-Com'!$A25,'Contract level'!AT:AT)</f>
        <v>0</v>
      </c>
      <c r="M25" s="218">
        <f>SUMIF('Contract level'!$A:$A,"="&amp;'DFP-Com'!$A25,'Contract level'!AU:AU)</f>
        <v>84000</v>
      </c>
      <c r="N25" s="218">
        <f>SUMIF('Contract level'!$A:$A,"="&amp;'DFP-Com'!$A25,'Contract level'!AV:AV)</f>
        <v>0</v>
      </c>
      <c r="O25" s="218">
        <f>SUMIF('Contract level'!$A:$A,"="&amp;'DFP-Com'!$A25,'Contract level'!AW:AW)</f>
        <v>0</v>
      </c>
      <c r="P25" s="218">
        <f>SUMIF('Contract level'!$A:$A,"="&amp;'DFP-Com'!$A25,'Contract level'!AX:AX)</f>
        <v>0</v>
      </c>
      <c r="Q25" s="218">
        <f>SUMIF('Contract level'!$A:$A,"="&amp;'DFP-Com'!$A25,'Contract level'!AY:AY)</f>
        <v>84000</v>
      </c>
      <c r="R25" s="218">
        <f>SUMIF('Contract level'!$A:$A,"="&amp;'DFP-Com'!$A25,'Contract level'!AZ:AZ)</f>
        <v>0</v>
      </c>
      <c r="S25" s="218">
        <f>SUMIF('Contract level'!$A:$A,"="&amp;'DFP-Com'!$A25,'Contract level'!BA:BA)</f>
        <v>0</v>
      </c>
      <c r="T25" s="218">
        <f>SUMIF('Contract level'!$A:$A,"="&amp;'DFP-Com'!$A25,'Contract level'!BB:BB)</f>
        <v>0</v>
      </c>
      <c r="U25" s="218">
        <f>SUMIF('Contract level'!$A:$A,"="&amp;'DFP-Com'!$A25,'Contract level'!BC:BC)</f>
        <v>42000</v>
      </c>
      <c r="V25" s="218">
        <f>SUMIF('Contract level'!$A:$A,"="&amp;'DFP-Com'!$A25,'Contract level'!BD:BD)</f>
        <v>0</v>
      </c>
      <c r="W25" s="218">
        <f>SUM(H25:V25)+D25+C25</f>
        <v>294000</v>
      </c>
      <c r="X25" s="219"/>
      <c r="Y25" s="218"/>
      <c r="Z25" s="222"/>
    </row>
    <row r="26" spans="1:26" s="223" customFormat="1" outlineLevel="1" x14ac:dyDescent="0.2">
      <c r="A26" s="220" t="s">
        <v>178</v>
      </c>
      <c r="B26" s="216" t="s">
        <v>158</v>
      </c>
      <c r="C26" s="217"/>
      <c r="D26" s="218"/>
      <c r="E26" s="218"/>
      <c r="F26" s="218"/>
      <c r="G26" s="218"/>
      <c r="H26" s="218">
        <f>SUMIF('Contract level'!$A:$A,"="&amp;'DFP-Com'!$A26,'Contract level'!AP:AP)</f>
        <v>0</v>
      </c>
      <c r="I26" s="218">
        <f>SUMIF('Contract level'!$A:$A,"="&amp;'DFP-Com'!$A26,'Contract level'!AQ:AQ)</f>
        <v>0</v>
      </c>
      <c r="J26" s="218">
        <f>SUMIF('Contract level'!$A:$A,"="&amp;'DFP-Com'!$A26,'Contract level'!AR:AR)</f>
        <v>0</v>
      </c>
      <c r="K26" s="218">
        <f>SUMIF('Contract level'!$A:$A,"="&amp;'DFP-Com'!$A26,'Contract level'!AS:AS)</f>
        <v>0</v>
      </c>
      <c r="L26" s="218">
        <f>SUMIF('Contract level'!$A:$A,"="&amp;'DFP-Com'!$A26,'Contract level'!AT:AT)</f>
        <v>0</v>
      </c>
      <c r="M26" s="218">
        <f>SUMIF('Contract level'!$A:$A,"="&amp;'DFP-Com'!$A26,'Contract level'!AU:AU)</f>
        <v>0</v>
      </c>
      <c r="N26" s="218">
        <f>SUMIF('Contract level'!$A:$A,"="&amp;'DFP-Com'!$A26,'Contract level'!AV:AV)</f>
        <v>0</v>
      </c>
      <c r="O26" s="218">
        <f>SUMIF('Contract level'!$A:$A,"="&amp;'DFP-Com'!$A26,'Contract level'!AW:AW)</f>
        <v>0</v>
      </c>
      <c r="P26" s="218">
        <f>SUMIF('Contract level'!$A:$A,"="&amp;'DFP-Com'!$A26,'Contract level'!AX:AX)</f>
        <v>0</v>
      </c>
      <c r="Q26" s="218">
        <f>SUMIF('Contract level'!$A:$A,"="&amp;'DFP-Com'!$A26,'Contract level'!AY:AY)</f>
        <v>0</v>
      </c>
      <c r="R26" s="218">
        <f>SUMIF('Contract level'!$A:$A,"="&amp;'DFP-Com'!$A26,'Contract level'!AZ:AZ)</f>
        <v>0</v>
      </c>
      <c r="S26" s="218">
        <f>SUMIF('Contract level'!$A:$A,"="&amp;'DFP-Com'!$A26,'Contract level'!BA:BA)</f>
        <v>0</v>
      </c>
      <c r="T26" s="218">
        <f>SUMIF('Contract level'!$A:$A,"="&amp;'DFP-Com'!$A26,'Contract level'!BB:BB)</f>
        <v>0</v>
      </c>
      <c r="U26" s="218">
        <f>SUMIF('Contract level'!$A:$A,"="&amp;'DFP-Com'!$A26,'Contract level'!BC:BC)</f>
        <v>0</v>
      </c>
      <c r="V26" s="218">
        <f>SUMIF('Contract level'!$A:$A,"="&amp;'DFP-Com'!$A26,'Contract level'!BD:BD)</f>
        <v>0</v>
      </c>
      <c r="W26" s="218">
        <f>SUM(H26:V26)+D26+C26</f>
        <v>0</v>
      </c>
      <c r="X26" s="219"/>
      <c r="Y26" s="218"/>
      <c r="Z26" s="222"/>
    </row>
    <row r="27" spans="1:26" s="223" customFormat="1" x14ac:dyDescent="0.2">
      <c r="A27" s="220" t="str">
        <f t="shared" si="2"/>
        <v>TOTA</v>
      </c>
      <c r="B27" s="59" t="s">
        <v>73</v>
      </c>
      <c r="C27" s="213">
        <f>C23+C21+C17</f>
        <v>0</v>
      </c>
      <c r="D27" s="213">
        <f t="shared" ref="D27:W27" si="6">D23+D21+D17</f>
        <v>0</v>
      </c>
      <c r="E27" s="213">
        <f t="shared" si="6"/>
        <v>0</v>
      </c>
      <c r="F27" s="213">
        <f t="shared" si="6"/>
        <v>0</v>
      </c>
      <c r="G27" s="213">
        <f t="shared" si="6"/>
        <v>0</v>
      </c>
      <c r="H27" s="213">
        <f t="shared" si="6"/>
        <v>0</v>
      </c>
      <c r="I27" s="213">
        <f t="shared" si="6"/>
        <v>132000</v>
      </c>
      <c r="J27" s="213">
        <f t="shared" si="6"/>
        <v>11000000</v>
      </c>
      <c r="K27" s="213">
        <f t="shared" si="6"/>
        <v>0</v>
      </c>
      <c r="L27" s="213">
        <f t="shared" si="6"/>
        <v>4000000</v>
      </c>
      <c r="M27" s="213">
        <f t="shared" si="6"/>
        <v>3132000</v>
      </c>
      <c r="N27" s="213">
        <f t="shared" si="6"/>
        <v>200000</v>
      </c>
      <c r="O27" s="213">
        <f t="shared" si="6"/>
        <v>0</v>
      </c>
      <c r="P27" s="213">
        <f t="shared" si="6"/>
        <v>0</v>
      </c>
      <c r="Q27" s="213">
        <f t="shared" si="6"/>
        <v>132000</v>
      </c>
      <c r="R27" s="213">
        <f t="shared" si="6"/>
        <v>0</v>
      </c>
      <c r="S27" s="213">
        <f t="shared" ref="S27:V27" si="7">S23+S21+S17</f>
        <v>0</v>
      </c>
      <c r="T27" s="213">
        <f t="shared" si="7"/>
        <v>0</v>
      </c>
      <c r="U27" s="213">
        <f t="shared" si="7"/>
        <v>66000</v>
      </c>
      <c r="V27" s="213">
        <f t="shared" si="7"/>
        <v>0</v>
      </c>
      <c r="W27" s="213">
        <f t="shared" si="6"/>
        <v>18662000</v>
      </c>
      <c r="X27" s="215">
        <f>X17+X21+X23</f>
        <v>19700000</v>
      </c>
      <c r="Y27" s="327">
        <f>Y17+Y21+Y23</f>
        <v>1038000</v>
      </c>
      <c r="Z27" s="222"/>
    </row>
    <row r="28" spans="1:26" s="41" customFormat="1" x14ac:dyDescent="0.2">
      <c r="A28" s="220" t="str">
        <f t="shared" si="2"/>
        <v/>
      </c>
      <c r="B28" s="61"/>
      <c r="C28" s="332"/>
      <c r="D28" s="232"/>
      <c r="E28" s="232"/>
      <c r="F28" s="232"/>
      <c r="G28" s="232"/>
      <c r="H28" s="232"/>
      <c r="I28" s="232"/>
      <c r="J28" s="232"/>
      <c r="K28" s="232"/>
      <c r="L28" s="232"/>
      <c r="M28" s="232"/>
      <c r="N28" s="232"/>
      <c r="O28" s="232"/>
      <c r="P28" s="232"/>
      <c r="Q28" s="232"/>
      <c r="R28" s="232"/>
      <c r="S28" s="232"/>
      <c r="T28" s="232"/>
      <c r="U28" s="232"/>
      <c r="V28" s="232"/>
      <c r="W28" s="232"/>
      <c r="X28" s="328"/>
      <c r="Y28" s="232"/>
      <c r="Z28" s="40"/>
    </row>
    <row r="29" spans="1:26" s="41" customFormat="1" x14ac:dyDescent="0.2">
      <c r="A29" s="220" t="str">
        <f t="shared" si="2"/>
        <v>2. R</v>
      </c>
      <c r="B29" s="52" t="s">
        <v>105</v>
      </c>
      <c r="C29" s="333"/>
      <c r="D29" s="233"/>
      <c r="E29" s="233"/>
      <c r="F29" s="233"/>
      <c r="G29" s="233"/>
      <c r="H29" s="233"/>
      <c r="I29" s="233"/>
      <c r="J29" s="233"/>
      <c r="K29" s="233"/>
      <c r="L29" s="233"/>
      <c r="M29" s="233"/>
      <c r="N29" s="233"/>
      <c r="O29" s="233"/>
      <c r="P29" s="233"/>
      <c r="Q29" s="233"/>
      <c r="R29" s="233"/>
      <c r="S29" s="233"/>
      <c r="T29" s="233"/>
      <c r="U29" s="233"/>
      <c r="V29" s="233"/>
      <c r="W29" s="233"/>
      <c r="X29" s="329"/>
      <c r="Y29" s="233"/>
      <c r="Z29" s="40"/>
    </row>
    <row r="30" spans="1:26" s="41" customFormat="1" outlineLevel="1" x14ac:dyDescent="0.2">
      <c r="A30" s="220">
        <v>2.1</v>
      </c>
      <c r="B30" s="57" t="s">
        <v>160</v>
      </c>
      <c r="C30" s="235">
        <f t="shared" ref="C30:W30" si="8">SUM(C31:C31)</f>
        <v>0</v>
      </c>
      <c r="D30" s="235">
        <f t="shared" si="8"/>
        <v>0</v>
      </c>
      <c r="E30" s="235">
        <f t="shared" si="8"/>
        <v>0</v>
      </c>
      <c r="F30" s="235">
        <f t="shared" si="8"/>
        <v>0</v>
      </c>
      <c r="G30" s="235">
        <f t="shared" si="8"/>
        <v>200000</v>
      </c>
      <c r="H30" s="235">
        <f t="shared" si="8"/>
        <v>200000</v>
      </c>
      <c r="I30" s="235">
        <f t="shared" si="8"/>
        <v>300000</v>
      </c>
      <c r="J30" s="235">
        <f t="shared" si="8"/>
        <v>0</v>
      </c>
      <c r="K30" s="235">
        <f t="shared" si="8"/>
        <v>0</v>
      </c>
      <c r="L30" s="235">
        <f t="shared" si="8"/>
        <v>300000</v>
      </c>
      <c r="M30" s="235">
        <f t="shared" si="8"/>
        <v>0</v>
      </c>
      <c r="N30" s="235">
        <f t="shared" si="8"/>
        <v>0</v>
      </c>
      <c r="O30" s="235">
        <f t="shared" si="8"/>
        <v>0</v>
      </c>
      <c r="P30" s="235">
        <f t="shared" si="8"/>
        <v>0</v>
      </c>
      <c r="Q30" s="235">
        <f t="shared" si="8"/>
        <v>0</v>
      </c>
      <c r="R30" s="235">
        <f t="shared" si="8"/>
        <v>0</v>
      </c>
      <c r="S30" s="235">
        <f t="shared" si="8"/>
        <v>0</v>
      </c>
      <c r="T30" s="235">
        <f t="shared" si="8"/>
        <v>0</v>
      </c>
      <c r="U30" s="235">
        <f t="shared" si="8"/>
        <v>0</v>
      </c>
      <c r="V30" s="235">
        <f t="shared" si="8"/>
        <v>0</v>
      </c>
      <c r="W30" s="235">
        <f t="shared" si="8"/>
        <v>800000</v>
      </c>
      <c r="X30" s="214">
        <f>'QFR - B'!G20</f>
        <v>0</v>
      </c>
      <c r="Y30" s="235">
        <f>X30-W30</f>
        <v>-800000</v>
      </c>
      <c r="Z30" s="40"/>
    </row>
    <row r="31" spans="1:26" s="223" customFormat="1" outlineLevel="1" x14ac:dyDescent="0.2">
      <c r="A31" s="220" t="s">
        <v>179</v>
      </c>
      <c r="B31" s="216" t="s">
        <v>153</v>
      </c>
      <c r="C31" s="217"/>
      <c r="D31" s="218"/>
      <c r="E31" s="218"/>
      <c r="F31" s="218"/>
      <c r="G31" s="218">
        <v>200000</v>
      </c>
      <c r="H31" s="218">
        <f>SUMIF('Contract level'!$A:$A,"="&amp;'DFP-Com'!$A31,'Contract level'!AP:AP)</f>
        <v>200000</v>
      </c>
      <c r="I31" s="218">
        <f>SUMIF('Contract level'!$A:$A,"="&amp;'DFP-Com'!$A31,'Contract level'!AQ:AQ)</f>
        <v>300000</v>
      </c>
      <c r="J31" s="218">
        <f>SUMIF('Contract level'!$A:$A,"="&amp;'DFP-Com'!$A31,'Contract level'!AR:AR)</f>
        <v>0</v>
      </c>
      <c r="K31" s="218">
        <f>SUMIF('Contract level'!$A:$A,"="&amp;'DFP-Com'!$A31,'Contract level'!AS:AS)</f>
        <v>0</v>
      </c>
      <c r="L31" s="218">
        <f>SUMIF('Contract level'!$A:$A,"="&amp;'DFP-Com'!$A31,'Contract level'!AT:AT)</f>
        <v>300000</v>
      </c>
      <c r="M31" s="218">
        <f>SUMIF('Contract level'!$A:$A,"="&amp;'DFP-Com'!$A31,'Contract level'!AU:AU)</f>
        <v>0</v>
      </c>
      <c r="N31" s="218">
        <f>SUMIF('Contract level'!$A:$A,"="&amp;'DFP-Com'!$A31,'Contract level'!AV:AV)</f>
        <v>0</v>
      </c>
      <c r="O31" s="218">
        <f>SUMIF('Contract level'!$A:$A,"="&amp;'DFP-Com'!$A31,'Contract level'!AW:AW)</f>
        <v>0</v>
      </c>
      <c r="P31" s="218">
        <f>SUMIF('Contract level'!$A:$A,"="&amp;'DFP-Com'!$A31,'Contract level'!AX:AX)</f>
        <v>0</v>
      </c>
      <c r="Q31" s="218">
        <f>SUMIF('Contract level'!$A:$A,"="&amp;'DFP-Com'!$A31,'Contract level'!AY:AY)</f>
        <v>0</v>
      </c>
      <c r="R31" s="218">
        <f>SUMIF('Contract level'!$A:$A,"="&amp;'DFP-Com'!$A31,'Contract level'!AZ:AZ)</f>
        <v>0</v>
      </c>
      <c r="S31" s="218">
        <f>SUMIF('Contract level'!$A:$A,"="&amp;'DFP-Com'!$A31,'Contract level'!BA:BA)</f>
        <v>0</v>
      </c>
      <c r="T31" s="218">
        <f>SUMIF('Contract level'!$A:$A,"="&amp;'DFP-Com'!$A31,'Contract level'!BB:BB)</f>
        <v>0</v>
      </c>
      <c r="U31" s="218">
        <f>SUMIF('Contract level'!$A:$A,"="&amp;'DFP-Com'!$A31,'Contract level'!BC:BC)</f>
        <v>0</v>
      </c>
      <c r="V31" s="218">
        <f>SUMIF('Contract level'!$A:$A,"="&amp;'DFP-Com'!$A31,'Contract level'!BD:BD)</f>
        <v>0</v>
      </c>
      <c r="W31" s="218">
        <f>SUM(H31:V31)+D31+C31</f>
        <v>800000</v>
      </c>
      <c r="X31" s="219"/>
      <c r="Y31" s="218"/>
      <c r="Z31" s="222"/>
    </row>
    <row r="32" spans="1:26" s="41" customFormat="1" outlineLevel="1" x14ac:dyDescent="0.2">
      <c r="A32" s="220">
        <v>2.2000000000000002</v>
      </c>
      <c r="B32" s="57" t="s">
        <v>109</v>
      </c>
      <c r="C32" s="212">
        <f>SUM(C33:C35)</f>
        <v>0</v>
      </c>
      <c r="D32" s="212">
        <f t="shared" ref="D32:R32" si="9">SUM(D33:D35)</f>
        <v>0</v>
      </c>
      <c r="E32" s="212">
        <f t="shared" si="9"/>
        <v>0</v>
      </c>
      <c r="F32" s="212">
        <f t="shared" si="9"/>
        <v>0</v>
      </c>
      <c r="G32" s="212">
        <f t="shared" si="9"/>
        <v>650000</v>
      </c>
      <c r="H32" s="212">
        <f t="shared" si="9"/>
        <v>650000</v>
      </c>
      <c r="I32" s="212">
        <f t="shared" si="9"/>
        <v>120000</v>
      </c>
      <c r="J32" s="212">
        <f t="shared" si="9"/>
        <v>850000</v>
      </c>
      <c r="K32" s="212">
        <f t="shared" si="9"/>
        <v>200000</v>
      </c>
      <c r="L32" s="212">
        <f t="shared" si="9"/>
        <v>400000</v>
      </c>
      <c r="M32" s="212">
        <f t="shared" si="9"/>
        <v>0</v>
      </c>
      <c r="N32" s="212">
        <f t="shared" si="9"/>
        <v>0</v>
      </c>
      <c r="O32" s="212">
        <f t="shared" si="9"/>
        <v>0</v>
      </c>
      <c r="P32" s="212">
        <f t="shared" si="9"/>
        <v>0</v>
      </c>
      <c r="Q32" s="212">
        <f t="shared" si="9"/>
        <v>0</v>
      </c>
      <c r="R32" s="212">
        <f t="shared" si="9"/>
        <v>0</v>
      </c>
      <c r="S32" s="212">
        <f t="shared" ref="S32:V32" si="10">SUM(S33:S35)</f>
        <v>0</v>
      </c>
      <c r="T32" s="212">
        <f t="shared" si="10"/>
        <v>0</v>
      </c>
      <c r="U32" s="212">
        <f t="shared" si="10"/>
        <v>0</v>
      </c>
      <c r="V32" s="212">
        <f t="shared" si="10"/>
        <v>0</v>
      </c>
      <c r="W32" s="212">
        <f>SUM(W33:W35)</f>
        <v>2220000</v>
      </c>
      <c r="X32" s="214">
        <f>'QFR - B'!G21</f>
        <v>4000000</v>
      </c>
      <c r="Y32" s="235">
        <f>X32-W32</f>
        <v>1780000</v>
      </c>
      <c r="Z32" s="40"/>
    </row>
    <row r="33" spans="1:26" s="223" customFormat="1" outlineLevel="1" x14ac:dyDescent="0.2">
      <c r="A33" s="220" t="s">
        <v>180</v>
      </c>
      <c r="B33" s="216" t="s">
        <v>154</v>
      </c>
      <c r="C33" s="217"/>
      <c r="D33" s="218"/>
      <c r="E33" s="218"/>
      <c r="F33" s="218"/>
      <c r="G33" s="218">
        <f>H33</f>
        <v>650000</v>
      </c>
      <c r="H33" s="218">
        <f>SUMIF('Contract level'!$A:$A,"="&amp;'DFP-Com'!$A33,'Contract level'!AP:AP)</f>
        <v>650000</v>
      </c>
      <c r="I33" s="218">
        <f>SUMIF('Contract level'!$A:$A,"="&amp;'DFP-Com'!$A33,'Contract level'!AQ:AQ)</f>
        <v>120000</v>
      </c>
      <c r="J33" s="218">
        <f>SUMIF('Contract level'!$A:$A,"="&amp;'DFP-Com'!$A33,'Contract level'!AR:AR)</f>
        <v>0</v>
      </c>
      <c r="K33" s="218">
        <f>SUMIF('Contract level'!$A:$A,"="&amp;'DFP-Com'!$A33,'Contract level'!AS:AS)</f>
        <v>0</v>
      </c>
      <c r="L33" s="218">
        <f>SUMIF('Contract level'!$A:$A,"="&amp;'DFP-Com'!$A33,'Contract level'!AT:AT)</f>
        <v>150000</v>
      </c>
      <c r="M33" s="218">
        <f>SUMIF('Contract level'!$A:$A,"="&amp;'DFP-Com'!$A33,'Contract level'!AU:AU)</f>
        <v>0</v>
      </c>
      <c r="N33" s="218">
        <f>SUMIF('Contract level'!$A:$A,"="&amp;'DFP-Com'!$A33,'Contract level'!AV:AV)</f>
        <v>0</v>
      </c>
      <c r="O33" s="218">
        <f>SUMIF('Contract level'!$A:$A,"="&amp;'DFP-Com'!$A33,'Contract level'!AW:AW)</f>
        <v>0</v>
      </c>
      <c r="P33" s="218">
        <f>SUMIF('Contract level'!$A:$A,"="&amp;'DFP-Com'!$A33,'Contract level'!AX:AX)</f>
        <v>0</v>
      </c>
      <c r="Q33" s="218">
        <f>SUMIF('Contract level'!$A:$A,"="&amp;'DFP-Com'!$A33,'Contract level'!AY:AY)</f>
        <v>0</v>
      </c>
      <c r="R33" s="218">
        <f>SUMIF('Contract level'!$A:$A,"="&amp;'DFP-Com'!$A33,'Contract level'!AZ:AZ)</f>
        <v>0</v>
      </c>
      <c r="S33" s="218">
        <f>SUMIF('Contract level'!$A:$A,"="&amp;'DFP-Com'!$A33,'Contract level'!BA:BA)</f>
        <v>0</v>
      </c>
      <c r="T33" s="218">
        <f>SUMIF('Contract level'!$A:$A,"="&amp;'DFP-Com'!$A33,'Contract level'!BB:BB)</f>
        <v>0</v>
      </c>
      <c r="U33" s="218">
        <f>SUMIF('Contract level'!$A:$A,"="&amp;'DFP-Com'!$A33,'Contract level'!BC:BC)</f>
        <v>0</v>
      </c>
      <c r="V33" s="218">
        <f>SUMIF('Contract level'!$A:$A,"="&amp;'DFP-Com'!$A33,'Contract level'!BD:BD)</f>
        <v>0</v>
      </c>
      <c r="W33" s="218">
        <f>SUM(H33:V33)+D33+C33</f>
        <v>920000</v>
      </c>
      <c r="X33" s="219"/>
      <c r="Y33" s="218"/>
      <c r="Z33" s="222"/>
    </row>
    <row r="34" spans="1:26" s="223" customFormat="1" outlineLevel="1" x14ac:dyDescent="0.2">
      <c r="A34" s="220" t="s">
        <v>181</v>
      </c>
      <c r="B34" s="216" t="s">
        <v>155</v>
      </c>
      <c r="C34" s="217"/>
      <c r="D34" s="218"/>
      <c r="E34" s="218"/>
      <c r="F34" s="218"/>
      <c r="G34" s="218"/>
      <c r="H34" s="218">
        <f>SUMIF('Contract level'!$A:$A,"="&amp;'DFP-Com'!$A34,'Contract level'!AP:AP)</f>
        <v>0</v>
      </c>
      <c r="I34" s="218">
        <f>SUMIF('Contract level'!$A:$A,"="&amp;'DFP-Com'!$A34,'Contract level'!AQ:AQ)</f>
        <v>0</v>
      </c>
      <c r="J34" s="218">
        <f>SUMIF('Contract level'!$A:$A,"="&amp;'DFP-Com'!$A34,'Contract level'!AR:AR)</f>
        <v>850000</v>
      </c>
      <c r="K34" s="218">
        <f>SUMIF('Contract level'!$A:$A,"="&amp;'DFP-Com'!$A34,'Contract level'!AS:AS)</f>
        <v>200000</v>
      </c>
      <c r="L34" s="218">
        <f>SUMIF('Contract level'!$A:$A,"="&amp;'DFP-Com'!$A34,'Contract level'!AT:AT)</f>
        <v>250000</v>
      </c>
      <c r="M34" s="218">
        <f>SUMIF('Contract level'!$A:$A,"="&amp;'DFP-Com'!$A34,'Contract level'!AU:AU)</f>
        <v>0</v>
      </c>
      <c r="N34" s="218">
        <f>SUMIF('Contract level'!$A:$A,"="&amp;'DFP-Com'!$A34,'Contract level'!AV:AV)</f>
        <v>0</v>
      </c>
      <c r="O34" s="218">
        <f>SUMIF('Contract level'!$A:$A,"="&amp;'DFP-Com'!$A34,'Contract level'!AW:AW)</f>
        <v>0</v>
      </c>
      <c r="P34" s="218">
        <f>SUMIF('Contract level'!$A:$A,"="&amp;'DFP-Com'!$A34,'Contract level'!AX:AX)</f>
        <v>0</v>
      </c>
      <c r="Q34" s="218">
        <f>SUMIF('Contract level'!$A:$A,"="&amp;'DFP-Com'!$A34,'Contract level'!AY:AY)</f>
        <v>0</v>
      </c>
      <c r="R34" s="218">
        <f>SUMIF('Contract level'!$A:$A,"="&amp;'DFP-Com'!$A34,'Contract level'!AZ:AZ)</f>
        <v>0</v>
      </c>
      <c r="S34" s="218">
        <f>SUMIF('Contract level'!$A:$A,"="&amp;'DFP-Com'!$A34,'Contract level'!BA:BA)</f>
        <v>0</v>
      </c>
      <c r="T34" s="218">
        <f>SUMIF('Contract level'!$A:$A,"="&amp;'DFP-Com'!$A34,'Contract level'!BB:BB)</f>
        <v>0</v>
      </c>
      <c r="U34" s="218">
        <f>SUMIF('Contract level'!$A:$A,"="&amp;'DFP-Com'!$A34,'Contract level'!BC:BC)</f>
        <v>0</v>
      </c>
      <c r="V34" s="218">
        <f>SUMIF('Contract level'!$A:$A,"="&amp;'DFP-Com'!$A34,'Contract level'!BD:BD)</f>
        <v>0</v>
      </c>
      <c r="W34" s="218">
        <f>SUM(H34:V34)+D34+C34</f>
        <v>1300000</v>
      </c>
      <c r="X34" s="219"/>
      <c r="Y34" s="218"/>
      <c r="Z34" s="222"/>
    </row>
    <row r="35" spans="1:26" s="223" customFormat="1" outlineLevel="1" x14ac:dyDescent="0.2">
      <c r="A35" s="220" t="s">
        <v>182</v>
      </c>
      <c r="B35" s="216" t="s">
        <v>157</v>
      </c>
      <c r="C35" s="217"/>
      <c r="D35" s="218"/>
      <c r="E35" s="218"/>
      <c r="F35" s="218"/>
      <c r="G35" s="218"/>
      <c r="H35" s="218">
        <f>SUMIF('Contract level'!$A:$A,"="&amp;'DFP-Com'!$A35,'Contract level'!AP:AP)</f>
        <v>0</v>
      </c>
      <c r="I35" s="218">
        <f>SUMIF('Contract level'!$A:$A,"="&amp;'DFP-Com'!$A35,'Contract level'!AQ:AQ)</f>
        <v>0</v>
      </c>
      <c r="J35" s="218">
        <f>SUMIF('Contract level'!$A:$A,"="&amp;'DFP-Com'!$A35,'Contract level'!AR:AR)</f>
        <v>0</v>
      </c>
      <c r="K35" s="218">
        <f>SUMIF('Contract level'!$A:$A,"="&amp;'DFP-Com'!$A35,'Contract level'!AS:AS)</f>
        <v>0</v>
      </c>
      <c r="L35" s="218">
        <f>SUMIF('Contract level'!$A:$A,"="&amp;'DFP-Com'!$A35,'Contract level'!AT:AT)</f>
        <v>0</v>
      </c>
      <c r="M35" s="218">
        <f>SUMIF('Contract level'!$A:$A,"="&amp;'DFP-Com'!$A35,'Contract level'!AU:AU)</f>
        <v>0</v>
      </c>
      <c r="N35" s="218">
        <f>SUMIF('Contract level'!$A:$A,"="&amp;'DFP-Com'!$A35,'Contract level'!AV:AV)</f>
        <v>0</v>
      </c>
      <c r="O35" s="218">
        <f>SUMIF('Contract level'!$A:$A,"="&amp;'DFP-Com'!$A35,'Contract level'!AW:AW)</f>
        <v>0</v>
      </c>
      <c r="P35" s="218">
        <f>SUMIF('Contract level'!$A:$A,"="&amp;'DFP-Com'!$A35,'Contract level'!AX:AX)</f>
        <v>0</v>
      </c>
      <c r="Q35" s="218">
        <f>SUMIF('Contract level'!$A:$A,"="&amp;'DFP-Com'!$A35,'Contract level'!AY:AY)</f>
        <v>0</v>
      </c>
      <c r="R35" s="218">
        <f>SUMIF('Contract level'!$A:$A,"="&amp;'DFP-Com'!$A35,'Contract level'!AZ:AZ)</f>
        <v>0</v>
      </c>
      <c r="S35" s="218">
        <f>SUMIF('Contract level'!$A:$A,"="&amp;'DFP-Com'!$A35,'Contract level'!BA:BA)</f>
        <v>0</v>
      </c>
      <c r="T35" s="218">
        <f>SUMIF('Contract level'!$A:$A,"="&amp;'DFP-Com'!$A35,'Contract level'!BB:BB)</f>
        <v>0</v>
      </c>
      <c r="U35" s="218">
        <f>SUMIF('Contract level'!$A:$A,"="&amp;'DFP-Com'!$A35,'Contract level'!BC:BC)</f>
        <v>0</v>
      </c>
      <c r="V35" s="218">
        <f>SUMIF('Contract level'!$A:$A,"="&amp;'DFP-Com'!$A35,'Contract level'!BD:BD)</f>
        <v>0</v>
      </c>
      <c r="W35" s="218">
        <f>SUM(H35:V35)+D35+C35</f>
        <v>0</v>
      </c>
      <c r="X35" s="219"/>
      <c r="Y35" s="218"/>
      <c r="Z35" s="222"/>
    </row>
    <row r="36" spans="1:26" s="41" customFormat="1" x14ac:dyDescent="0.2">
      <c r="A36" s="220" t="str">
        <f t="shared" si="2"/>
        <v>TOTA</v>
      </c>
      <c r="B36" s="66" t="s">
        <v>74</v>
      </c>
      <c r="C36" s="213">
        <f>C32</f>
        <v>0</v>
      </c>
      <c r="D36" s="213">
        <f t="shared" ref="D36:F36" si="11">D32</f>
        <v>0</v>
      </c>
      <c r="E36" s="213">
        <f t="shared" si="11"/>
        <v>0</v>
      </c>
      <c r="F36" s="213">
        <f t="shared" si="11"/>
        <v>0</v>
      </c>
      <c r="G36" s="213">
        <f>G32+G30</f>
        <v>850000</v>
      </c>
      <c r="H36" s="213">
        <f>H32+H30</f>
        <v>850000</v>
      </c>
      <c r="I36" s="213">
        <f t="shared" ref="I36:V36" si="12">I32+I30</f>
        <v>420000</v>
      </c>
      <c r="J36" s="213">
        <f t="shared" si="12"/>
        <v>850000</v>
      </c>
      <c r="K36" s="213">
        <f t="shared" si="12"/>
        <v>200000</v>
      </c>
      <c r="L36" s="213">
        <f t="shared" si="12"/>
        <v>700000</v>
      </c>
      <c r="M36" s="213">
        <f t="shared" si="12"/>
        <v>0</v>
      </c>
      <c r="N36" s="213">
        <f t="shared" si="12"/>
        <v>0</v>
      </c>
      <c r="O36" s="213">
        <f t="shared" si="12"/>
        <v>0</v>
      </c>
      <c r="P36" s="213">
        <f t="shared" si="12"/>
        <v>0</v>
      </c>
      <c r="Q36" s="213">
        <f t="shared" si="12"/>
        <v>0</v>
      </c>
      <c r="R36" s="213">
        <f t="shared" si="12"/>
        <v>0</v>
      </c>
      <c r="S36" s="213">
        <f t="shared" si="12"/>
        <v>0</v>
      </c>
      <c r="T36" s="213">
        <f t="shared" si="12"/>
        <v>0</v>
      </c>
      <c r="U36" s="213">
        <f t="shared" si="12"/>
        <v>0</v>
      </c>
      <c r="V36" s="213">
        <f t="shared" si="12"/>
        <v>0</v>
      </c>
      <c r="W36" s="213">
        <f>W30+W32</f>
        <v>3020000</v>
      </c>
      <c r="X36" s="331">
        <f>SUM(X30:X35)</f>
        <v>4000000</v>
      </c>
      <c r="Y36" s="327">
        <f>SUM(Y29:Y35)</f>
        <v>980000</v>
      </c>
      <c r="Z36" s="40"/>
    </row>
    <row r="37" spans="1:26" s="41" customFormat="1" x14ac:dyDescent="0.2">
      <c r="A37" s="220" t="str">
        <f t="shared" si="2"/>
        <v/>
      </c>
      <c r="B37" s="61"/>
      <c r="C37" s="332"/>
      <c r="D37" s="232"/>
      <c r="E37" s="232"/>
      <c r="F37" s="232"/>
      <c r="G37" s="232"/>
      <c r="H37" s="232"/>
      <c r="I37" s="232"/>
      <c r="J37" s="232"/>
      <c r="K37" s="232"/>
      <c r="L37" s="232"/>
      <c r="M37" s="232"/>
      <c r="N37" s="232"/>
      <c r="O37" s="232"/>
      <c r="P37" s="232"/>
      <c r="Q37" s="232"/>
      <c r="R37" s="232"/>
      <c r="S37" s="232"/>
      <c r="T37" s="232"/>
      <c r="U37" s="232"/>
      <c r="V37" s="232"/>
      <c r="W37" s="232"/>
      <c r="X37" s="328"/>
      <c r="Y37" s="232"/>
      <c r="Z37" s="40"/>
    </row>
    <row r="38" spans="1:26" s="71" customFormat="1" x14ac:dyDescent="0.2">
      <c r="A38" s="220" t="str">
        <f t="shared" si="2"/>
        <v>3. M</v>
      </c>
      <c r="B38" s="52" t="s">
        <v>115</v>
      </c>
      <c r="C38" s="334"/>
      <c r="D38" s="323"/>
      <c r="E38" s="323"/>
      <c r="F38" s="323"/>
      <c r="G38" s="323"/>
      <c r="H38" s="323"/>
      <c r="I38" s="323"/>
      <c r="J38" s="323"/>
      <c r="K38" s="323"/>
      <c r="L38" s="323"/>
      <c r="M38" s="323"/>
      <c r="N38" s="323"/>
      <c r="O38" s="323"/>
      <c r="P38" s="323"/>
      <c r="Q38" s="323"/>
      <c r="R38" s="323"/>
      <c r="S38" s="323"/>
      <c r="T38" s="323"/>
      <c r="U38" s="323"/>
      <c r="V38" s="323"/>
      <c r="W38" s="233"/>
      <c r="X38" s="329"/>
      <c r="Y38" s="233"/>
      <c r="Z38" s="70"/>
    </row>
    <row r="39" spans="1:26" s="71" customFormat="1" outlineLevel="1" x14ac:dyDescent="0.2">
      <c r="A39" s="220" t="str">
        <f t="shared" si="2"/>
        <v xml:space="preserve">   M</v>
      </c>
      <c r="B39" s="72" t="s">
        <v>116</v>
      </c>
      <c r="C39" s="212">
        <f>SUM(C40:C42)</f>
        <v>0</v>
      </c>
      <c r="D39" s="212">
        <f t="shared" ref="D39:R39" si="13">SUM(D40:D42)</f>
        <v>0</v>
      </c>
      <c r="E39" s="212">
        <f t="shared" si="13"/>
        <v>0</v>
      </c>
      <c r="F39" s="212">
        <f t="shared" si="13"/>
        <v>0</v>
      </c>
      <c r="G39" s="212">
        <f t="shared" si="13"/>
        <v>0</v>
      </c>
      <c r="H39" s="212">
        <f t="shared" si="13"/>
        <v>0</v>
      </c>
      <c r="I39" s="212">
        <f t="shared" si="13"/>
        <v>0</v>
      </c>
      <c r="J39" s="212">
        <f t="shared" si="13"/>
        <v>500000</v>
      </c>
      <c r="K39" s="212">
        <f t="shared" si="13"/>
        <v>0</v>
      </c>
      <c r="L39" s="212">
        <f t="shared" si="13"/>
        <v>0</v>
      </c>
      <c r="M39" s="212">
        <f t="shared" si="13"/>
        <v>0</v>
      </c>
      <c r="N39" s="212">
        <f t="shared" si="13"/>
        <v>100000</v>
      </c>
      <c r="O39" s="212">
        <f t="shared" si="13"/>
        <v>0</v>
      </c>
      <c r="P39" s="212">
        <f t="shared" si="13"/>
        <v>0</v>
      </c>
      <c r="Q39" s="212">
        <f t="shared" si="13"/>
        <v>0</v>
      </c>
      <c r="R39" s="212">
        <f t="shared" si="13"/>
        <v>0</v>
      </c>
      <c r="S39" s="212">
        <f t="shared" ref="S39:V39" si="14">SUM(S40:S42)</f>
        <v>0</v>
      </c>
      <c r="T39" s="212">
        <f t="shared" si="14"/>
        <v>0</v>
      </c>
      <c r="U39" s="212">
        <f t="shared" si="14"/>
        <v>0</v>
      </c>
      <c r="V39" s="212">
        <f t="shared" si="14"/>
        <v>900000</v>
      </c>
      <c r="W39" s="235">
        <f>SUM(W40:W42)</f>
        <v>1500000</v>
      </c>
      <c r="X39" s="214">
        <f>'QFR - B'!G24</f>
        <v>1700000</v>
      </c>
      <c r="Y39" s="235">
        <f>X39-W39</f>
        <v>200000</v>
      </c>
      <c r="Z39" s="70"/>
    </row>
    <row r="40" spans="1:26" s="230" customFormat="1" outlineLevel="1" x14ac:dyDescent="0.2">
      <c r="A40" s="220" t="s">
        <v>183</v>
      </c>
      <c r="B40" s="227" t="s">
        <v>143</v>
      </c>
      <c r="C40" s="217"/>
      <c r="D40" s="217"/>
      <c r="E40" s="217"/>
      <c r="F40" s="217"/>
      <c r="G40" s="217"/>
      <c r="H40" s="218">
        <f>SUMIF('Contract level'!$A:$A,"="&amp;'DFP-Com'!$A40,'Contract level'!AP:AP)</f>
        <v>0</v>
      </c>
      <c r="I40" s="218">
        <f>SUMIF('Contract level'!$A:$A,"="&amp;'DFP-Com'!$A40,'Contract level'!AQ:AQ)</f>
        <v>0</v>
      </c>
      <c r="J40" s="218">
        <f>SUMIF('Contract level'!$A:$A,"="&amp;'DFP-Com'!$A40,'Contract level'!AR:AR)</f>
        <v>400000</v>
      </c>
      <c r="K40" s="218">
        <f>SUMIF('Contract level'!$A:$A,"="&amp;'DFP-Com'!$A40,'Contract level'!AS:AS)</f>
        <v>0</v>
      </c>
      <c r="L40" s="218">
        <f>SUMIF('Contract level'!$A:$A,"="&amp;'DFP-Com'!$A40,'Contract level'!AT:AT)</f>
        <v>0</v>
      </c>
      <c r="M40" s="218">
        <f>SUMIF('Contract level'!$A:$A,"="&amp;'DFP-Com'!$A40,'Contract level'!AU:AU)</f>
        <v>0</v>
      </c>
      <c r="N40" s="218">
        <f>SUMIF('Contract level'!$A:$A,"="&amp;'DFP-Com'!$A40,'Contract level'!AV:AV)</f>
        <v>0</v>
      </c>
      <c r="O40" s="218">
        <f>SUMIF('Contract level'!$A:$A,"="&amp;'DFP-Com'!$A40,'Contract level'!AW:AW)</f>
        <v>0</v>
      </c>
      <c r="P40" s="218">
        <f>SUMIF('Contract level'!$A:$A,"="&amp;'DFP-Com'!$A40,'Contract level'!AX:AX)</f>
        <v>0</v>
      </c>
      <c r="Q40" s="218">
        <f>SUMIF('Contract level'!$A:$A,"="&amp;'DFP-Com'!$A40,'Contract level'!AY:AY)</f>
        <v>0</v>
      </c>
      <c r="R40" s="218">
        <f>SUMIF('Contract level'!$A:$A,"="&amp;'DFP-Com'!$A40,'Contract level'!AZ:AZ)</f>
        <v>0</v>
      </c>
      <c r="S40" s="218">
        <f>SUMIF('Contract level'!$A:$A,"="&amp;'DFP-Com'!$A40,'Contract level'!BA:BA)</f>
        <v>0</v>
      </c>
      <c r="T40" s="218">
        <f>SUMIF('Contract level'!$A:$A,"="&amp;'DFP-Com'!$A40,'Contract level'!BB:BB)</f>
        <v>0</v>
      </c>
      <c r="U40" s="218">
        <f>SUMIF('Contract level'!$A:$A,"="&amp;'DFP-Com'!$A40,'Contract level'!BC:BC)</f>
        <v>0</v>
      </c>
      <c r="V40" s="218">
        <f>SUMIF('Contract level'!$A:$A,"="&amp;'DFP-Com'!$A40,'Contract level'!BD:BD)</f>
        <v>500000</v>
      </c>
      <c r="W40" s="218">
        <f>SUM(H40:V40)+D40+C40</f>
        <v>900000</v>
      </c>
      <c r="X40" s="330"/>
      <c r="Y40" s="217"/>
      <c r="Z40" s="229"/>
    </row>
    <row r="41" spans="1:26" s="230" customFormat="1" outlineLevel="1" x14ac:dyDescent="0.2">
      <c r="A41" s="220" t="s">
        <v>184</v>
      </c>
      <c r="B41" s="227" t="s">
        <v>144</v>
      </c>
      <c r="C41" s="217"/>
      <c r="D41" s="217"/>
      <c r="E41" s="217"/>
      <c r="F41" s="217"/>
      <c r="G41" s="217"/>
      <c r="H41" s="218">
        <f>SUMIF('Contract level'!$A:$A,"="&amp;'DFP-Com'!$A41,'Contract level'!AP:AP)</f>
        <v>0</v>
      </c>
      <c r="I41" s="218">
        <f>SUMIF('Contract level'!$A:$A,"="&amp;'DFP-Com'!$A41,'Contract level'!AQ:AQ)</f>
        <v>0</v>
      </c>
      <c r="J41" s="218">
        <f>SUMIF('Contract level'!$A:$A,"="&amp;'DFP-Com'!$A41,'Contract level'!AR:AR)</f>
        <v>100000</v>
      </c>
      <c r="K41" s="218">
        <f>SUMIF('Contract level'!$A:$A,"="&amp;'DFP-Com'!$A41,'Contract level'!AS:AS)</f>
        <v>0</v>
      </c>
      <c r="L41" s="218">
        <f>SUMIF('Contract level'!$A:$A,"="&amp;'DFP-Com'!$A41,'Contract level'!AT:AT)</f>
        <v>0</v>
      </c>
      <c r="M41" s="218">
        <f>SUMIF('Contract level'!$A:$A,"="&amp;'DFP-Com'!$A41,'Contract level'!AU:AU)</f>
        <v>0</v>
      </c>
      <c r="N41" s="218">
        <f>SUMIF('Contract level'!$A:$A,"="&amp;'DFP-Com'!$A41,'Contract level'!AV:AV)</f>
        <v>0</v>
      </c>
      <c r="O41" s="218">
        <f>SUMIF('Contract level'!$A:$A,"="&amp;'DFP-Com'!$A41,'Contract level'!AW:AW)</f>
        <v>0</v>
      </c>
      <c r="P41" s="218">
        <f>SUMIF('Contract level'!$A:$A,"="&amp;'DFP-Com'!$A41,'Contract level'!AX:AX)</f>
        <v>0</v>
      </c>
      <c r="Q41" s="218">
        <f>SUMIF('Contract level'!$A:$A,"="&amp;'DFP-Com'!$A41,'Contract level'!AY:AY)</f>
        <v>0</v>
      </c>
      <c r="R41" s="218">
        <f>SUMIF('Contract level'!$A:$A,"="&amp;'DFP-Com'!$A41,'Contract level'!AZ:AZ)</f>
        <v>0</v>
      </c>
      <c r="S41" s="218">
        <f>SUMIF('Contract level'!$A:$A,"="&amp;'DFP-Com'!$A41,'Contract level'!BA:BA)</f>
        <v>0</v>
      </c>
      <c r="T41" s="218">
        <f>SUMIF('Contract level'!$A:$A,"="&amp;'DFP-Com'!$A41,'Contract level'!BB:BB)</f>
        <v>0</v>
      </c>
      <c r="U41" s="218">
        <f>SUMIF('Contract level'!$A:$A,"="&amp;'DFP-Com'!$A41,'Contract level'!BC:BC)</f>
        <v>0</v>
      </c>
      <c r="V41" s="218">
        <f>SUMIF('Contract level'!$A:$A,"="&amp;'DFP-Com'!$A41,'Contract level'!BD:BD)</f>
        <v>200000</v>
      </c>
      <c r="W41" s="218">
        <f>SUM(H41:V41)+D41+C41</f>
        <v>300000</v>
      </c>
      <c r="X41" s="330"/>
      <c r="Y41" s="217"/>
      <c r="Z41" s="229"/>
    </row>
    <row r="42" spans="1:26" s="230" customFormat="1" outlineLevel="1" x14ac:dyDescent="0.2">
      <c r="A42" s="220" t="s">
        <v>185</v>
      </c>
      <c r="B42" s="227" t="s">
        <v>145</v>
      </c>
      <c r="C42" s="217"/>
      <c r="D42" s="217"/>
      <c r="E42" s="217"/>
      <c r="F42" s="217"/>
      <c r="G42" s="217"/>
      <c r="H42" s="218">
        <f>SUMIF('Contract level'!$A:$A,"="&amp;'DFP-Com'!$A42,'Contract level'!AP:AP)</f>
        <v>0</v>
      </c>
      <c r="I42" s="218">
        <f>SUMIF('Contract level'!$A:$A,"="&amp;'DFP-Com'!$A42,'Contract level'!AQ:AQ)</f>
        <v>0</v>
      </c>
      <c r="J42" s="218">
        <f>SUMIF('Contract level'!$A:$A,"="&amp;'DFP-Com'!$A42,'Contract level'!AR:AR)</f>
        <v>0</v>
      </c>
      <c r="K42" s="218">
        <f>SUMIF('Contract level'!$A:$A,"="&amp;'DFP-Com'!$A42,'Contract level'!AS:AS)</f>
        <v>0</v>
      </c>
      <c r="L42" s="218">
        <f>SUMIF('Contract level'!$A:$A,"="&amp;'DFP-Com'!$A42,'Contract level'!AT:AT)</f>
        <v>0</v>
      </c>
      <c r="M42" s="218">
        <f>SUMIF('Contract level'!$A:$A,"="&amp;'DFP-Com'!$A42,'Contract level'!AU:AU)</f>
        <v>0</v>
      </c>
      <c r="N42" s="218">
        <f>SUMIF('Contract level'!$A:$A,"="&amp;'DFP-Com'!$A42,'Contract level'!AV:AV)</f>
        <v>100000</v>
      </c>
      <c r="O42" s="218">
        <f>SUMIF('Contract level'!$A:$A,"="&amp;'DFP-Com'!$A42,'Contract level'!AW:AW)</f>
        <v>0</v>
      </c>
      <c r="P42" s="218">
        <f>SUMIF('Contract level'!$A:$A,"="&amp;'DFP-Com'!$A42,'Contract level'!AX:AX)</f>
        <v>0</v>
      </c>
      <c r="Q42" s="218">
        <f>SUMIF('Contract level'!$A:$A,"="&amp;'DFP-Com'!$A42,'Contract level'!AY:AY)</f>
        <v>0</v>
      </c>
      <c r="R42" s="218">
        <f>SUMIF('Contract level'!$A:$A,"="&amp;'DFP-Com'!$A42,'Contract level'!AZ:AZ)</f>
        <v>0</v>
      </c>
      <c r="S42" s="218">
        <f>SUMIF('Contract level'!$A:$A,"="&amp;'DFP-Com'!$A42,'Contract level'!BA:BA)</f>
        <v>0</v>
      </c>
      <c r="T42" s="218">
        <f>SUMIF('Contract level'!$A:$A,"="&amp;'DFP-Com'!$A42,'Contract level'!BB:BB)</f>
        <v>0</v>
      </c>
      <c r="U42" s="218">
        <f>SUMIF('Contract level'!$A:$A,"="&amp;'DFP-Com'!$A42,'Contract level'!BC:BC)</f>
        <v>0</v>
      </c>
      <c r="V42" s="218">
        <f>SUMIF('Contract level'!$A:$A,"="&amp;'DFP-Com'!$A42,'Contract level'!BD:BD)</f>
        <v>200000</v>
      </c>
      <c r="W42" s="218">
        <f>SUM(H42:V42)+D42+C42</f>
        <v>300000</v>
      </c>
      <c r="X42" s="330"/>
      <c r="Y42" s="217"/>
      <c r="Z42" s="229"/>
    </row>
    <row r="43" spans="1:26" s="230" customFormat="1" outlineLevel="1" x14ac:dyDescent="0.2">
      <c r="A43" s="220" t="s">
        <v>186</v>
      </c>
      <c r="B43" s="227" t="s">
        <v>156</v>
      </c>
      <c r="C43" s="217"/>
      <c r="D43" s="217"/>
      <c r="E43" s="217"/>
      <c r="F43" s="217"/>
      <c r="G43" s="217"/>
      <c r="H43" s="218">
        <f>SUMIF('Contract level'!$A:$A,"="&amp;'DFP-Com'!$A43,'Contract level'!AP:AP)</f>
        <v>0</v>
      </c>
      <c r="I43" s="218">
        <f>SUMIF('Contract level'!$A:$A,"="&amp;'DFP-Com'!$A43,'Contract level'!AQ:AQ)</f>
        <v>0</v>
      </c>
      <c r="J43" s="218">
        <f>SUMIF('Contract level'!$A:$A,"="&amp;'DFP-Com'!$A43,'Contract level'!AR:AR)</f>
        <v>0</v>
      </c>
      <c r="K43" s="218">
        <f>SUMIF('Contract level'!$A:$A,"="&amp;'DFP-Com'!$A43,'Contract level'!AS:AS)</f>
        <v>0</v>
      </c>
      <c r="L43" s="218">
        <f>SUMIF('Contract level'!$A:$A,"="&amp;'DFP-Com'!$A43,'Contract level'!AT:AT)</f>
        <v>0</v>
      </c>
      <c r="M43" s="218">
        <f>SUMIF('Contract level'!$A:$A,"="&amp;'DFP-Com'!$A43,'Contract level'!AU:AU)</f>
        <v>0</v>
      </c>
      <c r="N43" s="218">
        <f>SUMIF('Contract level'!$A:$A,"="&amp;'DFP-Com'!$A43,'Contract level'!AV:AV)</f>
        <v>0</v>
      </c>
      <c r="O43" s="218">
        <f>SUMIF('Contract level'!$A:$A,"="&amp;'DFP-Com'!$A43,'Contract level'!AW:AW)</f>
        <v>0</v>
      </c>
      <c r="P43" s="218">
        <f>SUMIF('Contract level'!$A:$A,"="&amp;'DFP-Com'!$A43,'Contract level'!AX:AX)</f>
        <v>0</v>
      </c>
      <c r="Q43" s="218">
        <f>SUMIF('Contract level'!$A:$A,"="&amp;'DFP-Com'!$A43,'Contract level'!AY:AY)</f>
        <v>0</v>
      </c>
      <c r="R43" s="218">
        <f>SUMIF('Contract level'!$A:$A,"="&amp;'DFP-Com'!$A43,'Contract level'!AZ:AZ)</f>
        <v>0</v>
      </c>
      <c r="S43" s="218">
        <f>SUMIF('Contract level'!$A:$A,"="&amp;'DFP-Com'!$A43,'Contract level'!BA:BA)</f>
        <v>0</v>
      </c>
      <c r="T43" s="218">
        <f>SUMIF('Contract level'!$A:$A,"="&amp;'DFP-Com'!$A43,'Contract level'!BB:BB)</f>
        <v>0</v>
      </c>
      <c r="U43" s="218">
        <f>SUMIF('Contract level'!$A:$A,"="&amp;'DFP-Com'!$A43,'Contract level'!BC:BC)</f>
        <v>0</v>
      </c>
      <c r="V43" s="218">
        <f>SUMIF('Contract level'!$A:$A,"="&amp;'DFP-Com'!$A43,'Contract level'!BD:BD)</f>
        <v>200000</v>
      </c>
      <c r="W43" s="218">
        <f>SUM(H43:V43)+D43+C43</f>
        <v>200000</v>
      </c>
      <c r="X43" s="330"/>
      <c r="Y43" s="217"/>
      <c r="Z43" s="229"/>
    </row>
    <row r="44" spans="1:26" s="41" customFormat="1" x14ac:dyDescent="0.2">
      <c r="A44" s="220"/>
      <c r="B44" s="66" t="s">
        <v>24</v>
      </c>
      <c r="C44" s="213">
        <f>C39</f>
        <v>0</v>
      </c>
      <c r="D44" s="213">
        <f t="shared" ref="D44:Y44" si="15">D39</f>
        <v>0</v>
      </c>
      <c r="E44" s="213">
        <f t="shared" si="15"/>
        <v>0</v>
      </c>
      <c r="F44" s="213">
        <f t="shared" si="15"/>
        <v>0</v>
      </c>
      <c r="G44" s="213">
        <f t="shared" si="15"/>
        <v>0</v>
      </c>
      <c r="H44" s="213">
        <f t="shared" si="15"/>
        <v>0</v>
      </c>
      <c r="I44" s="213">
        <f t="shared" si="15"/>
        <v>0</v>
      </c>
      <c r="J44" s="213">
        <f t="shared" si="15"/>
        <v>500000</v>
      </c>
      <c r="K44" s="213">
        <f t="shared" si="15"/>
        <v>0</v>
      </c>
      <c r="L44" s="213">
        <f t="shared" si="15"/>
        <v>0</v>
      </c>
      <c r="M44" s="213">
        <f t="shared" si="15"/>
        <v>0</v>
      </c>
      <c r="N44" s="213">
        <f t="shared" si="15"/>
        <v>100000</v>
      </c>
      <c r="O44" s="213">
        <f t="shared" si="15"/>
        <v>0</v>
      </c>
      <c r="P44" s="213">
        <f t="shared" si="15"/>
        <v>0</v>
      </c>
      <c r="Q44" s="213">
        <f t="shared" si="15"/>
        <v>0</v>
      </c>
      <c r="R44" s="213">
        <f t="shared" si="15"/>
        <v>0</v>
      </c>
      <c r="S44" s="213">
        <f t="shared" ref="S44:V44" si="16">S39</f>
        <v>0</v>
      </c>
      <c r="T44" s="213">
        <f t="shared" si="16"/>
        <v>0</v>
      </c>
      <c r="U44" s="213">
        <f t="shared" si="16"/>
        <v>0</v>
      </c>
      <c r="V44" s="213">
        <f t="shared" si="16"/>
        <v>900000</v>
      </c>
      <c r="W44" s="213">
        <f t="shared" si="15"/>
        <v>1500000</v>
      </c>
      <c r="X44" s="331">
        <f t="shared" si="15"/>
        <v>1700000</v>
      </c>
      <c r="Y44" s="213">
        <f t="shared" si="15"/>
        <v>200000</v>
      </c>
      <c r="Z44" s="40"/>
    </row>
    <row r="45" spans="1:26" s="41" customFormat="1" x14ac:dyDescent="0.2">
      <c r="A45" s="220"/>
      <c r="B45" s="61"/>
      <c r="C45" s="332"/>
      <c r="D45" s="232"/>
      <c r="E45" s="232"/>
      <c r="F45" s="232"/>
      <c r="G45" s="232"/>
      <c r="H45" s="232"/>
      <c r="I45" s="232"/>
      <c r="J45" s="232"/>
      <c r="K45" s="232"/>
      <c r="L45" s="232"/>
      <c r="M45" s="232"/>
      <c r="N45" s="232"/>
      <c r="O45" s="232"/>
      <c r="P45" s="232"/>
      <c r="Q45" s="232"/>
      <c r="R45" s="232"/>
      <c r="S45" s="232"/>
      <c r="T45" s="232"/>
      <c r="U45" s="232"/>
      <c r="V45" s="232"/>
      <c r="W45" s="232"/>
      <c r="X45" s="328"/>
      <c r="Y45" s="232"/>
      <c r="Z45" s="40"/>
    </row>
    <row r="46" spans="1:26" s="71" customFormat="1" x14ac:dyDescent="0.2">
      <c r="A46" s="220"/>
      <c r="B46" s="52" t="s">
        <v>107</v>
      </c>
      <c r="C46" s="334"/>
      <c r="D46" s="323"/>
      <c r="E46" s="323"/>
      <c r="F46" s="323"/>
      <c r="G46" s="323"/>
      <c r="H46" s="323"/>
      <c r="I46" s="323"/>
      <c r="J46" s="323"/>
      <c r="K46" s="323"/>
      <c r="L46" s="323"/>
      <c r="M46" s="323"/>
      <c r="N46" s="323"/>
      <c r="O46" s="323"/>
      <c r="P46" s="323"/>
      <c r="Q46" s="323"/>
      <c r="R46" s="323"/>
      <c r="S46" s="323"/>
      <c r="T46" s="323"/>
      <c r="U46" s="323"/>
      <c r="V46" s="323"/>
      <c r="W46" s="233"/>
      <c r="X46" s="329"/>
      <c r="Y46" s="233"/>
      <c r="Z46" s="70"/>
    </row>
    <row r="47" spans="1:26" s="41" customFormat="1" outlineLevel="1" x14ac:dyDescent="0.2">
      <c r="A47" s="220"/>
      <c r="B47" s="73" t="s">
        <v>118</v>
      </c>
      <c r="C47" s="212">
        <f t="shared" ref="C47:R47" si="17">SUM(C48:C51)</f>
        <v>0</v>
      </c>
      <c r="D47" s="212">
        <f t="shared" si="17"/>
        <v>0</v>
      </c>
      <c r="E47" s="212">
        <f t="shared" si="17"/>
        <v>0</v>
      </c>
      <c r="F47" s="212">
        <f t="shared" si="17"/>
        <v>0</v>
      </c>
      <c r="G47" s="212">
        <f t="shared" si="17"/>
        <v>85500</v>
      </c>
      <c r="H47" s="212">
        <f t="shared" si="17"/>
        <v>85500</v>
      </c>
      <c r="I47" s="212">
        <f t="shared" si="17"/>
        <v>88500</v>
      </c>
      <c r="J47" s="212">
        <f t="shared" si="17"/>
        <v>3000</v>
      </c>
      <c r="K47" s="212">
        <f t="shared" si="17"/>
        <v>6500</v>
      </c>
      <c r="L47" s="212">
        <f t="shared" si="17"/>
        <v>246500</v>
      </c>
      <c r="M47" s="212">
        <f t="shared" si="17"/>
        <v>84500</v>
      </c>
      <c r="N47" s="212">
        <f t="shared" si="17"/>
        <v>6500</v>
      </c>
      <c r="O47" s="212">
        <f t="shared" si="17"/>
        <v>6500</v>
      </c>
      <c r="P47" s="212">
        <f t="shared" si="17"/>
        <v>96500</v>
      </c>
      <c r="Q47" s="212">
        <f t="shared" si="17"/>
        <v>84500</v>
      </c>
      <c r="R47" s="212">
        <f t="shared" si="17"/>
        <v>6500</v>
      </c>
      <c r="S47" s="212">
        <f t="shared" ref="S47:V47" si="18">SUM(S48:S51)</f>
        <v>6500</v>
      </c>
      <c r="T47" s="212">
        <f t="shared" si="18"/>
        <v>74000</v>
      </c>
      <c r="U47" s="212">
        <f t="shared" si="18"/>
        <v>45500</v>
      </c>
      <c r="V47" s="212">
        <f t="shared" si="18"/>
        <v>6500</v>
      </c>
      <c r="W47" s="235">
        <f>C47+D47+SUM(H47:V47)</f>
        <v>847500</v>
      </c>
      <c r="X47" s="214">
        <f>'QFR - B'!G27</f>
        <v>800000</v>
      </c>
      <c r="Y47" s="235">
        <f>X47-W47</f>
        <v>-47500</v>
      </c>
      <c r="Z47" s="40"/>
    </row>
    <row r="48" spans="1:26" s="223" customFormat="1" ht="12.75" customHeight="1" outlineLevel="1" x14ac:dyDescent="0.2">
      <c r="A48" s="220" t="s">
        <v>187</v>
      </c>
      <c r="B48" s="231" t="s">
        <v>166</v>
      </c>
      <c r="C48" s="217"/>
      <c r="D48" s="217"/>
      <c r="E48" s="217"/>
      <c r="F48" s="217"/>
      <c r="G48" s="217">
        <v>81500</v>
      </c>
      <c r="H48" s="218">
        <f>E48+F48+G48</f>
        <v>81500</v>
      </c>
      <c r="I48" s="218">
        <f>SUMIF('Contract level'!$A:$A,"="&amp;'DFP-Com'!$A48,'Contract level'!AQ:AQ)</f>
        <v>78000</v>
      </c>
      <c r="J48" s="218">
        <f>SUMIF('Contract level'!$A:$A,"="&amp;'DFP-Com'!$A48,'Contract level'!AR:AR)</f>
        <v>0</v>
      </c>
      <c r="K48" s="218">
        <f>SUMIF('Contract level'!$A:$A,"="&amp;'DFP-Com'!$A48,'Contract level'!AS:AS)</f>
        <v>0</v>
      </c>
      <c r="L48" s="218">
        <f>SUMIF('Contract level'!$A:$A,"="&amp;'DFP-Com'!$A48,'Contract level'!AT:AT)</f>
        <v>90000</v>
      </c>
      <c r="M48" s="218">
        <f>SUMIF('Contract level'!$A:$A,"="&amp;'DFP-Com'!$A48,'Contract level'!AU:AU)</f>
        <v>78000</v>
      </c>
      <c r="N48" s="218">
        <f>SUMIF('Contract level'!$A:$A,"="&amp;'DFP-Com'!$A48,'Contract level'!AV:AV)</f>
        <v>0</v>
      </c>
      <c r="O48" s="218">
        <f>SUMIF('Contract level'!$A:$A,"="&amp;'DFP-Com'!$A48,'Contract level'!AW:AW)</f>
        <v>0</v>
      </c>
      <c r="P48" s="218">
        <f>SUMIF('Contract level'!$A:$A,"="&amp;'DFP-Com'!$A48,'Contract level'!AX:AX)</f>
        <v>90000</v>
      </c>
      <c r="Q48" s="218">
        <f>SUMIF('Contract level'!$A:$A,"="&amp;'DFP-Com'!$A48,'Contract level'!AY:AY)</f>
        <v>78000</v>
      </c>
      <c r="R48" s="218">
        <f>SUMIF('Contract level'!$A:$A,"="&amp;'DFP-Com'!$A48,'Contract level'!AZ:AZ)</f>
        <v>0</v>
      </c>
      <c r="S48" s="218">
        <f>SUMIF('Contract level'!$A:$A,"="&amp;'DFP-Com'!$A48,'Contract level'!BA:BA)</f>
        <v>0</v>
      </c>
      <c r="T48" s="218">
        <f>SUMIF('Contract level'!$A:$A,"="&amp;'DFP-Com'!$A48,'Contract level'!BB:BB)</f>
        <v>67500</v>
      </c>
      <c r="U48" s="218">
        <f>SUMIF('Contract level'!$A:$A,"="&amp;'DFP-Com'!$A48,'Contract level'!BC:BC)</f>
        <v>39000</v>
      </c>
      <c r="V48" s="218">
        <f>SUMIF('Contract level'!$A:$A,"="&amp;'DFP-Com'!$A48,'Contract level'!BD:BD)</f>
        <v>0</v>
      </c>
      <c r="W48" s="218">
        <f>SUM(H48:V48)+D48+C48</f>
        <v>602000</v>
      </c>
      <c r="X48" s="330"/>
      <c r="Y48" s="218"/>
      <c r="Z48" s="222"/>
    </row>
    <row r="49" spans="1:26" s="223" customFormat="1" outlineLevel="1" x14ac:dyDescent="0.2">
      <c r="A49" s="220" t="s">
        <v>188</v>
      </c>
      <c r="B49" s="231" t="s">
        <v>167</v>
      </c>
      <c r="C49" s="217"/>
      <c r="D49" s="217"/>
      <c r="E49" s="217"/>
      <c r="F49" s="217"/>
      <c r="G49" s="217">
        <v>2000</v>
      </c>
      <c r="H49" s="218">
        <f>E49+F49+G49</f>
        <v>2000</v>
      </c>
      <c r="I49" s="218">
        <f>SUMIF('Contract level'!$A:$A,"="&amp;'DFP-Com'!$A49,'Contract level'!AQ:AQ)</f>
        <v>2000</v>
      </c>
      <c r="J49" s="218">
        <f>SUMIF('Contract level'!$A:$A,"="&amp;'DFP-Com'!$A49,'Contract level'!AR:AR)</f>
        <v>2000</v>
      </c>
      <c r="K49" s="218">
        <f>SUMIF('Contract level'!$A:$A,"="&amp;'DFP-Com'!$A49,'Contract level'!AS:AS)</f>
        <v>4000</v>
      </c>
      <c r="L49" s="218">
        <f>SUMIF('Contract level'!$A:$A,"="&amp;'DFP-Com'!$A49,'Contract level'!AT:AT)</f>
        <v>4000</v>
      </c>
      <c r="M49" s="218">
        <f>SUMIF('Contract level'!$A:$A,"="&amp;'DFP-Com'!$A49,'Contract level'!AU:AU)</f>
        <v>4000</v>
      </c>
      <c r="N49" s="218">
        <f>SUMIF('Contract level'!$A:$A,"="&amp;'DFP-Com'!$A49,'Contract level'!AV:AV)</f>
        <v>4000</v>
      </c>
      <c r="O49" s="218">
        <f>SUMIF('Contract level'!$A:$A,"="&amp;'DFP-Com'!$A49,'Contract level'!AW:AW)</f>
        <v>4000</v>
      </c>
      <c r="P49" s="218">
        <f>SUMIF('Contract level'!$A:$A,"="&amp;'DFP-Com'!$A49,'Contract level'!AX:AX)</f>
        <v>4000</v>
      </c>
      <c r="Q49" s="218">
        <f>SUMIF('Contract level'!$A:$A,"="&amp;'DFP-Com'!$A49,'Contract level'!AY:AY)</f>
        <v>4000</v>
      </c>
      <c r="R49" s="218">
        <f>SUMIF('Contract level'!$A:$A,"="&amp;'DFP-Com'!$A49,'Contract level'!AZ:AZ)</f>
        <v>4000</v>
      </c>
      <c r="S49" s="218">
        <f>SUMIF('Contract level'!$A:$A,"="&amp;'DFP-Com'!$A49,'Contract level'!BA:BA)</f>
        <v>4000</v>
      </c>
      <c r="T49" s="218">
        <f>SUMIF('Contract level'!$A:$A,"="&amp;'DFP-Com'!$A49,'Contract level'!BB:BB)</f>
        <v>4000</v>
      </c>
      <c r="U49" s="218">
        <f>SUMIF('Contract level'!$A:$A,"="&amp;'DFP-Com'!$A49,'Contract level'!BC:BC)</f>
        <v>4000</v>
      </c>
      <c r="V49" s="218">
        <f>SUMIF('Contract level'!$A:$A,"="&amp;'DFP-Com'!$A49,'Contract level'!BD:BD)</f>
        <v>4000</v>
      </c>
      <c r="W49" s="218">
        <f>SUM(H49:V49)+D49+C49</f>
        <v>54000</v>
      </c>
      <c r="X49" s="330"/>
      <c r="Y49" s="217"/>
      <c r="Z49" s="222"/>
    </row>
    <row r="50" spans="1:26" s="223" customFormat="1" outlineLevel="1" x14ac:dyDescent="0.2">
      <c r="A50" s="220" t="s">
        <v>189</v>
      </c>
      <c r="B50" s="231" t="s">
        <v>168</v>
      </c>
      <c r="C50" s="217"/>
      <c r="D50" s="217"/>
      <c r="E50" s="217"/>
      <c r="F50" s="217"/>
      <c r="G50" s="217"/>
      <c r="H50" s="218">
        <f>SUMIF('Contract level'!$A:$A,"="&amp;'DFP-Com'!$A50,'Contract level'!AP:AP)</f>
        <v>0</v>
      </c>
      <c r="I50" s="218">
        <f>SUMIF('Contract level'!$A:$A,"="&amp;'DFP-Com'!$A50,'Contract level'!AQ:AQ)</f>
        <v>0</v>
      </c>
      <c r="J50" s="218">
        <f>SUMIF('Contract level'!$A:$A,"="&amp;'DFP-Com'!$A50,'Contract level'!AR:AR)</f>
        <v>0</v>
      </c>
      <c r="K50" s="218">
        <f>SUMIF('Contract level'!$A:$A,"="&amp;'DFP-Com'!$A50,'Contract level'!AS:AS)</f>
        <v>0</v>
      </c>
      <c r="L50" s="218">
        <f>SUMIF('Contract level'!$A:$A,"="&amp;'DFP-Com'!$A50,'Contract level'!AT:AT)</f>
        <v>150000</v>
      </c>
      <c r="M50" s="218">
        <f>SUMIF('Contract level'!$A:$A,"="&amp;'DFP-Com'!$A50,'Contract level'!AU:AU)</f>
        <v>0</v>
      </c>
      <c r="N50" s="218">
        <f>SUMIF('Contract level'!$A:$A,"="&amp;'DFP-Com'!$A50,'Contract level'!AV:AV)</f>
        <v>0</v>
      </c>
      <c r="O50" s="218">
        <f>SUMIF('Contract level'!$A:$A,"="&amp;'DFP-Com'!$A50,'Contract level'!AW:AW)</f>
        <v>0</v>
      </c>
      <c r="P50" s="218">
        <f>SUMIF('Contract level'!$A:$A,"="&amp;'DFP-Com'!$A50,'Contract level'!AX:AX)</f>
        <v>0</v>
      </c>
      <c r="Q50" s="218">
        <f>SUMIF('Contract level'!$A:$A,"="&amp;'DFP-Com'!$A50,'Contract level'!AY:AY)</f>
        <v>0</v>
      </c>
      <c r="R50" s="218">
        <f>SUMIF('Contract level'!$A:$A,"="&amp;'DFP-Com'!$A50,'Contract level'!AZ:AZ)</f>
        <v>0</v>
      </c>
      <c r="S50" s="218">
        <f>SUMIF('Contract level'!$A:$A,"="&amp;'DFP-Com'!$A50,'Contract level'!BA:BA)</f>
        <v>0</v>
      </c>
      <c r="T50" s="218">
        <f>SUMIF('Contract level'!$A:$A,"="&amp;'DFP-Com'!$A50,'Contract level'!BB:BB)</f>
        <v>0</v>
      </c>
      <c r="U50" s="218">
        <f>SUMIF('Contract level'!$A:$A,"="&amp;'DFP-Com'!$A50,'Contract level'!BC:BC)</f>
        <v>0</v>
      </c>
      <c r="V50" s="218">
        <f>SUMIF('Contract level'!$A:$A,"="&amp;'DFP-Com'!$A50,'Contract level'!BD:BD)</f>
        <v>0</v>
      </c>
      <c r="W50" s="218">
        <f>SUM(H50:V50)+D50+C50</f>
        <v>150000</v>
      </c>
      <c r="X50" s="330"/>
      <c r="Y50" s="217"/>
      <c r="Z50" s="222"/>
    </row>
    <row r="51" spans="1:26" s="223" customFormat="1" outlineLevel="1" x14ac:dyDescent="0.2">
      <c r="A51" s="220" t="s">
        <v>190</v>
      </c>
      <c r="B51" s="231" t="s">
        <v>169</v>
      </c>
      <c r="C51" s="217"/>
      <c r="D51" s="217"/>
      <c r="E51" s="217"/>
      <c r="F51" s="217"/>
      <c r="G51" s="217">
        <v>2000</v>
      </c>
      <c r="H51" s="218">
        <f>E51+F51+G51</f>
        <v>2000</v>
      </c>
      <c r="I51" s="218">
        <f>SUMIF('Contract level'!$A:$A,"="&amp;'DFP-Com'!$A51,'Contract level'!AQ:AQ)</f>
        <v>8500</v>
      </c>
      <c r="J51" s="218">
        <f>SUMIF('Contract level'!$A:$A,"="&amp;'DFP-Com'!$A51,'Contract level'!AR:AR)</f>
        <v>1000</v>
      </c>
      <c r="K51" s="218">
        <f>SUMIF('Contract level'!$A:$A,"="&amp;'DFP-Com'!$A51,'Contract level'!AS:AS)</f>
        <v>2500</v>
      </c>
      <c r="L51" s="218">
        <f>SUMIF('Contract level'!$A:$A,"="&amp;'DFP-Com'!$A51,'Contract level'!AT:AT)</f>
        <v>2500</v>
      </c>
      <c r="M51" s="218">
        <f>SUMIF('Contract level'!$A:$A,"="&amp;'DFP-Com'!$A51,'Contract level'!AU:AU)</f>
        <v>2500</v>
      </c>
      <c r="N51" s="218">
        <f>SUMIF('Contract level'!$A:$A,"="&amp;'DFP-Com'!$A51,'Contract level'!AV:AV)</f>
        <v>2500</v>
      </c>
      <c r="O51" s="218">
        <f>SUMIF('Contract level'!$A:$A,"="&amp;'DFP-Com'!$A51,'Contract level'!AW:AW)</f>
        <v>2500</v>
      </c>
      <c r="P51" s="218">
        <f>SUMIF('Contract level'!$A:$A,"="&amp;'DFP-Com'!$A51,'Contract level'!AX:AX)</f>
        <v>2500</v>
      </c>
      <c r="Q51" s="218">
        <f>SUMIF('Contract level'!$A:$A,"="&amp;'DFP-Com'!$A51,'Contract level'!AY:AY)</f>
        <v>2500</v>
      </c>
      <c r="R51" s="218">
        <f>SUMIF('Contract level'!$A:$A,"="&amp;'DFP-Com'!$A51,'Contract level'!AZ:AZ)</f>
        <v>2500</v>
      </c>
      <c r="S51" s="218">
        <f>SUMIF('Contract level'!$A:$A,"="&amp;'DFP-Com'!$A51,'Contract level'!BA:BA)</f>
        <v>2500</v>
      </c>
      <c r="T51" s="218">
        <f>SUMIF('Contract level'!$A:$A,"="&amp;'DFP-Com'!$A51,'Contract level'!BB:BB)</f>
        <v>2500</v>
      </c>
      <c r="U51" s="218">
        <f>SUMIF('Contract level'!$A:$A,"="&amp;'DFP-Com'!$A51,'Contract level'!BC:BC)</f>
        <v>2500</v>
      </c>
      <c r="V51" s="218">
        <f>SUMIF('Contract level'!$A:$A,"="&amp;'DFP-Com'!$A51,'Contract level'!BD:BD)</f>
        <v>2500</v>
      </c>
      <c r="W51" s="218">
        <f>SUM(H51:V51)+D51+C51</f>
        <v>41500</v>
      </c>
      <c r="X51" s="330"/>
      <c r="Y51" s="217"/>
      <c r="Z51" s="222"/>
    </row>
    <row r="52" spans="1:26" s="71" customFormat="1" x14ac:dyDescent="0.2">
      <c r="A52" s="10"/>
      <c r="B52" s="74" t="s">
        <v>117</v>
      </c>
      <c r="C52" s="213">
        <f t="shared" ref="C52:Y52" si="19">C47</f>
        <v>0</v>
      </c>
      <c r="D52" s="213">
        <f t="shared" si="19"/>
        <v>0</v>
      </c>
      <c r="E52" s="213">
        <f t="shared" si="19"/>
        <v>0</v>
      </c>
      <c r="F52" s="213">
        <f t="shared" si="19"/>
        <v>0</v>
      </c>
      <c r="G52" s="213">
        <f t="shared" si="19"/>
        <v>85500</v>
      </c>
      <c r="H52" s="213">
        <f t="shared" si="19"/>
        <v>85500</v>
      </c>
      <c r="I52" s="213">
        <f t="shared" si="19"/>
        <v>88500</v>
      </c>
      <c r="J52" s="213">
        <f t="shared" si="19"/>
        <v>3000</v>
      </c>
      <c r="K52" s="213">
        <f t="shared" si="19"/>
        <v>6500</v>
      </c>
      <c r="L52" s="213">
        <f t="shared" si="19"/>
        <v>246500</v>
      </c>
      <c r="M52" s="213">
        <f t="shared" si="19"/>
        <v>84500</v>
      </c>
      <c r="N52" s="213">
        <f t="shared" si="19"/>
        <v>6500</v>
      </c>
      <c r="O52" s="213">
        <f t="shared" si="19"/>
        <v>6500</v>
      </c>
      <c r="P52" s="213">
        <f t="shared" si="19"/>
        <v>96500</v>
      </c>
      <c r="Q52" s="213">
        <f t="shared" si="19"/>
        <v>84500</v>
      </c>
      <c r="R52" s="213">
        <f t="shared" si="19"/>
        <v>6500</v>
      </c>
      <c r="S52" s="213">
        <f t="shared" ref="S52:V52" si="20">S47</f>
        <v>6500</v>
      </c>
      <c r="T52" s="213">
        <f t="shared" si="20"/>
        <v>74000</v>
      </c>
      <c r="U52" s="213">
        <f t="shared" si="20"/>
        <v>45500</v>
      </c>
      <c r="V52" s="213">
        <f t="shared" si="20"/>
        <v>6500</v>
      </c>
      <c r="W52" s="213">
        <f t="shared" si="19"/>
        <v>847500</v>
      </c>
      <c r="X52" s="331">
        <f t="shared" si="19"/>
        <v>800000</v>
      </c>
      <c r="Y52" s="213">
        <f t="shared" si="19"/>
        <v>-47500</v>
      </c>
      <c r="Z52" s="70"/>
    </row>
    <row r="53" spans="1:26" s="41" customFormat="1" x14ac:dyDescent="0.2">
      <c r="A53" s="5"/>
      <c r="B53" s="61"/>
      <c r="C53" s="332"/>
      <c r="D53" s="232"/>
      <c r="E53" s="232"/>
      <c r="F53" s="232"/>
      <c r="G53" s="232"/>
      <c r="H53" s="232"/>
      <c r="I53" s="232"/>
      <c r="J53" s="232"/>
      <c r="K53" s="232"/>
      <c r="L53" s="232"/>
      <c r="M53" s="232"/>
      <c r="N53" s="232"/>
      <c r="O53" s="232"/>
      <c r="P53" s="232"/>
      <c r="Q53" s="232"/>
      <c r="R53" s="232"/>
      <c r="S53" s="232"/>
      <c r="T53" s="232"/>
      <c r="U53" s="232"/>
      <c r="V53" s="232"/>
      <c r="W53" s="234"/>
      <c r="X53" s="328"/>
      <c r="Y53" s="234"/>
      <c r="Z53" s="40"/>
    </row>
    <row r="54" spans="1:26" s="243" customFormat="1" ht="13.5" customHeight="1" thickBot="1" x14ac:dyDescent="0.3">
      <c r="A54" s="239"/>
      <c r="B54" s="244" t="s">
        <v>162</v>
      </c>
      <c r="C54" s="241">
        <f t="shared" ref="C54:Y54" si="21">C52+C44+C36+C27</f>
        <v>0</v>
      </c>
      <c r="D54" s="241">
        <f t="shared" si="21"/>
        <v>0</v>
      </c>
      <c r="E54" s="241">
        <f t="shared" si="21"/>
        <v>0</v>
      </c>
      <c r="F54" s="241">
        <f t="shared" si="21"/>
        <v>0</v>
      </c>
      <c r="G54" s="241">
        <f t="shared" si="21"/>
        <v>935500</v>
      </c>
      <c r="H54" s="241">
        <f t="shared" si="21"/>
        <v>935500</v>
      </c>
      <c r="I54" s="241">
        <f t="shared" si="21"/>
        <v>640500</v>
      </c>
      <c r="J54" s="241">
        <f t="shared" si="21"/>
        <v>12353000</v>
      </c>
      <c r="K54" s="241">
        <f t="shared" si="21"/>
        <v>206500</v>
      </c>
      <c r="L54" s="241">
        <f t="shared" si="21"/>
        <v>4946500</v>
      </c>
      <c r="M54" s="241">
        <f t="shared" si="21"/>
        <v>3216500</v>
      </c>
      <c r="N54" s="241">
        <f t="shared" si="21"/>
        <v>306500</v>
      </c>
      <c r="O54" s="241">
        <f t="shared" si="21"/>
        <v>6500</v>
      </c>
      <c r="P54" s="241">
        <f t="shared" si="21"/>
        <v>96500</v>
      </c>
      <c r="Q54" s="241">
        <f t="shared" si="21"/>
        <v>216500</v>
      </c>
      <c r="R54" s="241">
        <f t="shared" si="21"/>
        <v>6500</v>
      </c>
      <c r="S54" s="241">
        <f t="shared" ref="S54:V54" si="22">S52+S44+S36+S27</f>
        <v>6500</v>
      </c>
      <c r="T54" s="241">
        <f t="shared" si="22"/>
        <v>74000</v>
      </c>
      <c r="U54" s="241">
        <f t="shared" si="22"/>
        <v>111500</v>
      </c>
      <c r="V54" s="241">
        <f t="shared" si="22"/>
        <v>906500</v>
      </c>
      <c r="W54" s="241">
        <f t="shared" si="21"/>
        <v>24029500</v>
      </c>
      <c r="X54" s="241">
        <f t="shared" si="21"/>
        <v>26200000</v>
      </c>
      <c r="Y54" s="241">
        <f t="shared" si="21"/>
        <v>2170500</v>
      </c>
      <c r="Z54" s="242"/>
    </row>
    <row r="55" spans="1:26" ht="13.5" thickTop="1" x14ac:dyDescent="0.2">
      <c r="B55" s="7" t="s">
        <v>164</v>
      </c>
      <c r="C55" s="335"/>
      <c r="D55" s="324"/>
      <c r="H55" s="324"/>
      <c r="I55" s="324"/>
      <c r="J55" s="324"/>
      <c r="K55" s="324"/>
      <c r="L55" s="324"/>
      <c r="M55" s="324"/>
      <c r="N55" s="324"/>
      <c r="O55" s="324"/>
      <c r="P55" s="324"/>
      <c r="Q55" s="324"/>
      <c r="R55" s="324"/>
      <c r="S55" s="324"/>
      <c r="T55" s="324"/>
      <c r="U55" s="324"/>
      <c r="V55" s="324"/>
      <c r="W55" s="324"/>
      <c r="X55" s="336"/>
      <c r="Y55" s="337"/>
    </row>
    <row r="56" spans="1:26" x14ac:dyDescent="0.2">
      <c r="B56" s="76" t="s">
        <v>165</v>
      </c>
      <c r="C56" s="335"/>
      <c r="D56" s="324"/>
      <c r="H56" s="324"/>
      <c r="I56" s="324"/>
      <c r="J56" s="324"/>
      <c r="K56" s="324"/>
      <c r="L56" s="324"/>
      <c r="M56" s="324"/>
      <c r="N56" s="324"/>
      <c r="O56" s="324"/>
      <c r="P56" s="324"/>
      <c r="Q56" s="324"/>
      <c r="R56" s="324"/>
      <c r="S56" s="324"/>
      <c r="T56" s="324"/>
      <c r="U56" s="324"/>
      <c r="V56" s="324"/>
      <c r="W56" s="324"/>
      <c r="X56" s="336"/>
      <c r="Y56" s="338"/>
    </row>
    <row r="57" spans="1:26" x14ac:dyDescent="0.2">
      <c r="B57" s="7"/>
      <c r="C57" s="335"/>
      <c r="D57" s="324"/>
      <c r="H57" s="324"/>
      <c r="I57" s="324"/>
      <c r="J57" s="324"/>
      <c r="K57" s="324"/>
      <c r="L57" s="324"/>
      <c r="M57" s="324"/>
      <c r="N57" s="324"/>
      <c r="O57" s="324"/>
      <c r="P57" s="324"/>
      <c r="Q57" s="324"/>
      <c r="R57" s="324"/>
      <c r="S57" s="324"/>
      <c r="T57" s="324"/>
      <c r="U57" s="324"/>
      <c r="V57" s="324"/>
      <c r="W57" s="324"/>
      <c r="X57" s="336"/>
      <c r="Y57" s="337"/>
    </row>
    <row r="58" spans="1:26" x14ac:dyDescent="0.2">
      <c r="B58" s="7"/>
      <c r="C58" s="335"/>
      <c r="D58" s="324"/>
      <c r="H58" s="324"/>
      <c r="I58" s="324"/>
      <c r="J58" s="324"/>
      <c r="K58" s="324"/>
      <c r="L58" s="324"/>
      <c r="M58" s="324"/>
      <c r="N58" s="324"/>
      <c r="O58" s="324"/>
      <c r="P58" s="324"/>
      <c r="Q58" s="324"/>
      <c r="R58" s="324"/>
      <c r="S58" s="324"/>
      <c r="T58" s="324"/>
      <c r="U58" s="324"/>
      <c r="V58" s="324"/>
      <c r="W58" s="324"/>
      <c r="X58" s="336"/>
      <c r="Y58" s="338"/>
    </row>
    <row r="59" spans="1:26" x14ac:dyDescent="0.2">
      <c r="B59" s="7"/>
      <c r="C59" s="335"/>
      <c r="D59" s="324"/>
      <c r="H59" s="324"/>
      <c r="I59" s="324"/>
      <c r="J59" s="324"/>
      <c r="K59" s="324"/>
      <c r="L59" s="324"/>
      <c r="M59" s="324"/>
      <c r="N59" s="324"/>
      <c r="O59" s="324"/>
      <c r="P59" s="324"/>
      <c r="Q59" s="324"/>
      <c r="R59" s="324"/>
      <c r="S59" s="324"/>
      <c r="T59" s="324"/>
      <c r="U59" s="324"/>
      <c r="V59" s="324"/>
      <c r="W59" s="324"/>
      <c r="X59" s="336"/>
      <c r="Y59" s="338"/>
    </row>
    <row r="60" spans="1:26" x14ac:dyDescent="0.2">
      <c r="B60" s="7"/>
      <c r="C60" s="335"/>
      <c r="D60" s="324"/>
      <c r="H60" s="324"/>
      <c r="I60" s="324"/>
      <c r="J60" s="324"/>
      <c r="K60" s="324"/>
      <c r="L60" s="324"/>
      <c r="M60" s="324"/>
      <c r="N60" s="324"/>
      <c r="O60" s="324"/>
      <c r="P60" s="324"/>
      <c r="Q60" s="324"/>
      <c r="R60" s="324"/>
      <c r="S60" s="324"/>
      <c r="T60" s="324"/>
      <c r="U60" s="324"/>
      <c r="V60" s="324"/>
      <c r="W60" s="324"/>
      <c r="X60" s="336"/>
      <c r="Y60" s="338"/>
    </row>
    <row r="61" spans="1:26" x14ac:dyDescent="0.2">
      <c r="B61" s="7"/>
      <c r="C61" s="335"/>
      <c r="D61" s="324"/>
      <c r="H61" s="324"/>
      <c r="I61" s="324"/>
      <c r="J61" s="324"/>
      <c r="K61" s="324"/>
      <c r="L61" s="324"/>
      <c r="M61" s="324"/>
      <c r="N61" s="324"/>
      <c r="O61" s="324"/>
      <c r="P61" s="324"/>
      <c r="Q61" s="324"/>
      <c r="R61" s="324"/>
      <c r="S61" s="324"/>
      <c r="T61" s="324"/>
      <c r="U61" s="324"/>
      <c r="V61" s="324"/>
      <c r="W61" s="324"/>
      <c r="X61" s="336"/>
      <c r="Y61" s="338"/>
    </row>
    <row r="62" spans="1:26" x14ac:dyDescent="0.2">
      <c r="B62" s="7"/>
      <c r="C62" s="335"/>
      <c r="D62" s="324"/>
      <c r="H62" s="324"/>
      <c r="I62" s="324"/>
      <c r="J62" s="324"/>
      <c r="K62" s="324"/>
      <c r="L62" s="324"/>
      <c r="M62" s="324"/>
      <c r="N62" s="324"/>
      <c r="O62" s="324"/>
      <c r="P62" s="324"/>
      <c r="Q62" s="324"/>
      <c r="R62" s="324"/>
      <c r="S62" s="324"/>
      <c r="T62" s="324"/>
      <c r="U62" s="324"/>
      <c r="V62" s="324"/>
      <c r="W62" s="324"/>
      <c r="X62" s="336"/>
      <c r="Y62" s="338"/>
    </row>
    <row r="63" spans="1:26" x14ac:dyDescent="0.2">
      <c r="B63" s="7"/>
      <c r="C63" s="335"/>
      <c r="D63" s="324"/>
      <c r="H63" s="324"/>
      <c r="I63" s="324"/>
      <c r="J63" s="324"/>
      <c r="K63" s="324"/>
      <c r="L63" s="324"/>
      <c r="M63" s="324"/>
      <c r="N63" s="324"/>
      <c r="O63" s="324"/>
      <c r="P63" s="324"/>
      <c r="Q63" s="324"/>
      <c r="R63" s="324"/>
      <c r="S63" s="324"/>
      <c r="T63" s="324"/>
      <c r="U63" s="324"/>
      <c r="V63" s="324"/>
      <c r="W63" s="324"/>
      <c r="X63" s="336"/>
      <c r="Y63" s="338"/>
    </row>
    <row r="64" spans="1:26" x14ac:dyDescent="0.2">
      <c r="B64" s="7"/>
      <c r="C64" s="335"/>
      <c r="D64" s="324"/>
      <c r="H64" s="324"/>
      <c r="I64" s="324"/>
      <c r="J64" s="324"/>
      <c r="K64" s="324"/>
      <c r="L64" s="324"/>
      <c r="M64" s="324"/>
      <c r="N64" s="324"/>
      <c r="O64" s="324"/>
      <c r="P64" s="324"/>
      <c r="Q64" s="324"/>
      <c r="R64" s="324"/>
      <c r="S64" s="324"/>
      <c r="T64" s="324"/>
      <c r="U64" s="324"/>
      <c r="V64" s="324"/>
      <c r="W64" s="324"/>
      <c r="X64" s="336"/>
      <c r="Y64" s="338"/>
    </row>
    <row r="65" spans="2:25" x14ac:dyDescent="0.2">
      <c r="B65" s="7"/>
      <c r="C65" s="335"/>
      <c r="D65" s="324"/>
      <c r="H65" s="324"/>
      <c r="I65" s="324"/>
      <c r="J65" s="324"/>
      <c r="K65" s="324"/>
      <c r="L65" s="324"/>
      <c r="M65" s="324"/>
      <c r="N65" s="324"/>
      <c r="O65" s="324"/>
      <c r="P65" s="324"/>
      <c r="Q65" s="324"/>
      <c r="R65" s="324"/>
      <c r="S65" s="324"/>
      <c r="T65" s="324"/>
      <c r="U65" s="324"/>
      <c r="V65" s="324"/>
      <c r="W65" s="324"/>
      <c r="X65" s="336"/>
      <c r="Y65" s="338"/>
    </row>
    <row r="66" spans="2:25" x14ac:dyDescent="0.2">
      <c r="B66" s="7"/>
      <c r="C66" s="335"/>
      <c r="D66" s="324"/>
      <c r="H66" s="324"/>
      <c r="I66" s="324"/>
      <c r="J66" s="324"/>
      <c r="K66" s="324"/>
      <c r="L66" s="324"/>
      <c r="M66" s="324"/>
      <c r="N66" s="324"/>
      <c r="O66" s="324"/>
      <c r="P66" s="324"/>
      <c r="Q66" s="324"/>
      <c r="R66" s="324"/>
      <c r="S66" s="324"/>
      <c r="T66" s="324"/>
      <c r="U66" s="324"/>
      <c r="V66" s="324"/>
      <c r="W66" s="324"/>
      <c r="X66" s="336"/>
      <c r="Y66" s="338"/>
    </row>
    <row r="67" spans="2:25" x14ac:dyDescent="0.2">
      <c r="C67" s="335"/>
      <c r="D67" s="324"/>
      <c r="H67" s="324"/>
      <c r="I67" s="324"/>
      <c r="J67" s="324"/>
      <c r="K67" s="324"/>
      <c r="L67" s="324"/>
      <c r="M67" s="324"/>
      <c r="N67" s="324"/>
      <c r="O67" s="324"/>
      <c r="P67" s="324"/>
      <c r="Q67" s="324"/>
      <c r="R67" s="324"/>
      <c r="S67" s="324"/>
      <c r="T67" s="324"/>
      <c r="U67" s="324"/>
      <c r="V67" s="324"/>
      <c r="W67" s="324"/>
      <c r="X67" s="336"/>
      <c r="Y67" s="338"/>
    </row>
    <row r="68" spans="2:25" x14ac:dyDescent="0.2">
      <c r="C68" s="335"/>
      <c r="D68" s="324"/>
      <c r="H68" s="324"/>
      <c r="I68" s="324"/>
      <c r="J68" s="324"/>
      <c r="K68" s="324"/>
      <c r="L68" s="324"/>
      <c r="M68" s="324"/>
      <c r="N68" s="324"/>
      <c r="O68" s="324"/>
      <c r="P68" s="324"/>
      <c r="Q68" s="324"/>
      <c r="R68" s="324"/>
      <c r="S68" s="324"/>
      <c r="T68" s="324"/>
      <c r="U68" s="324"/>
      <c r="V68" s="324"/>
      <c r="W68" s="324"/>
      <c r="X68" s="336"/>
      <c r="Y68" s="338"/>
    </row>
    <row r="69" spans="2:25" x14ac:dyDescent="0.2">
      <c r="C69" s="335"/>
      <c r="D69" s="324"/>
      <c r="H69" s="324"/>
      <c r="I69" s="324"/>
      <c r="J69" s="324"/>
      <c r="K69" s="324"/>
      <c r="L69" s="324"/>
      <c r="M69" s="324"/>
      <c r="N69" s="324"/>
      <c r="O69" s="324"/>
      <c r="P69" s="324"/>
      <c r="Q69" s="324"/>
      <c r="R69" s="324"/>
      <c r="S69" s="324"/>
      <c r="T69" s="324"/>
      <c r="U69" s="324"/>
      <c r="V69" s="324"/>
      <c r="W69" s="324"/>
      <c r="X69" s="336"/>
      <c r="Y69" s="338"/>
    </row>
    <row r="70" spans="2:25" x14ac:dyDescent="0.2">
      <c r="C70" s="335"/>
      <c r="D70" s="324"/>
      <c r="H70" s="324"/>
      <c r="I70" s="324"/>
      <c r="J70" s="324"/>
      <c r="K70" s="324"/>
      <c r="L70" s="324"/>
      <c r="M70" s="324"/>
      <c r="N70" s="324"/>
      <c r="O70" s="324"/>
      <c r="P70" s="324"/>
      <c r="Q70" s="324"/>
      <c r="R70" s="324"/>
      <c r="S70" s="324"/>
      <c r="T70" s="324"/>
      <c r="U70" s="324"/>
      <c r="V70" s="324"/>
      <c r="W70" s="324"/>
      <c r="X70" s="336"/>
      <c r="Y70" s="338"/>
    </row>
    <row r="71" spans="2:25" x14ac:dyDescent="0.2">
      <c r="C71" s="335"/>
      <c r="D71" s="324"/>
      <c r="H71" s="324"/>
      <c r="I71" s="324"/>
      <c r="J71" s="324"/>
      <c r="K71" s="324"/>
      <c r="L71" s="324"/>
      <c r="M71" s="324"/>
      <c r="N71" s="324"/>
      <c r="O71" s="324"/>
      <c r="P71" s="324"/>
      <c r="Q71" s="324"/>
      <c r="R71" s="324"/>
      <c r="S71" s="324"/>
      <c r="T71" s="324"/>
      <c r="U71" s="324"/>
      <c r="V71" s="324"/>
      <c r="W71" s="324"/>
      <c r="X71" s="336"/>
      <c r="Y71" s="338"/>
    </row>
    <row r="72" spans="2:25" x14ac:dyDescent="0.2">
      <c r="C72" s="335"/>
      <c r="D72" s="324"/>
      <c r="H72" s="324"/>
      <c r="I72" s="324"/>
      <c r="J72" s="324"/>
      <c r="K72" s="324"/>
      <c r="L72" s="324"/>
      <c r="M72" s="324"/>
      <c r="N72" s="324"/>
      <c r="O72" s="324"/>
      <c r="P72" s="324"/>
      <c r="Q72" s="324"/>
      <c r="R72" s="324"/>
      <c r="S72" s="324"/>
      <c r="T72" s="324"/>
      <c r="U72" s="324"/>
      <c r="V72" s="324"/>
      <c r="W72" s="324"/>
      <c r="X72" s="336"/>
      <c r="Y72" s="338"/>
    </row>
    <row r="89" spans="4:23" x14ac:dyDescent="0.2">
      <c r="K89" s="77"/>
      <c r="L89" s="77"/>
      <c r="M89" s="77"/>
      <c r="N89" s="77"/>
      <c r="O89" s="77"/>
      <c r="P89" s="77"/>
      <c r="Q89" s="77"/>
      <c r="R89" s="77"/>
      <c r="S89" s="77"/>
      <c r="T89" s="77"/>
      <c r="U89" s="77"/>
      <c r="V89" s="77"/>
      <c r="W89" s="78"/>
    </row>
    <row r="90" spans="4:23" x14ac:dyDescent="0.2">
      <c r="D90" s="79"/>
    </row>
  </sheetData>
  <mergeCells count="6">
    <mergeCell ref="Y12:Y13"/>
    <mergeCell ref="B11:B12"/>
    <mergeCell ref="E11:H11"/>
    <mergeCell ref="I11:S11"/>
    <mergeCell ref="E12:G12"/>
    <mergeCell ref="X12:X13"/>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topLeftCell="A3" zoomScale="70" zoomScaleNormal="70" workbookViewId="0">
      <pane xSplit="2" ySplit="12" topLeftCell="K15" activePane="bottomRight" state="frozen"/>
      <selection activeCell="A3" sqref="A3"/>
      <selection pane="topRight" activeCell="C3" sqref="C3"/>
      <selection pane="bottomLeft" activeCell="A15" sqref="A15"/>
      <selection pane="bottomRight" activeCell="E18" sqref="E18"/>
    </sheetView>
  </sheetViews>
  <sheetFormatPr baseColWidth="10" defaultColWidth="0" defaultRowHeight="12.75" outlineLevelRow="1" outlineLevelCol="1" x14ac:dyDescent="0.2"/>
  <cols>
    <col min="1" max="1" width="9.140625" style="1" customWidth="1"/>
    <col min="2" max="2" width="49.28515625" style="1" customWidth="1"/>
    <col min="3" max="3" width="17.42578125" style="75" customWidth="1" outlineLevel="1"/>
    <col min="4" max="4" width="18.42578125" style="1" customWidth="1"/>
    <col min="5" max="7" width="17.42578125" style="324" customWidth="1" outlineLevel="1"/>
    <col min="8" max="22" width="17.42578125" style="1" customWidth="1"/>
    <col min="23" max="23" width="24.5703125" style="6" customWidth="1"/>
    <col min="24" max="24" width="21.28515625" style="1" customWidth="1"/>
    <col min="25" max="25" width="21.5703125" style="7" customWidth="1"/>
    <col min="26" max="26" width="22.42578125" style="7" customWidth="1"/>
    <col min="27" max="28" width="11.42578125" style="1" customWidth="1"/>
    <col min="29" max="16384" width="0" style="1" hidden="1"/>
  </cols>
  <sheetData>
    <row r="1" spans="1:29" ht="13.5" outlineLevel="1" thickBot="1" x14ac:dyDescent="0.25">
      <c r="B1" s="2" t="s">
        <v>25</v>
      </c>
      <c r="C1" s="3"/>
      <c r="D1" s="4"/>
      <c r="E1" s="315"/>
      <c r="F1" s="315"/>
      <c r="G1" s="315"/>
    </row>
    <row r="2" spans="1:29" ht="13.5" outlineLevel="1" thickBot="1" x14ac:dyDescent="0.25">
      <c r="B2" s="8"/>
      <c r="C2" s="3"/>
      <c r="D2" s="4"/>
      <c r="E2" s="315"/>
      <c r="F2" s="315"/>
      <c r="G2" s="315"/>
      <c r="X2" s="9"/>
      <c r="AA2" s="10"/>
    </row>
    <row r="3" spans="1:29" ht="12.75" customHeight="1" outlineLevel="1" x14ac:dyDescent="0.25">
      <c r="B3" s="11" t="s">
        <v>1</v>
      </c>
      <c r="C3" s="12"/>
      <c r="D3" s="13" t="s">
        <v>83</v>
      </c>
      <c r="E3" s="316"/>
      <c r="F3" s="316"/>
      <c r="G3" s="316"/>
      <c r="AA3" s="5"/>
    </row>
    <row r="4" spans="1:29" ht="12.75" customHeight="1" outlineLevel="1" x14ac:dyDescent="0.25">
      <c r="B4" s="14" t="s">
        <v>2</v>
      </c>
      <c r="C4" s="15"/>
      <c r="D4" s="16" t="s">
        <v>84</v>
      </c>
      <c r="E4" s="316"/>
      <c r="F4" s="316"/>
      <c r="G4" s="316"/>
      <c r="AA4" s="5"/>
    </row>
    <row r="5" spans="1:29" ht="12.75" customHeight="1" outlineLevel="1" x14ac:dyDescent="0.25">
      <c r="B5" s="17" t="s">
        <v>3</v>
      </c>
      <c r="C5" s="15"/>
      <c r="D5" s="16" t="str">
        <f>'THP DR'!B7</f>
        <v>TR14GTM15001</v>
      </c>
      <c r="E5" s="316"/>
      <c r="F5" s="316"/>
      <c r="G5" s="316"/>
      <c r="AA5" s="5"/>
    </row>
    <row r="6" spans="1:29" ht="12.75" customHeight="1" outlineLevel="1" x14ac:dyDescent="0.25">
      <c r="B6" s="14" t="s">
        <v>4</v>
      </c>
      <c r="C6" s="15"/>
      <c r="D6" s="18">
        <f>'THP DR'!B10</f>
        <v>42622</v>
      </c>
      <c r="E6" s="316"/>
      <c r="F6" s="316"/>
      <c r="G6" s="316"/>
      <c r="X6" s="7"/>
      <c r="AA6" s="10"/>
    </row>
    <row r="7" spans="1:29" ht="13.5" customHeight="1" outlineLevel="1" thickBot="1" x14ac:dyDescent="0.25">
      <c r="B7" s="19" t="s">
        <v>5</v>
      </c>
      <c r="C7" s="20"/>
      <c r="D7" s="204">
        <f>'THP DR'!B13</f>
        <v>1</v>
      </c>
      <c r="E7" s="316"/>
      <c r="F7" s="316"/>
      <c r="G7" s="316"/>
      <c r="X7" s="21"/>
    </row>
    <row r="8" spans="1:29" ht="12.75" customHeight="1" outlineLevel="1" x14ac:dyDescent="0.2">
      <c r="B8" s="5"/>
      <c r="C8" s="22"/>
      <c r="D8" s="23"/>
      <c r="E8" s="317"/>
      <c r="F8" s="317"/>
      <c r="G8" s="317"/>
      <c r="H8" s="5"/>
      <c r="X8" s="21"/>
    </row>
    <row r="9" spans="1:29" ht="12.75" customHeight="1" outlineLevel="1" x14ac:dyDescent="0.2">
      <c r="B9" s="24"/>
      <c r="C9" s="24"/>
      <c r="D9" s="24"/>
      <c r="E9" s="318"/>
      <c r="F9" s="318"/>
      <c r="G9" s="318"/>
      <c r="H9" s="5"/>
      <c r="W9" s="25"/>
      <c r="X9" s="21"/>
    </row>
    <row r="10" spans="1:29" s="26" customFormat="1" ht="13.5" customHeight="1" outlineLevel="1" x14ac:dyDescent="0.2">
      <c r="B10" s="27"/>
      <c r="C10" s="28"/>
      <c r="D10" s="29"/>
      <c r="E10" s="319"/>
      <c r="F10" s="319"/>
      <c r="G10" s="319"/>
      <c r="H10" s="30"/>
      <c r="W10" s="25"/>
      <c r="X10" s="21"/>
      <c r="Y10" s="7"/>
      <c r="Z10" s="7"/>
    </row>
    <row r="11" spans="1:29" ht="15.75" outlineLevel="1" x14ac:dyDescent="0.2">
      <c r="A11" s="5"/>
      <c r="B11" s="340" t="s">
        <v>26</v>
      </c>
      <c r="C11" s="31" t="s">
        <v>7</v>
      </c>
      <c r="D11" s="32" t="s">
        <v>8</v>
      </c>
      <c r="E11" s="350" t="s">
        <v>9</v>
      </c>
      <c r="F11" s="351"/>
      <c r="G11" s="351"/>
      <c r="H11" s="351"/>
      <c r="I11" s="343" t="s">
        <v>10</v>
      </c>
      <c r="J11" s="344"/>
      <c r="K11" s="344"/>
      <c r="L11" s="344"/>
      <c r="M11" s="344"/>
      <c r="N11" s="344"/>
      <c r="O11" s="344"/>
      <c r="P11" s="344"/>
      <c r="Q11" s="344"/>
      <c r="R11" s="344"/>
      <c r="S11" s="344"/>
      <c r="T11" s="246"/>
      <c r="U11" s="246"/>
      <c r="V11" s="246"/>
      <c r="W11" s="33" t="s">
        <v>11</v>
      </c>
      <c r="X11" s="33" t="s">
        <v>11</v>
      </c>
      <c r="Y11" s="33" t="s">
        <v>12</v>
      </c>
      <c r="Z11" s="34"/>
    </row>
    <row r="12" spans="1:29" s="41" customFormat="1" ht="87" customHeight="1" x14ac:dyDescent="0.2">
      <c r="A12" s="5"/>
      <c r="B12" s="340"/>
      <c r="C12" s="35" t="s">
        <v>230</v>
      </c>
      <c r="D12" s="36" t="s">
        <v>231</v>
      </c>
      <c r="E12" s="345" t="str">
        <f>"Grant Quarter #"&amp;$D$7</f>
        <v>Grant Quarter #1</v>
      </c>
      <c r="F12" s="346"/>
      <c r="G12" s="347"/>
      <c r="H12" s="37" t="str">
        <f>"Grant Quarter #"&amp;$D$7</f>
        <v>Grant Quarter #1</v>
      </c>
      <c r="I12" s="38" t="s">
        <v>86</v>
      </c>
      <c r="J12" s="38" t="s">
        <v>87</v>
      </c>
      <c r="K12" s="38" t="s">
        <v>88</v>
      </c>
      <c r="L12" s="38" t="s">
        <v>89</v>
      </c>
      <c r="M12" s="38" t="s">
        <v>90</v>
      </c>
      <c r="N12" s="38" t="s">
        <v>91</v>
      </c>
      <c r="O12" s="38" t="s">
        <v>92</v>
      </c>
      <c r="P12" s="38" t="s">
        <v>93</v>
      </c>
      <c r="Q12" s="38" t="s">
        <v>94</v>
      </c>
      <c r="R12" s="38" t="s">
        <v>95</v>
      </c>
      <c r="S12" s="38" t="s">
        <v>96</v>
      </c>
      <c r="T12" s="247" t="s">
        <v>97</v>
      </c>
      <c r="U12" s="247" t="s">
        <v>223</v>
      </c>
      <c r="V12" s="247" t="s">
        <v>224</v>
      </c>
      <c r="W12" s="352" t="s">
        <v>27</v>
      </c>
      <c r="X12" s="353" t="s">
        <v>147</v>
      </c>
      <c r="Y12" s="349" t="s">
        <v>16</v>
      </c>
      <c r="Z12" s="39"/>
      <c r="AA12" s="5"/>
      <c r="AB12" s="5"/>
      <c r="AC12" s="40"/>
    </row>
    <row r="13" spans="1:29" s="41" customFormat="1" ht="27.75" customHeight="1" x14ac:dyDescent="0.2">
      <c r="A13" s="5"/>
      <c r="B13" s="42" t="s">
        <v>17</v>
      </c>
      <c r="C13" s="43" t="s">
        <v>114</v>
      </c>
      <c r="D13" s="44" t="s">
        <v>114</v>
      </c>
      <c r="E13" s="326" t="s">
        <v>258</v>
      </c>
      <c r="F13" s="326" t="s">
        <v>259</v>
      </c>
      <c r="G13" s="326" t="s">
        <v>260</v>
      </c>
      <c r="H13" s="45" t="s">
        <v>18</v>
      </c>
      <c r="I13" s="247" t="s">
        <v>19</v>
      </c>
      <c r="J13" s="247" t="s">
        <v>20</v>
      </c>
      <c r="K13" s="247" t="s">
        <v>21</v>
      </c>
      <c r="L13" s="247" t="s">
        <v>22</v>
      </c>
      <c r="M13" s="247" t="s">
        <v>78</v>
      </c>
      <c r="N13" s="247" t="s">
        <v>75</v>
      </c>
      <c r="O13" s="247" t="s">
        <v>76</v>
      </c>
      <c r="P13" s="247" t="s">
        <v>77</v>
      </c>
      <c r="Q13" s="247" t="s">
        <v>79</v>
      </c>
      <c r="R13" s="247" t="s">
        <v>80</v>
      </c>
      <c r="S13" s="247" t="s">
        <v>81</v>
      </c>
      <c r="T13" s="247" t="s">
        <v>225</v>
      </c>
      <c r="U13" s="247" t="s">
        <v>226</v>
      </c>
      <c r="V13" s="247" t="s">
        <v>227</v>
      </c>
      <c r="W13" s="352"/>
      <c r="X13" s="353"/>
      <c r="Y13" s="349"/>
      <c r="Z13" s="39"/>
      <c r="AA13" s="5"/>
      <c r="AB13" s="5"/>
      <c r="AC13" s="40"/>
    </row>
    <row r="14" spans="1:29" s="41" customFormat="1" ht="13.5" customHeight="1" x14ac:dyDescent="0.2">
      <c r="A14" s="5"/>
      <c r="B14" s="46"/>
      <c r="C14" s="31"/>
      <c r="D14" s="47"/>
      <c r="E14" s="325"/>
      <c r="F14" s="325"/>
      <c r="G14" s="325"/>
      <c r="W14" s="48"/>
      <c r="X14" s="49" t="s">
        <v>23</v>
      </c>
      <c r="Y14" s="7"/>
      <c r="Z14" s="7"/>
      <c r="AA14" s="5"/>
      <c r="AB14" s="5"/>
      <c r="AC14" s="40"/>
    </row>
    <row r="15" spans="1:29" s="41" customFormat="1" x14ac:dyDescent="0.2">
      <c r="A15" s="5"/>
      <c r="B15" s="50"/>
      <c r="C15" s="51"/>
      <c r="D15" s="50"/>
      <c r="E15" s="321"/>
      <c r="F15" s="321"/>
      <c r="G15" s="321"/>
      <c r="H15" s="50"/>
      <c r="I15" s="50"/>
      <c r="J15" s="50"/>
      <c r="K15" s="50"/>
      <c r="L15" s="50"/>
      <c r="M15" s="50"/>
      <c r="N15" s="50"/>
      <c r="O15" s="50"/>
      <c r="P15" s="50"/>
      <c r="Q15" s="50"/>
      <c r="R15" s="50"/>
      <c r="S15" s="50"/>
      <c r="T15" s="50"/>
      <c r="U15" s="50"/>
      <c r="V15" s="50"/>
      <c r="W15" s="50"/>
      <c r="X15" s="50"/>
      <c r="Y15" s="50"/>
      <c r="Z15" s="7"/>
      <c r="AA15" s="5"/>
      <c r="AB15" s="5"/>
      <c r="AC15" s="40"/>
    </row>
    <row r="16" spans="1:29" s="41" customFormat="1" x14ac:dyDescent="0.2">
      <c r="A16" s="5"/>
      <c r="B16" s="52" t="s">
        <v>99</v>
      </c>
      <c r="C16" s="53"/>
      <c r="D16" s="54"/>
      <c r="E16" s="322"/>
      <c r="F16" s="322"/>
      <c r="G16" s="322"/>
      <c r="H16" s="54"/>
      <c r="I16" s="54"/>
      <c r="J16" s="54"/>
      <c r="K16" s="54"/>
      <c r="L16" s="54"/>
      <c r="M16" s="54"/>
      <c r="N16" s="54"/>
      <c r="O16" s="54"/>
      <c r="P16" s="54"/>
      <c r="Q16" s="54"/>
      <c r="R16" s="54"/>
      <c r="S16" s="54"/>
      <c r="T16" s="54"/>
      <c r="U16" s="54"/>
      <c r="V16" s="54"/>
      <c r="W16" s="55"/>
      <c r="X16" s="210"/>
      <c r="Y16" s="55"/>
      <c r="Z16" s="7"/>
      <c r="AA16" s="5"/>
      <c r="AB16" s="5"/>
      <c r="AC16" s="40"/>
    </row>
    <row r="17" spans="1:29" s="223" customFormat="1" outlineLevel="1" x14ac:dyDescent="0.2">
      <c r="A17" s="220"/>
      <c r="B17" s="57" t="s">
        <v>100</v>
      </c>
      <c r="C17" s="212">
        <f>SUM(C18:C20)</f>
        <v>0</v>
      </c>
      <c r="D17" s="212">
        <f>SUM(D18:D20)</f>
        <v>0</v>
      </c>
      <c r="E17" s="212">
        <f t="shared" ref="E17:R17" si="0">SUM(E18:E20)</f>
        <v>0</v>
      </c>
      <c r="F17" s="212">
        <f t="shared" si="0"/>
        <v>0</v>
      </c>
      <c r="G17" s="212">
        <f t="shared" si="0"/>
        <v>0</v>
      </c>
      <c r="H17" s="212">
        <f t="shared" si="0"/>
        <v>0</v>
      </c>
      <c r="I17" s="212">
        <f t="shared" si="0"/>
        <v>0</v>
      </c>
      <c r="J17" s="212">
        <f t="shared" si="0"/>
        <v>240000</v>
      </c>
      <c r="K17" s="212">
        <f t="shared" si="0"/>
        <v>400000</v>
      </c>
      <c r="L17" s="212">
        <f t="shared" si="0"/>
        <v>400000</v>
      </c>
      <c r="M17" s="212">
        <f t="shared" si="0"/>
        <v>400000</v>
      </c>
      <c r="N17" s="212">
        <f t="shared" si="0"/>
        <v>1225000</v>
      </c>
      <c r="O17" s="212">
        <f t="shared" si="0"/>
        <v>1225000</v>
      </c>
      <c r="P17" s="212">
        <f t="shared" si="0"/>
        <v>1225000</v>
      </c>
      <c r="Q17" s="212">
        <f t="shared" si="0"/>
        <v>1225000</v>
      </c>
      <c r="R17" s="212">
        <f t="shared" si="0"/>
        <v>1175000</v>
      </c>
      <c r="S17" s="212">
        <f t="shared" ref="S17" si="1">SUM(S18:S20)</f>
        <v>1175000</v>
      </c>
      <c r="T17" s="212">
        <f t="shared" ref="T17:V17" si="2">SUM(T18:T20)</f>
        <v>1175000</v>
      </c>
      <c r="U17" s="212">
        <f t="shared" si="2"/>
        <v>1175000</v>
      </c>
      <c r="V17" s="212">
        <f t="shared" si="2"/>
        <v>160000</v>
      </c>
      <c r="W17" s="212">
        <f>SUM(W18:W20)</f>
        <v>11200000</v>
      </c>
      <c r="X17" s="214">
        <f>'QFR - B'!G15</f>
        <v>12000000</v>
      </c>
      <c r="Y17" s="235">
        <f>X17-W17</f>
        <v>800000</v>
      </c>
      <c r="Z17" s="76"/>
      <c r="AA17" s="221"/>
      <c r="AB17" s="221"/>
      <c r="AC17" s="222"/>
    </row>
    <row r="18" spans="1:29" s="223" customFormat="1" outlineLevel="1" x14ac:dyDescent="0.2">
      <c r="A18" s="220"/>
      <c r="B18" s="216" t="s">
        <v>140</v>
      </c>
      <c r="C18" s="217"/>
      <c r="D18" s="218"/>
      <c r="E18" s="218"/>
      <c r="F18" s="218"/>
      <c r="G18" s="218"/>
      <c r="H18" s="218">
        <f>E18+F18+G18</f>
        <v>0</v>
      </c>
      <c r="I18" s="218">
        <f>SUMIF('Contract level'!$A:$A,"="&amp;'DFP-Com'!$A18,'Contract level'!AA:AA)</f>
        <v>0</v>
      </c>
      <c r="J18" s="218">
        <f>SUMIF('Contract level'!$A:$A,"="&amp;'DFP-Com'!$A18,'Contract level'!AB:AB)</f>
        <v>240000</v>
      </c>
      <c r="K18" s="218">
        <f>SUMIF('Contract level'!$A:$A,"="&amp;'DFP-Com'!$A18,'Contract level'!AC:AC)</f>
        <v>400000</v>
      </c>
      <c r="L18" s="218">
        <f>SUMIF('Contract level'!$A:$A,"="&amp;'DFP-Com'!$A18,'Contract level'!AD:AD)</f>
        <v>400000</v>
      </c>
      <c r="M18" s="218">
        <f>SUMIF('Contract level'!$A:$A,"="&amp;'DFP-Com'!$A18,'Contract level'!AE:AE)</f>
        <v>400000</v>
      </c>
      <c r="N18" s="218">
        <f>SUMIF('Contract level'!$A:$A,"="&amp;'DFP-Com'!$A18,'Contract level'!AF:AF)</f>
        <v>850000</v>
      </c>
      <c r="O18" s="218">
        <f>SUMIF('Contract level'!$A:$A,"="&amp;'DFP-Com'!$A18,'Contract level'!AG:AG)</f>
        <v>850000</v>
      </c>
      <c r="P18" s="218">
        <f>SUMIF('Contract level'!$A:$A,"="&amp;'DFP-Com'!$A18,'Contract level'!AH:AH)</f>
        <v>850000</v>
      </c>
      <c r="Q18" s="218">
        <f>SUMIF('Contract level'!$A:$A,"="&amp;'DFP-Com'!$A18,'Contract level'!AI:AI)</f>
        <v>850000</v>
      </c>
      <c r="R18" s="218">
        <f>SUMIF('Contract level'!$A:$A,"="&amp;'DFP-Com'!$A18,'Contract level'!AJ:AJ)</f>
        <v>800000</v>
      </c>
      <c r="S18" s="218">
        <f>SUMIF('Contract level'!$A:$A,"="&amp;'DFP-Com'!$A18,'Contract level'!AK:AK)</f>
        <v>800000</v>
      </c>
      <c r="T18" s="218">
        <f>SUMIF('Contract level'!$A:$A,"="&amp;'DFP-Com'!$A18,'Contract level'!AL:AL)</f>
        <v>800000</v>
      </c>
      <c r="U18" s="218">
        <f>SUMIF('Contract level'!$A:$A,"="&amp;'DFP-Com'!$A18,'Contract level'!AM:AM)</f>
        <v>800000</v>
      </c>
      <c r="V18" s="218">
        <f>SUMIF('Contract level'!$A:$A,"="&amp;'DFP-Com'!$A18,'Contract level'!AN:AN)</f>
        <v>160000</v>
      </c>
      <c r="W18" s="218">
        <f>SUM(H18:V18)+D18+C18</f>
        <v>8200000</v>
      </c>
      <c r="X18" s="219" t="s">
        <v>146</v>
      </c>
      <c r="Y18" s="218"/>
      <c r="Z18" s="76"/>
      <c r="AA18" s="221"/>
      <c r="AB18" s="221"/>
      <c r="AC18" s="222"/>
    </row>
    <row r="19" spans="1:29" s="223" customFormat="1" outlineLevel="1" x14ac:dyDescent="0.2">
      <c r="A19" s="220"/>
      <c r="B19" s="216" t="s">
        <v>141</v>
      </c>
      <c r="C19" s="217"/>
      <c r="D19" s="218"/>
      <c r="E19" s="218"/>
      <c r="F19" s="218"/>
      <c r="G19" s="218"/>
      <c r="H19" s="218">
        <f t="shared" ref="H19:H20" si="3">E19+F19+G19</f>
        <v>0</v>
      </c>
      <c r="I19" s="218">
        <f>SUMIF('Contract level'!$A:$A,"="&amp;'DFP-Com'!$A19,'Contract level'!AA:AA)</f>
        <v>0</v>
      </c>
      <c r="J19" s="218">
        <f>SUMIF('Contract level'!$A:$A,"="&amp;'DFP-Com'!$A19,'Contract level'!AB:AB)</f>
        <v>0</v>
      </c>
      <c r="K19" s="218">
        <f>SUMIF('Contract level'!$A:$A,"="&amp;'DFP-Com'!$A19,'Contract level'!AC:AC)</f>
        <v>0</v>
      </c>
      <c r="L19" s="218">
        <f>SUMIF('Contract level'!$A:$A,"="&amp;'DFP-Com'!$A19,'Contract level'!AD:AD)</f>
        <v>0</v>
      </c>
      <c r="M19" s="218">
        <f>SUMIF('Contract level'!$A:$A,"="&amp;'DFP-Com'!$A19,'Contract level'!AE:AE)</f>
        <v>0</v>
      </c>
      <c r="N19" s="218">
        <f>SUMIF('Contract level'!$A:$A,"="&amp;'DFP-Com'!$A19,'Contract level'!AF:AF)</f>
        <v>375000</v>
      </c>
      <c r="O19" s="218">
        <f>SUMIF('Contract level'!$A:$A,"="&amp;'DFP-Com'!$A19,'Contract level'!AG:AG)</f>
        <v>375000</v>
      </c>
      <c r="P19" s="218">
        <f>SUMIF('Contract level'!$A:$A,"="&amp;'DFP-Com'!$A19,'Contract level'!AH:AH)</f>
        <v>375000</v>
      </c>
      <c r="Q19" s="218">
        <f>SUMIF('Contract level'!$A:$A,"="&amp;'DFP-Com'!$A19,'Contract level'!AI:AI)</f>
        <v>375000</v>
      </c>
      <c r="R19" s="218">
        <f>SUMIF('Contract level'!$A:$A,"="&amp;'DFP-Com'!$A19,'Contract level'!AJ:AJ)</f>
        <v>375000</v>
      </c>
      <c r="S19" s="218">
        <f>SUMIF('Contract level'!$A:$A,"="&amp;'DFP-Com'!$A19,'Contract level'!AK:AK)</f>
        <v>375000</v>
      </c>
      <c r="T19" s="218">
        <f>SUMIF('Contract level'!$A:$A,"="&amp;'DFP-Com'!$A19,'Contract level'!AL:AL)</f>
        <v>375000</v>
      </c>
      <c r="U19" s="218">
        <f>SUMIF('Contract level'!$A:$A,"="&amp;'DFP-Com'!$A19,'Contract level'!AM:AM)</f>
        <v>375000</v>
      </c>
      <c r="V19" s="218">
        <f>SUMIF('Contract level'!$A:$A,"="&amp;'DFP-Com'!$A19,'Contract level'!AN:AN)</f>
        <v>0</v>
      </c>
      <c r="W19" s="218">
        <f>SUM(H19:V19)+D19+C19</f>
        <v>3000000</v>
      </c>
      <c r="X19" s="219"/>
      <c r="Y19" s="218"/>
      <c r="Z19" s="76"/>
      <c r="AA19" s="221"/>
      <c r="AB19" s="221"/>
      <c r="AC19" s="222"/>
    </row>
    <row r="20" spans="1:29" s="223" customFormat="1" outlineLevel="1" x14ac:dyDescent="0.2">
      <c r="A20" s="220"/>
      <c r="B20" s="216" t="s">
        <v>148</v>
      </c>
      <c r="C20" s="217"/>
      <c r="D20" s="218"/>
      <c r="E20" s="218"/>
      <c r="F20" s="218"/>
      <c r="G20" s="218"/>
      <c r="H20" s="218">
        <f t="shared" si="3"/>
        <v>0</v>
      </c>
      <c r="I20" s="218">
        <f>SUMIF('Contract level'!$A:$A,"="&amp;'DFP-Com'!$A20,'Contract level'!AA:AA)</f>
        <v>0</v>
      </c>
      <c r="J20" s="218">
        <f>SUMIF('Contract level'!$A:$A,"="&amp;'DFP-Com'!$A20,'Contract level'!AB:AB)</f>
        <v>0</v>
      </c>
      <c r="K20" s="218">
        <f>SUMIF('Contract level'!$A:$A,"="&amp;'DFP-Com'!$A20,'Contract level'!AC:AC)</f>
        <v>0</v>
      </c>
      <c r="L20" s="218">
        <f>SUMIF('Contract level'!$A:$A,"="&amp;'DFP-Com'!$A20,'Contract level'!AD:AD)</f>
        <v>0</v>
      </c>
      <c r="M20" s="218">
        <f>SUMIF('Contract level'!$A:$A,"="&amp;'DFP-Com'!$A20,'Contract level'!AE:AE)</f>
        <v>0</v>
      </c>
      <c r="N20" s="218">
        <f>SUMIF('Contract level'!$A:$A,"="&amp;'DFP-Com'!$A20,'Contract level'!AF:AF)</f>
        <v>0</v>
      </c>
      <c r="O20" s="218">
        <f>SUMIF('Contract level'!$A:$A,"="&amp;'DFP-Com'!$A20,'Contract level'!AG:AG)</f>
        <v>0</v>
      </c>
      <c r="P20" s="218">
        <f>SUMIF('Contract level'!$A:$A,"="&amp;'DFP-Com'!$A20,'Contract level'!AH:AH)</f>
        <v>0</v>
      </c>
      <c r="Q20" s="218">
        <f>SUMIF('Contract level'!$A:$A,"="&amp;'DFP-Com'!$A20,'Contract level'!AI:AI)</f>
        <v>0</v>
      </c>
      <c r="R20" s="218">
        <f>SUMIF('Contract level'!$A:$A,"="&amp;'DFP-Com'!$A20,'Contract level'!AJ:AJ)</f>
        <v>0</v>
      </c>
      <c r="S20" s="218">
        <f>SUMIF('Contract level'!$A:$A,"="&amp;'DFP-Com'!$A20,'Contract level'!AK:AK)</f>
        <v>0</v>
      </c>
      <c r="T20" s="218">
        <f>SUMIF('Contract level'!$A:$A,"="&amp;'DFP-Com'!$A20,'Contract level'!AL:AL)</f>
        <v>0</v>
      </c>
      <c r="U20" s="218">
        <f>SUMIF('Contract level'!$A:$A,"="&amp;'DFP-Com'!$A20,'Contract level'!AM:AM)</f>
        <v>0</v>
      </c>
      <c r="V20" s="218">
        <f>SUMIF('Contract level'!$A:$A,"="&amp;'DFP-Com'!$A20,'Contract level'!AN:AN)</f>
        <v>0</v>
      </c>
      <c r="W20" s="218">
        <f>SUM(H20:V20)+D20+C20</f>
        <v>0</v>
      </c>
      <c r="X20" s="219"/>
      <c r="Y20" s="218"/>
      <c r="Z20" s="76"/>
      <c r="AA20" s="221"/>
      <c r="AB20" s="221"/>
      <c r="AC20" s="222"/>
    </row>
    <row r="21" spans="1:29" s="223" customFormat="1" ht="12.95" customHeight="1" outlineLevel="1" x14ac:dyDescent="0.2">
      <c r="A21" s="220"/>
      <c r="B21" s="57" t="s">
        <v>101</v>
      </c>
      <c r="C21" s="212">
        <f>C22</f>
        <v>0</v>
      </c>
      <c r="D21" s="212">
        <f>D22</f>
        <v>0</v>
      </c>
      <c r="E21" s="212">
        <f t="shared" ref="E21:W21" si="4">E22</f>
        <v>0</v>
      </c>
      <c r="F21" s="212">
        <f t="shared" si="4"/>
        <v>0</v>
      </c>
      <c r="G21" s="212">
        <f t="shared" si="4"/>
        <v>0</v>
      </c>
      <c r="H21" s="212">
        <f t="shared" si="4"/>
        <v>0</v>
      </c>
      <c r="I21" s="212">
        <f t="shared" si="4"/>
        <v>12000</v>
      </c>
      <c r="J21" s="212">
        <f t="shared" si="4"/>
        <v>12000</v>
      </c>
      <c r="K21" s="212">
        <f t="shared" si="4"/>
        <v>12000</v>
      </c>
      <c r="L21" s="212">
        <f t="shared" si="4"/>
        <v>212000</v>
      </c>
      <c r="M21" s="212">
        <f t="shared" si="4"/>
        <v>412000</v>
      </c>
      <c r="N21" s="212">
        <f t="shared" si="4"/>
        <v>412000</v>
      </c>
      <c r="O21" s="212">
        <f t="shared" si="4"/>
        <v>412000</v>
      </c>
      <c r="P21" s="212">
        <f t="shared" si="4"/>
        <v>412000</v>
      </c>
      <c r="Q21" s="212">
        <f t="shared" si="4"/>
        <v>412000</v>
      </c>
      <c r="R21" s="212">
        <f t="shared" si="4"/>
        <v>412000</v>
      </c>
      <c r="S21" s="212">
        <f t="shared" si="4"/>
        <v>412000</v>
      </c>
      <c r="T21" s="212">
        <f t="shared" si="4"/>
        <v>412000</v>
      </c>
      <c r="U21" s="212">
        <f t="shared" si="4"/>
        <v>412000</v>
      </c>
      <c r="V21" s="212">
        <f t="shared" si="4"/>
        <v>212000</v>
      </c>
      <c r="W21" s="212">
        <f t="shared" si="4"/>
        <v>4168000</v>
      </c>
      <c r="X21" s="214">
        <f>'QFR - B'!G16</f>
        <v>4700000</v>
      </c>
      <c r="Y21" s="235">
        <f>X21-W21</f>
        <v>532000</v>
      </c>
      <c r="Z21" s="76"/>
      <c r="AA21" s="221"/>
      <c r="AB21" s="221"/>
      <c r="AC21" s="222"/>
    </row>
    <row r="22" spans="1:29" s="223" customFormat="1" ht="12.95" customHeight="1" outlineLevel="1" x14ac:dyDescent="0.2">
      <c r="A22" s="220"/>
      <c r="B22" s="216" t="s">
        <v>149</v>
      </c>
      <c r="C22" s="217"/>
      <c r="D22" s="218"/>
      <c r="E22" s="218"/>
      <c r="F22" s="218"/>
      <c r="G22" s="218"/>
      <c r="H22" s="218">
        <f>SUMIF('Contract level'!$A:$A,"="&amp;'DFP-Com'!$A22,'Contract level'!Z:Z)</f>
        <v>0</v>
      </c>
      <c r="I22" s="218">
        <f>SUMIF('Contract level'!$A:$A,"="&amp;'DFP-Com'!$A22,'Contract level'!AA:AA)</f>
        <v>12000</v>
      </c>
      <c r="J22" s="218">
        <f>SUMIF('Contract level'!$A:$A,"="&amp;'DFP-Com'!$A22,'Contract level'!AB:AB)</f>
        <v>12000</v>
      </c>
      <c r="K22" s="218">
        <f>SUMIF('Contract level'!$A:$A,"="&amp;'DFP-Com'!$A22,'Contract level'!AC:AC)</f>
        <v>12000</v>
      </c>
      <c r="L22" s="218">
        <f>SUMIF('Contract level'!$A:$A,"="&amp;'DFP-Com'!$A22,'Contract level'!AD:AD)</f>
        <v>212000</v>
      </c>
      <c r="M22" s="218">
        <f>SUMIF('Contract level'!$A:$A,"="&amp;'DFP-Com'!$A22,'Contract level'!AE:AE)</f>
        <v>412000</v>
      </c>
      <c r="N22" s="218">
        <f>SUMIF('Contract level'!$A:$A,"="&amp;'DFP-Com'!$A22,'Contract level'!AF:AF)</f>
        <v>412000</v>
      </c>
      <c r="O22" s="218">
        <f>SUMIF('Contract level'!$A:$A,"="&amp;'DFP-Com'!$A22,'Contract level'!AG:AG)</f>
        <v>412000</v>
      </c>
      <c r="P22" s="218">
        <f>SUMIF('Contract level'!$A:$A,"="&amp;'DFP-Com'!$A22,'Contract level'!AH:AH)</f>
        <v>412000</v>
      </c>
      <c r="Q22" s="218">
        <f>SUMIF('Contract level'!$A:$A,"="&amp;'DFP-Com'!$A22,'Contract level'!AI:AI)</f>
        <v>412000</v>
      </c>
      <c r="R22" s="218">
        <f>SUMIF('Contract level'!$A:$A,"="&amp;'DFP-Com'!$A22,'Contract level'!AJ:AJ)</f>
        <v>412000</v>
      </c>
      <c r="S22" s="218">
        <f>SUMIF('Contract level'!$A:$A,"="&amp;'DFP-Com'!$A22,'Contract level'!AK:AK)</f>
        <v>412000</v>
      </c>
      <c r="T22" s="218">
        <f>SUMIF('Contract level'!$A:$A,"="&amp;'DFP-Com'!$A22,'Contract level'!AL:AL)</f>
        <v>412000</v>
      </c>
      <c r="U22" s="218">
        <f>SUMIF('Contract level'!$A:$A,"="&amp;'DFP-Com'!$A22,'Contract level'!AM:AM)</f>
        <v>412000</v>
      </c>
      <c r="V22" s="218">
        <f>SUMIF('Contract level'!$A:$A,"="&amp;'DFP-Com'!$A22,'Contract level'!AN:AN)</f>
        <v>212000</v>
      </c>
      <c r="W22" s="218">
        <f>SUM(H22:V22)+D22+C22</f>
        <v>4168000</v>
      </c>
      <c r="X22" s="219"/>
      <c r="Y22" s="218"/>
      <c r="Z22" s="76"/>
      <c r="AA22" s="221"/>
      <c r="AB22" s="221"/>
      <c r="AC22" s="222"/>
    </row>
    <row r="23" spans="1:29" s="223" customFormat="1" outlineLevel="1" x14ac:dyDescent="0.2">
      <c r="A23" s="220"/>
      <c r="B23" s="57" t="s">
        <v>102</v>
      </c>
      <c r="C23" s="212">
        <f>SUM(C24:C26)</f>
        <v>0</v>
      </c>
      <c r="D23" s="212">
        <f t="shared" ref="D23:W23" si="5">SUM(D24:D26)</f>
        <v>0</v>
      </c>
      <c r="E23" s="212">
        <f t="shared" si="5"/>
        <v>0</v>
      </c>
      <c r="F23" s="212">
        <f t="shared" si="5"/>
        <v>0</v>
      </c>
      <c r="G23" s="212">
        <f t="shared" si="5"/>
        <v>0</v>
      </c>
      <c r="H23" s="212">
        <f t="shared" si="5"/>
        <v>0</v>
      </c>
      <c r="I23" s="212">
        <f t="shared" si="5"/>
        <v>21000</v>
      </c>
      <c r="J23" s="212">
        <f t="shared" si="5"/>
        <v>111000</v>
      </c>
      <c r="K23" s="212">
        <f t="shared" si="5"/>
        <v>171000</v>
      </c>
      <c r="L23" s="212">
        <f t="shared" si="5"/>
        <v>171000</v>
      </c>
      <c r="M23" s="212">
        <f t="shared" si="5"/>
        <v>171000</v>
      </c>
      <c r="N23" s="212">
        <f t="shared" si="5"/>
        <v>321000</v>
      </c>
      <c r="O23" s="212">
        <f t="shared" si="5"/>
        <v>321000</v>
      </c>
      <c r="P23" s="212">
        <f t="shared" si="5"/>
        <v>321000</v>
      </c>
      <c r="Q23" s="212">
        <f t="shared" si="5"/>
        <v>321000</v>
      </c>
      <c r="R23" s="212">
        <f t="shared" si="5"/>
        <v>321000</v>
      </c>
      <c r="S23" s="212">
        <f t="shared" ref="S23" si="6">SUM(S24:S26)</f>
        <v>321000</v>
      </c>
      <c r="T23" s="212">
        <f t="shared" ref="T23:V23" si="7">SUM(T24:T26)</f>
        <v>321000</v>
      </c>
      <c r="U23" s="212">
        <f t="shared" si="7"/>
        <v>321000</v>
      </c>
      <c r="V23" s="212">
        <f t="shared" si="7"/>
        <v>81000</v>
      </c>
      <c r="W23" s="212">
        <f t="shared" si="5"/>
        <v>3294000</v>
      </c>
      <c r="X23" s="214">
        <f>'QFR - B'!G17</f>
        <v>3000000</v>
      </c>
      <c r="Y23" s="235">
        <f>X23-W23</f>
        <v>-294000</v>
      </c>
      <c r="Z23" s="76"/>
      <c r="AA23" s="221"/>
      <c r="AB23" s="221"/>
      <c r="AC23" s="222"/>
    </row>
    <row r="24" spans="1:29" s="223" customFormat="1" ht="12.95" customHeight="1" outlineLevel="1" x14ac:dyDescent="0.2">
      <c r="A24" s="220"/>
      <c r="B24" s="216" t="s">
        <v>142</v>
      </c>
      <c r="C24" s="217"/>
      <c r="D24" s="218"/>
      <c r="E24" s="218"/>
      <c r="F24" s="218"/>
      <c r="G24" s="218"/>
      <c r="H24" s="218">
        <f>SUMIF('Contract level'!$A:$A,"="&amp;'DFP-Com'!$A24,'Contract level'!Z:Z)</f>
        <v>0</v>
      </c>
      <c r="I24" s="218">
        <f>SUMIF('Contract level'!$A:$A,"="&amp;'DFP-Com'!$A24,'Contract level'!AA:AA)</f>
        <v>0</v>
      </c>
      <c r="J24" s="218">
        <f>SUMIF('Contract level'!$A:$A,"="&amp;'DFP-Com'!$A24,'Contract level'!AB:AB)</f>
        <v>90000</v>
      </c>
      <c r="K24" s="218">
        <f>SUMIF('Contract level'!$A:$A,"="&amp;'DFP-Com'!$A24,'Contract level'!AC:AC)</f>
        <v>150000</v>
      </c>
      <c r="L24" s="218">
        <f>SUMIF('Contract level'!$A:$A,"="&amp;'DFP-Com'!$A24,'Contract level'!AD:AD)</f>
        <v>150000</v>
      </c>
      <c r="M24" s="218">
        <f>SUMIF('Contract level'!$A:$A,"="&amp;'DFP-Com'!$A24,'Contract level'!AE:AE)</f>
        <v>150000</v>
      </c>
      <c r="N24" s="218">
        <f>SUMIF('Contract level'!$A:$A,"="&amp;'DFP-Com'!$A24,'Contract level'!AF:AF)</f>
        <v>300000</v>
      </c>
      <c r="O24" s="218">
        <f>SUMIF('Contract level'!$A:$A,"="&amp;'DFP-Com'!$A24,'Contract level'!AG:AG)</f>
        <v>300000</v>
      </c>
      <c r="P24" s="218">
        <f>SUMIF('Contract level'!$A:$A,"="&amp;'DFP-Com'!$A24,'Contract level'!AH:AH)</f>
        <v>300000</v>
      </c>
      <c r="Q24" s="218">
        <f>SUMIF('Contract level'!$A:$A,"="&amp;'DFP-Com'!$A24,'Contract level'!AI:AI)</f>
        <v>300000</v>
      </c>
      <c r="R24" s="218">
        <f>SUMIF('Contract level'!$A:$A,"="&amp;'DFP-Com'!$A24,'Contract level'!AJ:AJ)</f>
        <v>300000</v>
      </c>
      <c r="S24" s="218">
        <f>SUMIF('Contract level'!$A:$A,"="&amp;'DFP-Com'!$A24,'Contract level'!AK:AK)</f>
        <v>300000</v>
      </c>
      <c r="T24" s="218">
        <f>SUMIF('Contract level'!$A:$A,"="&amp;'DFP-Com'!$A24,'Contract level'!AL:AL)</f>
        <v>300000</v>
      </c>
      <c r="U24" s="218">
        <f>SUMIF('Contract level'!$A:$A,"="&amp;'DFP-Com'!$A24,'Contract level'!AM:AM)</f>
        <v>300000</v>
      </c>
      <c r="V24" s="218">
        <f>SUMIF('Contract level'!$A:$A,"="&amp;'DFP-Com'!$A24,'Contract level'!AN:AN)</f>
        <v>60000</v>
      </c>
      <c r="W24" s="218">
        <f>SUM(H24:V24)+D24+C24</f>
        <v>3000000</v>
      </c>
      <c r="X24" s="219"/>
      <c r="Y24" s="218"/>
      <c r="Z24" s="76"/>
      <c r="AA24" s="221"/>
      <c r="AB24" s="221"/>
      <c r="AC24" s="222"/>
    </row>
    <row r="25" spans="1:29" s="223" customFormat="1" ht="12.95" customHeight="1" outlineLevel="1" x14ac:dyDescent="0.2">
      <c r="A25" s="220"/>
      <c r="B25" s="216" t="s">
        <v>159</v>
      </c>
      <c r="C25" s="217"/>
      <c r="D25" s="218"/>
      <c r="E25" s="218"/>
      <c r="F25" s="218"/>
      <c r="G25" s="218"/>
      <c r="H25" s="218">
        <f>SUMIF('Contract level'!$A:$A,"="&amp;'DFP-Com'!$A25,'Contract level'!Z:Z)</f>
        <v>0</v>
      </c>
      <c r="I25" s="218">
        <f>SUMIF('Contract level'!$A:$A,"="&amp;'DFP-Com'!$A25,'Contract level'!AA:AA)</f>
        <v>21000</v>
      </c>
      <c r="J25" s="218">
        <f>SUMIF('Contract level'!$A:$A,"="&amp;'DFP-Com'!$A25,'Contract level'!AB:AB)</f>
        <v>21000</v>
      </c>
      <c r="K25" s="218">
        <f>SUMIF('Contract level'!$A:$A,"="&amp;'DFP-Com'!$A25,'Contract level'!AC:AC)</f>
        <v>21000</v>
      </c>
      <c r="L25" s="218">
        <f>SUMIF('Contract level'!$A:$A,"="&amp;'DFP-Com'!$A25,'Contract level'!AD:AD)</f>
        <v>21000</v>
      </c>
      <c r="M25" s="218">
        <f>SUMIF('Contract level'!$A:$A,"="&amp;'DFP-Com'!$A25,'Contract level'!AE:AE)</f>
        <v>21000</v>
      </c>
      <c r="N25" s="218">
        <f>SUMIF('Contract level'!$A:$A,"="&amp;'DFP-Com'!$A25,'Contract level'!AF:AF)</f>
        <v>21000</v>
      </c>
      <c r="O25" s="218">
        <f>SUMIF('Contract level'!$A:$A,"="&amp;'DFP-Com'!$A25,'Contract level'!AG:AG)</f>
        <v>21000</v>
      </c>
      <c r="P25" s="218">
        <f>SUMIF('Contract level'!$A:$A,"="&amp;'DFP-Com'!$A25,'Contract level'!AH:AH)</f>
        <v>21000</v>
      </c>
      <c r="Q25" s="218">
        <f>SUMIF('Contract level'!$A:$A,"="&amp;'DFP-Com'!$A25,'Contract level'!AI:AI)</f>
        <v>21000</v>
      </c>
      <c r="R25" s="218">
        <f>SUMIF('Contract level'!$A:$A,"="&amp;'DFP-Com'!$A25,'Contract level'!AJ:AJ)</f>
        <v>21000</v>
      </c>
      <c r="S25" s="218">
        <f>SUMIF('Contract level'!$A:$A,"="&amp;'DFP-Com'!$A25,'Contract level'!AK:AK)</f>
        <v>21000</v>
      </c>
      <c r="T25" s="218">
        <f>SUMIF('Contract level'!$A:$A,"="&amp;'DFP-Com'!$A25,'Contract level'!AL:AL)</f>
        <v>21000</v>
      </c>
      <c r="U25" s="218">
        <f>SUMIF('Contract level'!$A:$A,"="&amp;'DFP-Com'!$A25,'Contract level'!AM:AM)</f>
        <v>21000</v>
      </c>
      <c r="V25" s="218">
        <f>SUMIF('Contract level'!$A:$A,"="&amp;'DFP-Com'!$A25,'Contract level'!AN:AN)</f>
        <v>21000</v>
      </c>
      <c r="W25" s="218">
        <f>SUM(H25:V25)+D25+C25</f>
        <v>294000</v>
      </c>
      <c r="X25" s="219"/>
      <c r="Y25" s="218"/>
      <c r="Z25" s="76"/>
      <c r="AA25" s="221"/>
      <c r="AB25" s="221"/>
      <c r="AC25" s="222"/>
    </row>
    <row r="26" spans="1:29" s="223" customFormat="1" outlineLevel="1" x14ac:dyDescent="0.2">
      <c r="A26" s="220"/>
      <c r="B26" s="216" t="s">
        <v>158</v>
      </c>
      <c r="C26" s="217"/>
      <c r="D26" s="218"/>
      <c r="E26" s="218"/>
      <c r="F26" s="218"/>
      <c r="G26" s="218"/>
      <c r="H26" s="218">
        <f>SUMIF('Contract level'!$A:$A,"="&amp;'DFP-Com'!$A26,'Contract level'!Z:Z)</f>
        <v>0</v>
      </c>
      <c r="I26" s="218">
        <f>SUMIF('Contract level'!$A:$A,"="&amp;'DFP-Com'!$A26,'Contract level'!AA:AA)</f>
        <v>0</v>
      </c>
      <c r="J26" s="218">
        <f>SUMIF('Contract level'!$A:$A,"="&amp;'DFP-Com'!$A26,'Contract level'!AB:AB)</f>
        <v>0</v>
      </c>
      <c r="K26" s="218">
        <f>SUMIF('Contract level'!$A:$A,"="&amp;'DFP-Com'!$A26,'Contract level'!AC:AC)</f>
        <v>0</v>
      </c>
      <c r="L26" s="218">
        <f>SUMIF('Contract level'!$A:$A,"="&amp;'DFP-Com'!$A26,'Contract level'!AD:AD)</f>
        <v>0</v>
      </c>
      <c r="M26" s="218">
        <f>SUMIF('Contract level'!$A:$A,"="&amp;'DFP-Com'!$A26,'Contract level'!AE:AE)</f>
        <v>0</v>
      </c>
      <c r="N26" s="218">
        <f>SUMIF('Contract level'!$A:$A,"="&amp;'DFP-Com'!$A26,'Contract level'!AF:AF)</f>
        <v>0</v>
      </c>
      <c r="O26" s="218">
        <f>SUMIF('Contract level'!$A:$A,"="&amp;'DFP-Com'!$A26,'Contract level'!AG:AG)</f>
        <v>0</v>
      </c>
      <c r="P26" s="218">
        <f>SUMIF('Contract level'!$A:$A,"="&amp;'DFP-Com'!$A26,'Contract level'!AH:AH)</f>
        <v>0</v>
      </c>
      <c r="Q26" s="218">
        <f>SUMIF('Contract level'!$A:$A,"="&amp;'DFP-Com'!$A26,'Contract level'!AI:AI)</f>
        <v>0</v>
      </c>
      <c r="R26" s="218">
        <f>SUMIF('Contract level'!$A:$A,"="&amp;'DFP-Com'!$A26,'Contract level'!AJ:AJ)</f>
        <v>0</v>
      </c>
      <c r="S26" s="218">
        <f>SUMIF('Contract level'!$A:$A,"="&amp;'DFP-Com'!$A26,'Contract level'!AK:AK)</f>
        <v>0</v>
      </c>
      <c r="T26" s="218">
        <f>SUMIF('Contract level'!$A:$A,"="&amp;'DFP-Com'!$A26,'Contract level'!AL:AL)</f>
        <v>0</v>
      </c>
      <c r="U26" s="218">
        <f>SUMIF('Contract level'!$A:$A,"="&amp;'DFP-Com'!$A26,'Contract level'!AM:AM)</f>
        <v>0</v>
      </c>
      <c r="V26" s="218">
        <f>SUMIF('Contract level'!$A:$A,"="&amp;'DFP-Com'!$A26,'Contract level'!AN:AN)</f>
        <v>0</v>
      </c>
      <c r="W26" s="218">
        <f>SUM(H26:V26)+D26+C26</f>
        <v>0</v>
      </c>
      <c r="X26" s="219"/>
      <c r="Y26" s="218"/>
      <c r="Z26" s="76"/>
      <c r="AA26" s="221"/>
      <c r="AB26" s="221"/>
      <c r="AC26" s="222"/>
    </row>
    <row r="27" spans="1:29" s="223" customFormat="1" x14ac:dyDescent="0.2">
      <c r="A27" s="220"/>
      <c r="B27" s="59" t="s">
        <v>73</v>
      </c>
      <c r="C27" s="213">
        <f>C23+C21+C17</f>
        <v>0</v>
      </c>
      <c r="D27" s="213">
        <f t="shared" ref="D27:W27" si="8">D23+D21+D17</f>
        <v>0</v>
      </c>
      <c r="E27" s="213">
        <f t="shared" si="8"/>
        <v>0</v>
      </c>
      <c r="F27" s="213">
        <f t="shared" si="8"/>
        <v>0</v>
      </c>
      <c r="G27" s="213">
        <f t="shared" si="8"/>
        <v>0</v>
      </c>
      <c r="H27" s="213">
        <f t="shared" si="8"/>
        <v>0</v>
      </c>
      <c r="I27" s="213">
        <f t="shared" si="8"/>
        <v>33000</v>
      </c>
      <c r="J27" s="213">
        <f t="shared" si="8"/>
        <v>363000</v>
      </c>
      <c r="K27" s="213">
        <f t="shared" si="8"/>
        <v>583000</v>
      </c>
      <c r="L27" s="213">
        <f t="shared" si="8"/>
        <v>783000</v>
      </c>
      <c r="M27" s="213">
        <f t="shared" si="8"/>
        <v>983000</v>
      </c>
      <c r="N27" s="213">
        <f t="shared" si="8"/>
        <v>1958000</v>
      </c>
      <c r="O27" s="213">
        <f t="shared" si="8"/>
        <v>1958000</v>
      </c>
      <c r="P27" s="213">
        <f t="shared" si="8"/>
        <v>1958000</v>
      </c>
      <c r="Q27" s="213">
        <f t="shared" si="8"/>
        <v>1958000</v>
      </c>
      <c r="R27" s="213">
        <f t="shared" si="8"/>
        <v>1908000</v>
      </c>
      <c r="S27" s="213">
        <f t="shared" ref="S27" si="9">S23+S21+S17</f>
        <v>1908000</v>
      </c>
      <c r="T27" s="213">
        <f t="shared" ref="T27:V27" si="10">T23+T21+T17</f>
        <v>1908000</v>
      </c>
      <c r="U27" s="213">
        <f t="shared" si="10"/>
        <v>1908000</v>
      </c>
      <c r="V27" s="213">
        <f t="shared" si="10"/>
        <v>453000</v>
      </c>
      <c r="W27" s="213">
        <f t="shared" si="8"/>
        <v>18662000</v>
      </c>
      <c r="X27" s="215">
        <f>X17+X21+X23</f>
        <v>19700000</v>
      </c>
      <c r="Y27" s="327">
        <f>Y17+Y21+Y23</f>
        <v>1038000</v>
      </c>
      <c r="Z27" s="76"/>
      <c r="AA27" s="221"/>
      <c r="AB27" s="221"/>
      <c r="AC27" s="222"/>
    </row>
    <row r="28" spans="1:29" s="41" customFormat="1" x14ac:dyDescent="0.2">
      <c r="A28" s="56"/>
      <c r="B28" s="61"/>
      <c r="C28" s="62"/>
      <c r="D28" s="63"/>
      <c r="E28" s="232"/>
      <c r="F28" s="232"/>
      <c r="G28" s="232"/>
      <c r="H28" s="232"/>
      <c r="I28" s="232"/>
      <c r="J28" s="232"/>
      <c r="K28" s="232"/>
      <c r="L28" s="232"/>
      <c r="M28" s="232"/>
      <c r="N28" s="232"/>
      <c r="O28" s="232"/>
      <c r="P28" s="232"/>
      <c r="Q28" s="232"/>
      <c r="R28" s="232"/>
      <c r="S28" s="232"/>
      <c r="T28" s="232"/>
      <c r="U28" s="232"/>
      <c r="V28" s="232"/>
      <c r="W28" s="232"/>
      <c r="X28" s="328"/>
      <c r="Y28" s="232"/>
      <c r="Z28" s="7"/>
      <c r="AA28" s="5"/>
      <c r="AB28" s="5"/>
      <c r="AC28" s="40"/>
    </row>
    <row r="29" spans="1:29" s="41" customFormat="1" x14ac:dyDescent="0.2">
      <c r="A29" s="56"/>
      <c r="B29" s="52" t="s">
        <v>105</v>
      </c>
      <c r="C29" s="64"/>
      <c r="D29" s="65"/>
      <c r="E29" s="233"/>
      <c r="F29" s="233"/>
      <c r="G29" s="233"/>
      <c r="H29" s="233"/>
      <c r="I29" s="233"/>
      <c r="J29" s="233"/>
      <c r="K29" s="233"/>
      <c r="L29" s="233"/>
      <c r="M29" s="233"/>
      <c r="N29" s="233"/>
      <c r="O29" s="233"/>
      <c r="P29" s="233"/>
      <c r="Q29" s="233"/>
      <c r="R29" s="233"/>
      <c r="S29" s="233"/>
      <c r="T29" s="233"/>
      <c r="U29" s="233"/>
      <c r="V29" s="233"/>
      <c r="W29" s="233"/>
      <c r="X29" s="329"/>
      <c r="Y29" s="233"/>
      <c r="Z29" s="7"/>
      <c r="AA29" s="5"/>
      <c r="AB29" s="5"/>
      <c r="AC29" s="40"/>
    </row>
    <row r="30" spans="1:29" s="41" customFormat="1" outlineLevel="1" x14ac:dyDescent="0.2">
      <c r="A30" s="56"/>
      <c r="B30" s="57" t="s">
        <v>160</v>
      </c>
      <c r="C30" s="46">
        <f t="shared" ref="C30:W30" si="11">SUM(C31:C31)</f>
        <v>0</v>
      </c>
      <c r="D30" s="46">
        <f t="shared" si="11"/>
        <v>0</v>
      </c>
      <c r="E30" s="235">
        <f t="shared" si="11"/>
        <v>0</v>
      </c>
      <c r="F30" s="235">
        <f t="shared" si="11"/>
        <v>0</v>
      </c>
      <c r="G30" s="235">
        <f t="shared" si="11"/>
        <v>0</v>
      </c>
      <c r="H30" s="235">
        <f t="shared" si="11"/>
        <v>0</v>
      </c>
      <c r="I30" s="235">
        <f t="shared" si="11"/>
        <v>125000</v>
      </c>
      <c r="J30" s="235">
        <f t="shared" si="11"/>
        <v>125000</v>
      </c>
      <c r="K30" s="235">
        <f t="shared" si="11"/>
        <v>125000</v>
      </c>
      <c r="L30" s="235">
        <f t="shared" si="11"/>
        <v>125000</v>
      </c>
      <c r="M30" s="235">
        <f t="shared" si="11"/>
        <v>75000</v>
      </c>
      <c r="N30" s="235">
        <f t="shared" si="11"/>
        <v>75000</v>
      </c>
      <c r="O30" s="235">
        <f t="shared" si="11"/>
        <v>75000</v>
      </c>
      <c r="P30" s="235">
        <f t="shared" si="11"/>
        <v>75000</v>
      </c>
      <c r="Q30" s="235">
        <f t="shared" si="11"/>
        <v>0</v>
      </c>
      <c r="R30" s="235">
        <f t="shared" si="11"/>
        <v>0</v>
      </c>
      <c r="S30" s="235">
        <f t="shared" si="11"/>
        <v>0</v>
      </c>
      <c r="T30" s="235">
        <f t="shared" si="11"/>
        <v>0</v>
      </c>
      <c r="U30" s="235">
        <f t="shared" si="11"/>
        <v>0</v>
      </c>
      <c r="V30" s="235">
        <f t="shared" si="11"/>
        <v>0</v>
      </c>
      <c r="W30" s="235">
        <f t="shared" si="11"/>
        <v>800000</v>
      </c>
      <c r="X30" s="214">
        <f>'QFR - B'!G20</f>
        <v>0</v>
      </c>
      <c r="Y30" s="235">
        <f>X30-W30</f>
        <v>-800000</v>
      </c>
      <c r="Z30" s="260"/>
      <c r="AA30" s="5"/>
      <c r="AB30" s="5"/>
      <c r="AC30" s="40"/>
    </row>
    <row r="31" spans="1:29" s="223" customFormat="1" outlineLevel="1" x14ac:dyDescent="0.2">
      <c r="A31" s="220"/>
      <c r="B31" s="216" t="s">
        <v>153</v>
      </c>
      <c r="C31" s="224"/>
      <c r="D31" s="225"/>
      <c r="E31" s="218"/>
      <c r="F31" s="218"/>
      <c r="G31" s="218"/>
      <c r="H31" s="218">
        <f>SUMIF('Contract level'!$A:$A,"="&amp;'DFP-Com'!$A31,'Contract level'!Z:Z)</f>
        <v>0</v>
      </c>
      <c r="I31" s="218">
        <f>SUMIF('Contract level'!$A:$A,"="&amp;'DFP-Com'!$A31,'Contract level'!AA:AA)</f>
        <v>125000</v>
      </c>
      <c r="J31" s="218">
        <f>SUMIF('Contract level'!$A:$A,"="&amp;'DFP-Com'!$A31,'Contract level'!AB:AB)</f>
        <v>125000</v>
      </c>
      <c r="K31" s="218">
        <f>SUMIF('Contract level'!$A:$A,"="&amp;'DFP-Com'!$A31,'Contract level'!AC:AC)</f>
        <v>125000</v>
      </c>
      <c r="L31" s="218">
        <f>SUMIF('Contract level'!$A:$A,"="&amp;'DFP-Com'!$A31,'Contract level'!AD:AD)</f>
        <v>125000</v>
      </c>
      <c r="M31" s="218">
        <f>SUMIF('Contract level'!$A:$A,"="&amp;'DFP-Com'!$A31,'Contract level'!AE:AE)</f>
        <v>75000</v>
      </c>
      <c r="N31" s="218">
        <f>SUMIF('Contract level'!$A:$A,"="&amp;'DFP-Com'!$A31,'Contract level'!AF:AF)</f>
        <v>75000</v>
      </c>
      <c r="O31" s="218">
        <f>SUMIF('Contract level'!$A:$A,"="&amp;'DFP-Com'!$A31,'Contract level'!AG:AG)</f>
        <v>75000</v>
      </c>
      <c r="P31" s="218">
        <f>SUMIF('Contract level'!$A:$A,"="&amp;'DFP-Com'!$A31,'Contract level'!AH:AH)</f>
        <v>75000</v>
      </c>
      <c r="Q31" s="218">
        <f>SUMIF('Contract level'!$A:$A,"="&amp;'DFP-Com'!$A31,'Contract level'!AI:AI)</f>
        <v>0</v>
      </c>
      <c r="R31" s="218">
        <f>SUMIF('Contract level'!$A:$A,"="&amp;'DFP-Com'!$A31,'Contract level'!AJ:AJ)</f>
        <v>0</v>
      </c>
      <c r="S31" s="218">
        <f>SUMIF('Contract level'!$A:$A,"="&amp;'DFP-Com'!$A31,'Contract level'!AK:AK)</f>
        <v>0</v>
      </c>
      <c r="T31" s="218">
        <f>SUMIF('Contract level'!$A:$A,"="&amp;'DFP-Com'!$A31,'Contract level'!AL:AL)</f>
        <v>0</v>
      </c>
      <c r="U31" s="218">
        <f>SUMIF('Contract level'!$A:$A,"="&amp;'DFP-Com'!$A31,'Contract level'!AM:AM)</f>
        <v>0</v>
      </c>
      <c r="V31" s="218">
        <f>SUMIF('Contract level'!$A:$A,"="&amp;'DFP-Com'!$A31,'Contract level'!AN:AN)</f>
        <v>0</v>
      </c>
      <c r="W31" s="218">
        <f>SUM(H31:V31)+D31+C31</f>
        <v>800000</v>
      </c>
      <c r="X31" s="219"/>
      <c r="Y31" s="218"/>
      <c r="Z31" s="260"/>
      <c r="AA31" s="221"/>
      <c r="AB31" s="221"/>
      <c r="AC31" s="222"/>
    </row>
    <row r="32" spans="1:29" s="41" customFormat="1" outlineLevel="1" x14ac:dyDescent="0.2">
      <c r="A32" s="56"/>
      <c r="B32" s="57" t="s">
        <v>109</v>
      </c>
      <c r="C32" s="58">
        <f>SUM(C33:C35)</f>
        <v>0</v>
      </c>
      <c r="D32" s="58">
        <f t="shared" ref="D32:R32" si="12">SUM(D33:D35)</f>
        <v>0</v>
      </c>
      <c r="E32" s="212">
        <f t="shared" si="12"/>
        <v>0</v>
      </c>
      <c r="F32" s="212">
        <f t="shared" si="12"/>
        <v>0</v>
      </c>
      <c r="G32" s="212">
        <f t="shared" si="12"/>
        <v>0</v>
      </c>
      <c r="H32" s="212">
        <f t="shared" si="12"/>
        <v>0</v>
      </c>
      <c r="I32" s="212">
        <f t="shared" si="12"/>
        <v>74500</v>
      </c>
      <c r="J32" s="212">
        <f t="shared" si="12"/>
        <v>312000</v>
      </c>
      <c r="K32" s="212">
        <f t="shared" si="12"/>
        <v>362000</v>
      </c>
      <c r="L32" s="212">
        <f t="shared" si="12"/>
        <v>424500</v>
      </c>
      <c r="M32" s="212">
        <f t="shared" si="12"/>
        <v>424500</v>
      </c>
      <c r="N32" s="212">
        <f t="shared" si="12"/>
        <v>212000</v>
      </c>
      <c r="O32" s="212">
        <f t="shared" si="12"/>
        <v>162000</v>
      </c>
      <c r="P32" s="212">
        <f t="shared" si="12"/>
        <v>99500</v>
      </c>
      <c r="Q32" s="212">
        <f t="shared" si="12"/>
        <v>62000</v>
      </c>
      <c r="R32" s="212">
        <f t="shared" si="12"/>
        <v>62000</v>
      </c>
      <c r="S32" s="212">
        <f t="shared" ref="S32" si="13">SUM(S33:S35)</f>
        <v>25000</v>
      </c>
      <c r="T32" s="212">
        <f t="shared" ref="T32:V32" si="14">SUM(T33:T35)</f>
        <v>0</v>
      </c>
      <c r="U32" s="212">
        <f t="shared" si="14"/>
        <v>0</v>
      </c>
      <c r="V32" s="212">
        <f t="shared" si="14"/>
        <v>0</v>
      </c>
      <c r="W32" s="212">
        <f>SUM(W33:W35)</f>
        <v>2220000</v>
      </c>
      <c r="X32" s="214">
        <f>'QFR - B'!G21</f>
        <v>4000000</v>
      </c>
      <c r="Y32" s="235">
        <f>X32-W32</f>
        <v>1780000</v>
      </c>
      <c r="Z32" s="260"/>
      <c r="AA32" s="5"/>
      <c r="AB32" s="5"/>
      <c r="AC32" s="40"/>
    </row>
    <row r="33" spans="1:29" s="223" customFormat="1" outlineLevel="1" x14ac:dyDescent="0.2">
      <c r="A33" s="220"/>
      <c r="B33" s="216" t="s">
        <v>154</v>
      </c>
      <c r="C33" s="224"/>
      <c r="D33" s="225"/>
      <c r="E33" s="218"/>
      <c r="F33" s="218"/>
      <c r="G33" s="218">
        <f>H33</f>
        <v>0</v>
      </c>
      <c r="H33" s="218">
        <f>SUMIF('Contract level'!$A:$A,"="&amp;'DFP-Com'!$A33,'Contract level'!Z:Z)</f>
        <v>0</v>
      </c>
      <c r="I33" s="218">
        <f>SUMIF('Contract level'!$A:$A,"="&amp;'DFP-Com'!$A33,'Contract level'!AA:AA)</f>
        <v>74500</v>
      </c>
      <c r="J33" s="218">
        <f>SUMIF('Contract level'!$A:$A,"="&amp;'DFP-Com'!$A33,'Contract level'!AB:AB)</f>
        <v>99500</v>
      </c>
      <c r="K33" s="218">
        <f>SUMIF('Contract level'!$A:$A,"="&amp;'DFP-Com'!$A33,'Contract level'!AC:AC)</f>
        <v>99500</v>
      </c>
      <c r="L33" s="218">
        <f>SUMIF('Contract level'!$A:$A,"="&amp;'DFP-Com'!$A33,'Contract level'!AD:AD)</f>
        <v>99500</v>
      </c>
      <c r="M33" s="218">
        <f>SUMIF('Contract level'!$A:$A,"="&amp;'DFP-Com'!$A33,'Contract level'!AE:AE)</f>
        <v>99500</v>
      </c>
      <c r="N33" s="218">
        <f>SUMIF('Contract level'!$A:$A,"="&amp;'DFP-Com'!$A33,'Contract level'!AF:AF)</f>
        <v>99500</v>
      </c>
      <c r="O33" s="218">
        <f>SUMIF('Contract level'!$A:$A,"="&amp;'DFP-Com'!$A33,'Contract level'!AG:AG)</f>
        <v>99500</v>
      </c>
      <c r="P33" s="218">
        <f>SUMIF('Contract level'!$A:$A,"="&amp;'DFP-Com'!$A33,'Contract level'!AH:AH)</f>
        <v>99500</v>
      </c>
      <c r="Q33" s="218">
        <f>SUMIF('Contract level'!$A:$A,"="&amp;'DFP-Com'!$A33,'Contract level'!AI:AI)</f>
        <v>62000</v>
      </c>
      <c r="R33" s="218">
        <f>SUMIF('Contract level'!$A:$A,"="&amp;'DFP-Com'!$A33,'Contract level'!AJ:AJ)</f>
        <v>62000</v>
      </c>
      <c r="S33" s="218">
        <f>SUMIF('Contract level'!$A:$A,"="&amp;'DFP-Com'!$A33,'Contract level'!AK:AK)</f>
        <v>25000</v>
      </c>
      <c r="T33" s="218">
        <f>SUMIF('Contract level'!$A:$A,"="&amp;'DFP-Com'!$A33,'Contract level'!AL:AL)</f>
        <v>0</v>
      </c>
      <c r="U33" s="218">
        <f>SUMIF('Contract level'!$A:$A,"="&amp;'DFP-Com'!$A33,'Contract level'!AM:AM)</f>
        <v>0</v>
      </c>
      <c r="V33" s="218">
        <f>SUMIF('Contract level'!$A:$A,"="&amp;'DFP-Com'!$A33,'Contract level'!AN:AN)</f>
        <v>0</v>
      </c>
      <c r="W33" s="218">
        <f>SUM(H33:V33)+D33+C33</f>
        <v>920000</v>
      </c>
      <c r="X33" s="219"/>
      <c r="Y33" s="218"/>
      <c r="Z33" s="260"/>
      <c r="AA33" s="221"/>
      <c r="AB33" s="221"/>
      <c r="AC33" s="222"/>
    </row>
    <row r="34" spans="1:29" s="223" customFormat="1" outlineLevel="1" x14ac:dyDescent="0.2">
      <c r="A34" s="220"/>
      <c r="B34" s="216" t="s">
        <v>155</v>
      </c>
      <c r="C34" s="224"/>
      <c r="D34" s="225"/>
      <c r="E34" s="218"/>
      <c r="F34" s="218"/>
      <c r="G34" s="218"/>
      <c r="H34" s="218">
        <f>SUMIF('Contract level'!$A:$A,"="&amp;'DFP-Com'!$A34,'Contract level'!Z:Z)</f>
        <v>0</v>
      </c>
      <c r="I34" s="218">
        <f>SUMIF('Contract level'!$A:$A,"="&amp;'DFP-Com'!$A34,'Contract level'!AA:AA)</f>
        <v>0</v>
      </c>
      <c r="J34" s="218">
        <f>SUMIF('Contract level'!$A:$A,"="&amp;'DFP-Com'!$A34,'Contract level'!AB:AB)</f>
        <v>212500</v>
      </c>
      <c r="K34" s="218">
        <f>SUMIF('Contract level'!$A:$A,"="&amp;'DFP-Com'!$A34,'Contract level'!AC:AC)</f>
        <v>262500</v>
      </c>
      <c r="L34" s="218">
        <f>SUMIF('Contract level'!$A:$A,"="&amp;'DFP-Com'!$A34,'Contract level'!AD:AD)</f>
        <v>325000</v>
      </c>
      <c r="M34" s="218">
        <f>SUMIF('Contract level'!$A:$A,"="&amp;'DFP-Com'!$A34,'Contract level'!AE:AE)</f>
        <v>325000</v>
      </c>
      <c r="N34" s="218">
        <f>SUMIF('Contract level'!$A:$A,"="&amp;'DFP-Com'!$A34,'Contract level'!AF:AF)</f>
        <v>112500</v>
      </c>
      <c r="O34" s="218">
        <f>SUMIF('Contract level'!$A:$A,"="&amp;'DFP-Com'!$A34,'Contract level'!AG:AG)</f>
        <v>62500</v>
      </c>
      <c r="P34" s="218">
        <f>SUMIF('Contract level'!$A:$A,"="&amp;'DFP-Com'!$A34,'Contract level'!AH:AH)</f>
        <v>0</v>
      </c>
      <c r="Q34" s="218">
        <f>SUMIF('Contract level'!$A:$A,"="&amp;'DFP-Com'!$A34,'Contract level'!AI:AI)</f>
        <v>0</v>
      </c>
      <c r="R34" s="218">
        <f>SUMIF('Contract level'!$A:$A,"="&amp;'DFP-Com'!$A34,'Contract level'!AJ:AJ)</f>
        <v>0</v>
      </c>
      <c r="S34" s="218">
        <f>SUMIF('Contract level'!$A:$A,"="&amp;'DFP-Com'!$A34,'Contract level'!AK:AK)</f>
        <v>0</v>
      </c>
      <c r="T34" s="218">
        <f>SUMIF('Contract level'!$A:$A,"="&amp;'DFP-Com'!$A34,'Contract level'!AL:AL)</f>
        <v>0</v>
      </c>
      <c r="U34" s="218">
        <f>SUMIF('Contract level'!$A:$A,"="&amp;'DFP-Com'!$A34,'Contract level'!AM:AM)</f>
        <v>0</v>
      </c>
      <c r="V34" s="218">
        <f>SUMIF('Contract level'!$A:$A,"="&amp;'DFP-Com'!$A34,'Contract level'!AN:AN)</f>
        <v>0</v>
      </c>
      <c r="W34" s="218">
        <f>SUM(H34:V34)+D34+C34</f>
        <v>1300000</v>
      </c>
      <c r="X34" s="219"/>
      <c r="Y34" s="218"/>
      <c r="Z34" s="260"/>
      <c r="AA34" s="221"/>
      <c r="AB34" s="221"/>
      <c r="AC34" s="222"/>
    </row>
    <row r="35" spans="1:29" s="223" customFormat="1" outlineLevel="1" x14ac:dyDescent="0.2">
      <c r="A35" s="220"/>
      <c r="B35" s="216" t="s">
        <v>157</v>
      </c>
      <c r="C35" s="224"/>
      <c r="D35" s="225"/>
      <c r="E35" s="218"/>
      <c r="F35" s="218"/>
      <c r="G35" s="218"/>
      <c r="H35" s="218">
        <f>SUMIF('Contract level'!$A:$A,"="&amp;'DFP-Com'!$A35,'Contract level'!Z:Z)</f>
        <v>0</v>
      </c>
      <c r="I35" s="218">
        <f>SUMIF('Contract level'!$A:$A,"="&amp;'DFP-Com'!$A35,'Contract level'!AA:AA)</f>
        <v>0</v>
      </c>
      <c r="J35" s="218">
        <f>SUMIF('Contract level'!$A:$A,"="&amp;'DFP-Com'!$A35,'Contract level'!AB:AB)</f>
        <v>0</v>
      </c>
      <c r="K35" s="218">
        <f>SUMIF('Contract level'!$A:$A,"="&amp;'DFP-Com'!$A35,'Contract level'!AC:AC)</f>
        <v>0</v>
      </c>
      <c r="L35" s="218">
        <f>SUMIF('Contract level'!$A:$A,"="&amp;'DFP-Com'!$A35,'Contract level'!AD:AD)</f>
        <v>0</v>
      </c>
      <c r="M35" s="218">
        <f>SUMIF('Contract level'!$A:$A,"="&amp;'DFP-Com'!$A35,'Contract level'!AE:AE)</f>
        <v>0</v>
      </c>
      <c r="N35" s="218">
        <f>SUMIF('Contract level'!$A:$A,"="&amp;'DFP-Com'!$A35,'Contract level'!AF:AF)</f>
        <v>0</v>
      </c>
      <c r="O35" s="218">
        <f>SUMIF('Contract level'!$A:$A,"="&amp;'DFP-Com'!$A35,'Contract level'!AG:AG)</f>
        <v>0</v>
      </c>
      <c r="P35" s="218">
        <f>SUMIF('Contract level'!$A:$A,"="&amp;'DFP-Com'!$A35,'Contract level'!AH:AH)</f>
        <v>0</v>
      </c>
      <c r="Q35" s="218">
        <f>SUMIF('Contract level'!$A:$A,"="&amp;'DFP-Com'!$A35,'Contract level'!AI:AI)</f>
        <v>0</v>
      </c>
      <c r="R35" s="218">
        <f>SUMIF('Contract level'!$A:$A,"="&amp;'DFP-Com'!$A35,'Contract level'!AJ:AJ)</f>
        <v>0</v>
      </c>
      <c r="S35" s="218">
        <f>SUMIF('Contract level'!$A:$A,"="&amp;'DFP-Com'!$A35,'Contract level'!AK:AK)</f>
        <v>0</v>
      </c>
      <c r="T35" s="218">
        <f>SUMIF('Contract level'!$A:$A,"="&amp;'DFP-Com'!$A35,'Contract level'!AL:AL)</f>
        <v>0</v>
      </c>
      <c r="U35" s="218">
        <f>SUMIF('Contract level'!$A:$A,"="&amp;'DFP-Com'!$A35,'Contract level'!AM:AM)</f>
        <v>0</v>
      </c>
      <c r="V35" s="218">
        <f>SUMIF('Contract level'!$A:$A,"="&amp;'DFP-Com'!$A35,'Contract level'!AN:AN)</f>
        <v>0</v>
      </c>
      <c r="W35" s="218">
        <f>SUM(H35:V35)+D35+C35</f>
        <v>0</v>
      </c>
      <c r="X35" s="219"/>
      <c r="Y35" s="218"/>
      <c r="Z35" s="76"/>
      <c r="AA35" s="221"/>
      <c r="AB35" s="221"/>
      <c r="AC35" s="222"/>
    </row>
    <row r="36" spans="1:29" s="41" customFormat="1" x14ac:dyDescent="0.2">
      <c r="A36" s="56"/>
      <c r="B36" s="66" t="s">
        <v>74</v>
      </c>
      <c r="C36" s="60">
        <f>C32+C30</f>
        <v>0</v>
      </c>
      <c r="D36" s="60">
        <f t="shared" ref="D36:Y36" si="15">D32+D30</f>
        <v>0</v>
      </c>
      <c r="E36" s="213">
        <f t="shared" si="15"/>
        <v>0</v>
      </c>
      <c r="F36" s="213">
        <f t="shared" si="15"/>
        <v>0</v>
      </c>
      <c r="G36" s="213">
        <f t="shared" si="15"/>
        <v>0</v>
      </c>
      <c r="H36" s="213">
        <f t="shared" si="15"/>
        <v>0</v>
      </c>
      <c r="I36" s="213">
        <f t="shared" si="15"/>
        <v>199500</v>
      </c>
      <c r="J36" s="213">
        <f t="shared" si="15"/>
        <v>437000</v>
      </c>
      <c r="K36" s="213">
        <f t="shared" si="15"/>
        <v>487000</v>
      </c>
      <c r="L36" s="213">
        <f t="shared" si="15"/>
        <v>549500</v>
      </c>
      <c r="M36" s="213">
        <f t="shared" si="15"/>
        <v>499500</v>
      </c>
      <c r="N36" s="213">
        <f t="shared" si="15"/>
        <v>287000</v>
      </c>
      <c r="O36" s="213">
        <f t="shared" si="15"/>
        <v>237000</v>
      </c>
      <c r="P36" s="213">
        <f t="shared" si="15"/>
        <v>174500</v>
      </c>
      <c r="Q36" s="213">
        <f t="shared" si="15"/>
        <v>62000</v>
      </c>
      <c r="R36" s="213">
        <f t="shared" si="15"/>
        <v>62000</v>
      </c>
      <c r="S36" s="213">
        <f t="shared" ref="S36" si="16">S32+S30</f>
        <v>25000</v>
      </c>
      <c r="T36" s="213">
        <f t="shared" si="15"/>
        <v>0</v>
      </c>
      <c r="U36" s="213">
        <f t="shared" si="15"/>
        <v>0</v>
      </c>
      <c r="V36" s="213">
        <f t="shared" si="15"/>
        <v>0</v>
      </c>
      <c r="W36" s="213">
        <f t="shared" si="15"/>
        <v>3020000</v>
      </c>
      <c r="X36" s="213">
        <f t="shared" si="15"/>
        <v>4000000</v>
      </c>
      <c r="Y36" s="213">
        <f t="shared" si="15"/>
        <v>980000</v>
      </c>
      <c r="Z36" s="260"/>
      <c r="AA36" s="5"/>
      <c r="AB36" s="5"/>
      <c r="AC36" s="40"/>
    </row>
    <row r="37" spans="1:29" s="41" customFormat="1" x14ac:dyDescent="0.2">
      <c r="A37" s="56"/>
      <c r="B37" s="61"/>
      <c r="C37" s="62"/>
      <c r="D37" s="63"/>
      <c r="E37" s="232"/>
      <c r="F37" s="232"/>
      <c r="G37" s="232"/>
      <c r="H37" s="232"/>
      <c r="I37" s="232"/>
      <c r="J37" s="232"/>
      <c r="K37" s="232"/>
      <c r="L37" s="232"/>
      <c r="M37" s="232"/>
      <c r="N37" s="232"/>
      <c r="O37" s="232"/>
      <c r="P37" s="232"/>
      <c r="Q37" s="232"/>
      <c r="R37" s="232"/>
      <c r="S37" s="232"/>
      <c r="T37" s="232"/>
      <c r="U37" s="232"/>
      <c r="V37" s="232"/>
      <c r="W37" s="232"/>
      <c r="X37" s="328"/>
      <c r="Y37" s="232"/>
      <c r="Z37" s="7"/>
      <c r="AA37" s="5"/>
      <c r="AB37" s="5"/>
      <c r="AC37" s="40"/>
    </row>
    <row r="38" spans="1:29" s="71" customFormat="1" x14ac:dyDescent="0.2">
      <c r="A38" s="67"/>
      <c r="B38" s="52" t="s">
        <v>115</v>
      </c>
      <c r="C38" s="68"/>
      <c r="D38" s="69"/>
      <c r="E38" s="323"/>
      <c r="F38" s="323"/>
      <c r="G38" s="323"/>
      <c r="H38" s="323"/>
      <c r="I38" s="323"/>
      <c r="J38" s="323"/>
      <c r="K38" s="323"/>
      <c r="L38" s="323"/>
      <c r="M38" s="323"/>
      <c r="N38" s="323"/>
      <c r="O38" s="323"/>
      <c r="P38" s="323"/>
      <c r="Q38" s="323"/>
      <c r="R38" s="323"/>
      <c r="S38" s="323"/>
      <c r="T38" s="323"/>
      <c r="U38" s="323"/>
      <c r="V38" s="323"/>
      <c r="W38" s="233"/>
      <c r="X38" s="329"/>
      <c r="Y38" s="233"/>
      <c r="Z38" s="7"/>
      <c r="AA38" s="10"/>
      <c r="AB38" s="10"/>
      <c r="AC38" s="70"/>
    </row>
    <row r="39" spans="1:29" s="71" customFormat="1" outlineLevel="1" x14ac:dyDescent="0.2">
      <c r="A39" s="67"/>
      <c r="B39" s="72" t="s">
        <v>116</v>
      </c>
      <c r="C39" s="58">
        <f>SUM(C40:C42)</f>
        <v>0</v>
      </c>
      <c r="D39" s="58">
        <f t="shared" ref="D39:R39" si="17">SUM(D40:D42)</f>
        <v>0</v>
      </c>
      <c r="E39" s="212">
        <f t="shared" si="17"/>
        <v>0</v>
      </c>
      <c r="F39" s="212">
        <f t="shared" si="17"/>
        <v>0</v>
      </c>
      <c r="G39" s="212">
        <f t="shared" si="17"/>
        <v>0</v>
      </c>
      <c r="H39" s="212">
        <f t="shared" si="17"/>
        <v>0</v>
      </c>
      <c r="I39" s="212">
        <f t="shared" si="17"/>
        <v>0</v>
      </c>
      <c r="J39" s="212">
        <f t="shared" si="17"/>
        <v>100000</v>
      </c>
      <c r="K39" s="212">
        <f t="shared" si="17"/>
        <v>125000</v>
      </c>
      <c r="L39" s="212">
        <f t="shared" si="17"/>
        <v>125000</v>
      </c>
      <c r="M39" s="212">
        <f t="shared" si="17"/>
        <v>125000</v>
      </c>
      <c r="N39" s="212">
        <f t="shared" si="17"/>
        <v>50000</v>
      </c>
      <c r="O39" s="212">
        <f t="shared" si="17"/>
        <v>25000</v>
      </c>
      <c r="P39" s="212">
        <f t="shared" si="17"/>
        <v>25000</v>
      </c>
      <c r="Q39" s="212">
        <f t="shared" si="17"/>
        <v>25000</v>
      </c>
      <c r="R39" s="212">
        <f t="shared" si="17"/>
        <v>0</v>
      </c>
      <c r="S39" s="212">
        <f t="shared" ref="S39" si="18">SUM(S40:S42)</f>
        <v>225000</v>
      </c>
      <c r="T39" s="212">
        <f t="shared" ref="T39:V39" si="19">SUM(T40:T42)</f>
        <v>225000</v>
      </c>
      <c r="U39" s="212">
        <f t="shared" si="19"/>
        <v>225000</v>
      </c>
      <c r="V39" s="212">
        <f t="shared" si="19"/>
        <v>225000</v>
      </c>
      <c r="W39" s="235">
        <f>SUM(W40:W42)</f>
        <v>1500000</v>
      </c>
      <c r="X39" s="214">
        <f>'QFR - B'!G24</f>
        <v>1700000</v>
      </c>
      <c r="Y39" s="235">
        <f>X39-W39</f>
        <v>200000</v>
      </c>
      <c r="Z39" s="7"/>
      <c r="AA39" s="10"/>
      <c r="AB39" s="10"/>
      <c r="AC39" s="70"/>
    </row>
    <row r="40" spans="1:29" s="230" customFormat="1" outlineLevel="1" x14ac:dyDescent="0.2">
      <c r="A40" s="226"/>
      <c r="B40" s="227" t="s">
        <v>143</v>
      </c>
      <c r="C40" s="224"/>
      <c r="D40" s="224"/>
      <c r="E40" s="217"/>
      <c r="F40" s="217"/>
      <c r="G40" s="217"/>
      <c r="H40" s="218">
        <f>SUMIF('Contract level'!$A:$A,"="&amp;'DFP-Com'!$A40,'Contract level'!Z:Z)</f>
        <v>0</v>
      </c>
      <c r="I40" s="218">
        <f>SUMIF('Contract level'!$A:$A,"="&amp;'DFP-Com'!$A40,'Contract level'!AA:AA)</f>
        <v>0</v>
      </c>
      <c r="J40" s="218">
        <f>SUMIF('Contract level'!$A:$A,"="&amp;'DFP-Com'!$A40,'Contract level'!AB:AB)</f>
        <v>100000</v>
      </c>
      <c r="K40" s="218">
        <f>SUMIF('Contract level'!$A:$A,"="&amp;'DFP-Com'!$A40,'Contract level'!AC:AC)</f>
        <v>100000</v>
      </c>
      <c r="L40" s="218">
        <f>SUMIF('Contract level'!$A:$A,"="&amp;'DFP-Com'!$A40,'Contract level'!AD:AD)</f>
        <v>100000</v>
      </c>
      <c r="M40" s="218">
        <f>SUMIF('Contract level'!$A:$A,"="&amp;'DFP-Com'!$A40,'Contract level'!AE:AE)</f>
        <v>100000</v>
      </c>
      <c r="N40" s="218">
        <f>SUMIF('Contract level'!$A:$A,"="&amp;'DFP-Com'!$A40,'Contract level'!AF:AF)</f>
        <v>0</v>
      </c>
      <c r="O40" s="218">
        <f>SUMIF('Contract level'!$A:$A,"="&amp;'DFP-Com'!$A40,'Contract level'!AG:AG)</f>
        <v>0</v>
      </c>
      <c r="P40" s="218">
        <f>SUMIF('Contract level'!$A:$A,"="&amp;'DFP-Com'!$A40,'Contract level'!AH:AH)</f>
        <v>0</v>
      </c>
      <c r="Q40" s="218">
        <f>SUMIF('Contract level'!$A:$A,"="&amp;'DFP-Com'!$A40,'Contract level'!AI:AI)</f>
        <v>0</v>
      </c>
      <c r="R40" s="218">
        <f>SUMIF('Contract level'!$A:$A,"="&amp;'DFP-Com'!$A40,'Contract level'!AJ:AJ)</f>
        <v>0</v>
      </c>
      <c r="S40" s="218">
        <f>SUMIF('Contract level'!$A:$A,"="&amp;'DFP-Com'!$A40,'Contract level'!AK:AK)</f>
        <v>125000</v>
      </c>
      <c r="T40" s="218">
        <f>SUMIF('Contract level'!$A:$A,"="&amp;'DFP-Com'!$A40,'Contract level'!AL:AL)</f>
        <v>125000</v>
      </c>
      <c r="U40" s="218">
        <f>SUMIF('Contract level'!$A:$A,"="&amp;'DFP-Com'!$A40,'Contract level'!AM:AM)</f>
        <v>125000</v>
      </c>
      <c r="V40" s="218">
        <f>SUMIF('Contract level'!$A:$A,"="&amp;'DFP-Com'!$A40,'Contract level'!AN:AN)</f>
        <v>125000</v>
      </c>
      <c r="W40" s="218">
        <f>SUM(H40:V40)+D40+C40</f>
        <v>900000</v>
      </c>
      <c r="X40" s="330"/>
      <c r="Y40" s="217"/>
      <c r="Z40" s="76"/>
      <c r="AA40" s="228"/>
      <c r="AB40" s="228"/>
      <c r="AC40" s="229"/>
    </row>
    <row r="41" spans="1:29" s="230" customFormat="1" outlineLevel="1" x14ac:dyDescent="0.2">
      <c r="A41" s="226"/>
      <c r="B41" s="227" t="s">
        <v>144</v>
      </c>
      <c r="C41" s="224"/>
      <c r="D41" s="224"/>
      <c r="E41" s="217"/>
      <c r="F41" s="217"/>
      <c r="G41" s="217"/>
      <c r="H41" s="218">
        <f>SUMIF('Contract level'!$A:$A,"="&amp;'DFP-Com'!$A41,'Contract level'!Z:Z)</f>
        <v>0</v>
      </c>
      <c r="I41" s="218">
        <f>SUMIF('Contract level'!$A:$A,"="&amp;'DFP-Com'!$A41,'Contract level'!AA:AA)</f>
        <v>0</v>
      </c>
      <c r="J41" s="218">
        <f>SUMIF('Contract level'!$A:$A,"="&amp;'DFP-Com'!$A41,'Contract level'!AB:AB)</f>
        <v>0</v>
      </c>
      <c r="K41" s="218">
        <f>SUMIF('Contract level'!$A:$A,"="&amp;'DFP-Com'!$A41,'Contract level'!AC:AC)</f>
        <v>25000</v>
      </c>
      <c r="L41" s="218">
        <f>SUMIF('Contract level'!$A:$A,"="&amp;'DFP-Com'!$A41,'Contract level'!AD:AD)</f>
        <v>25000</v>
      </c>
      <c r="M41" s="218">
        <f>SUMIF('Contract level'!$A:$A,"="&amp;'DFP-Com'!$A41,'Contract level'!AE:AE)</f>
        <v>25000</v>
      </c>
      <c r="N41" s="218">
        <f>SUMIF('Contract level'!$A:$A,"="&amp;'DFP-Com'!$A41,'Contract level'!AF:AF)</f>
        <v>25000</v>
      </c>
      <c r="O41" s="218">
        <f>SUMIF('Contract level'!$A:$A,"="&amp;'DFP-Com'!$A41,'Contract level'!AG:AG)</f>
        <v>0</v>
      </c>
      <c r="P41" s="218">
        <f>SUMIF('Contract level'!$A:$A,"="&amp;'DFP-Com'!$A41,'Contract level'!AH:AH)</f>
        <v>0</v>
      </c>
      <c r="Q41" s="218">
        <f>SUMIF('Contract level'!$A:$A,"="&amp;'DFP-Com'!$A41,'Contract level'!AI:AI)</f>
        <v>0</v>
      </c>
      <c r="R41" s="218">
        <f>SUMIF('Contract level'!$A:$A,"="&amp;'DFP-Com'!$A41,'Contract level'!AJ:AJ)</f>
        <v>0</v>
      </c>
      <c r="S41" s="218">
        <f>SUMIF('Contract level'!$A:$A,"="&amp;'DFP-Com'!$A41,'Contract level'!AK:AK)</f>
        <v>50000</v>
      </c>
      <c r="T41" s="218">
        <f>SUMIF('Contract level'!$A:$A,"="&amp;'DFP-Com'!$A41,'Contract level'!AL:AL)</f>
        <v>50000</v>
      </c>
      <c r="U41" s="218">
        <f>SUMIF('Contract level'!$A:$A,"="&amp;'DFP-Com'!$A41,'Contract level'!AM:AM)</f>
        <v>50000</v>
      </c>
      <c r="V41" s="218">
        <f>SUMIF('Contract level'!$A:$A,"="&amp;'DFP-Com'!$A41,'Contract level'!AN:AN)</f>
        <v>50000</v>
      </c>
      <c r="W41" s="218">
        <f>SUM(H41:V41)+D41+C41</f>
        <v>300000</v>
      </c>
      <c r="X41" s="330"/>
      <c r="Y41" s="217"/>
      <c r="Z41" s="76"/>
      <c r="AA41" s="228"/>
      <c r="AB41" s="228"/>
      <c r="AC41" s="229"/>
    </row>
    <row r="42" spans="1:29" s="230" customFormat="1" outlineLevel="1" x14ac:dyDescent="0.2">
      <c r="A42" s="226"/>
      <c r="B42" s="227" t="s">
        <v>145</v>
      </c>
      <c r="C42" s="224"/>
      <c r="D42" s="224"/>
      <c r="E42" s="217"/>
      <c r="F42" s="217"/>
      <c r="G42" s="217"/>
      <c r="H42" s="218">
        <f>SUMIF('Contract level'!$A:$A,"="&amp;'DFP-Com'!$A42,'Contract level'!Z:Z)</f>
        <v>0</v>
      </c>
      <c r="I42" s="218">
        <f>SUMIF('Contract level'!$A:$A,"="&amp;'DFP-Com'!$A42,'Contract level'!AA:AA)</f>
        <v>0</v>
      </c>
      <c r="J42" s="218">
        <f>SUMIF('Contract level'!$A:$A,"="&amp;'DFP-Com'!$A42,'Contract level'!AB:AB)</f>
        <v>0</v>
      </c>
      <c r="K42" s="218">
        <f>SUMIF('Contract level'!$A:$A,"="&amp;'DFP-Com'!$A42,'Contract level'!AC:AC)</f>
        <v>0</v>
      </c>
      <c r="L42" s="218">
        <f>SUMIF('Contract level'!$A:$A,"="&amp;'DFP-Com'!$A42,'Contract level'!AD:AD)</f>
        <v>0</v>
      </c>
      <c r="M42" s="218">
        <f>SUMIF('Contract level'!$A:$A,"="&amp;'DFP-Com'!$A42,'Contract level'!AE:AE)</f>
        <v>0</v>
      </c>
      <c r="N42" s="218">
        <f>SUMIF('Contract level'!$A:$A,"="&amp;'DFP-Com'!$A42,'Contract level'!AF:AF)</f>
        <v>25000</v>
      </c>
      <c r="O42" s="218">
        <f>SUMIF('Contract level'!$A:$A,"="&amp;'DFP-Com'!$A42,'Contract level'!AG:AG)</f>
        <v>25000</v>
      </c>
      <c r="P42" s="218">
        <f>SUMIF('Contract level'!$A:$A,"="&amp;'DFP-Com'!$A42,'Contract level'!AH:AH)</f>
        <v>25000</v>
      </c>
      <c r="Q42" s="218">
        <f>SUMIF('Contract level'!$A:$A,"="&amp;'DFP-Com'!$A42,'Contract level'!AI:AI)</f>
        <v>25000</v>
      </c>
      <c r="R42" s="218">
        <f>SUMIF('Contract level'!$A:$A,"="&amp;'DFP-Com'!$A42,'Contract level'!AJ:AJ)</f>
        <v>0</v>
      </c>
      <c r="S42" s="218">
        <f>SUMIF('Contract level'!$A:$A,"="&amp;'DFP-Com'!$A42,'Contract level'!AK:AK)</f>
        <v>50000</v>
      </c>
      <c r="T42" s="218">
        <f>SUMIF('Contract level'!$A:$A,"="&amp;'DFP-Com'!$A42,'Contract level'!AL:AL)</f>
        <v>50000</v>
      </c>
      <c r="U42" s="218">
        <f>SUMIF('Contract level'!$A:$A,"="&amp;'DFP-Com'!$A42,'Contract level'!AM:AM)</f>
        <v>50000</v>
      </c>
      <c r="V42" s="218">
        <f>SUMIF('Contract level'!$A:$A,"="&amp;'DFP-Com'!$A42,'Contract level'!AN:AN)</f>
        <v>50000</v>
      </c>
      <c r="W42" s="218">
        <f>SUM(H42:V42)+D42+C42</f>
        <v>300000</v>
      </c>
      <c r="X42" s="330"/>
      <c r="Y42" s="217"/>
      <c r="Z42" s="76"/>
      <c r="AA42" s="228"/>
      <c r="AB42" s="228"/>
      <c r="AC42" s="229"/>
    </row>
    <row r="43" spans="1:29" s="230" customFormat="1" outlineLevel="1" x14ac:dyDescent="0.2">
      <c r="A43" s="226"/>
      <c r="B43" s="227" t="s">
        <v>156</v>
      </c>
      <c r="C43" s="224"/>
      <c r="D43" s="224"/>
      <c r="E43" s="217"/>
      <c r="F43" s="217"/>
      <c r="G43" s="217"/>
      <c r="H43" s="218">
        <f>SUMIF('Contract level'!$A:$A,"="&amp;'DFP-Com'!$A43,'Contract level'!Z:Z)</f>
        <v>0</v>
      </c>
      <c r="I43" s="218">
        <f>SUMIF('Contract level'!$A:$A,"="&amp;'DFP-Com'!$A43,'Contract level'!AA:AA)</f>
        <v>0</v>
      </c>
      <c r="J43" s="218">
        <f>SUMIF('Contract level'!$A:$A,"="&amp;'DFP-Com'!$A43,'Contract level'!AB:AB)</f>
        <v>0</v>
      </c>
      <c r="K43" s="218">
        <f>SUMIF('Contract level'!$A:$A,"="&amp;'DFP-Com'!$A43,'Contract level'!AC:AC)</f>
        <v>0</v>
      </c>
      <c r="L43" s="218">
        <f>SUMIF('Contract level'!$A:$A,"="&amp;'DFP-Com'!$A43,'Contract level'!AD:AD)</f>
        <v>0</v>
      </c>
      <c r="M43" s="218">
        <f>SUMIF('Contract level'!$A:$A,"="&amp;'DFP-Com'!$A43,'Contract level'!AE:AE)</f>
        <v>0</v>
      </c>
      <c r="N43" s="218">
        <f>SUMIF('Contract level'!$A:$A,"="&amp;'DFP-Com'!$A43,'Contract level'!AF:AF)</f>
        <v>0</v>
      </c>
      <c r="O43" s="218">
        <f>SUMIF('Contract level'!$A:$A,"="&amp;'DFP-Com'!$A43,'Contract level'!AG:AG)</f>
        <v>0</v>
      </c>
      <c r="P43" s="218">
        <f>SUMIF('Contract level'!$A:$A,"="&amp;'DFP-Com'!$A43,'Contract level'!AH:AH)</f>
        <v>0</v>
      </c>
      <c r="Q43" s="218">
        <f>SUMIF('Contract level'!$A:$A,"="&amp;'DFP-Com'!$A43,'Contract level'!AI:AI)</f>
        <v>0</v>
      </c>
      <c r="R43" s="218">
        <f>SUMIF('Contract level'!$A:$A,"="&amp;'DFP-Com'!$A43,'Contract level'!AJ:AJ)</f>
        <v>0</v>
      </c>
      <c r="S43" s="218">
        <f>SUMIF('Contract level'!$A:$A,"="&amp;'DFP-Com'!$A43,'Contract level'!AK:AK)</f>
        <v>50000</v>
      </c>
      <c r="T43" s="218">
        <f>SUMIF('Contract level'!$A:$A,"="&amp;'DFP-Com'!$A43,'Contract level'!AL:AL)</f>
        <v>50000</v>
      </c>
      <c r="U43" s="218">
        <f>SUMIF('Contract level'!$A:$A,"="&amp;'DFP-Com'!$A43,'Contract level'!AM:AM)</f>
        <v>50000</v>
      </c>
      <c r="V43" s="218">
        <f>SUMIF('Contract level'!$A:$A,"="&amp;'DFP-Com'!$A43,'Contract level'!AN:AN)</f>
        <v>50000</v>
      </c>
      <c r="W43" s="218">
        <f>SUM(H43:V43)+D43+C43</f>
        <v>200000</v>
      </c>
      <c r="X43" s="330"/>
      <c r="Y43" s="217"/>
      <c r="Z43" s="76"/>
      <c r="AA43" s="228"/>
      <c r="AB43" s="228"/>
      <c r="AC43" s="229"/>
    </row>
    <row r="44" spans="1:29" s="41" customFormat="1" x14ac:dyDescent="0.2">
      <c r="A44" s="56"/>
      <c r="B44" s="66" t="s">
        <v>24</v>
      </c>
      <c r="C44" s="60">
        <f>C39</f>
        <v>0</v>
      </c>
      <c r="D44" s="60">
        <f t="shared" ref="D44:Y44" si="20">D39</f>
        <v>0</v>
      </c>
      <c r="E44" s="213">
        <f t="shared" si="20"/>
        <v>0</v>
      </c>
      <c r="F44" s="213">
        <f t="shared" si="20"/>
        <v>0</v>
      </c>
      <c r="G44" s="213">
        <f t="shared" si="20"/>
        <v>0</v>
      </c>
      <c r="H44" s="213">
        <f t="shared" si="20"/>
        <v>0</v>
      </c>
      <c r="I44" s="213">
        <f t="shared" si="20"/>
        <v>0</v>
      </c>
      <c r="J44" s="213">
        <f t="shared" si="20"/>
        <v>100000</v>
      </c>
      <c r="K44" s="213">
        <f t="shared" si="20"/>
        <v>125000</v>
      </c>
      <c r="L44" s="213">
        <f t="shared" si="20"/>
        <v>125000</v>
      </c>
      <c r="M44" s="213">
        <f t="shared" si="20"/>
        <v>125000</v>
      </c>
      <c r="N44" s="213">
        <f t="shared" si="20"/>
        <v>50000</v>
      </c>
      <c r="O44" s="213">
        <f t="shared" si="20"/>
        <v>25000</v>
      </c>
      <c r="P44" s="213">
        <f t="shared" si="20"/>
        <v>25000</v>
      </c>
      <c r="Q44" s="213">
        <f t="shared" si="20"/>
        <v>25000</v>
      </c>
      <c r="R44" s="213">
        <f t="shared" si="20"/>
        <v>0</v>
      </c>
      <c r="S44" s="213">
        <f t="shared" ref="S44" si="21">S39</f>
        <v>225000</v>
      </c>
      <c r="T44" s="213">
        <f t="shared" ref="T44:V44" si="22">T39</f>
        <v>225000</v>
      </c>
      <c r="U44" s="213">
        <f t="shared" si="22"/>
        <v>225000</v>
      </c>
      <c r="V44" s="213">
        <f t="shared" si="22"/>
        <v>225000</v>
      </c>
      <c r="W44" s="213">
        <f t="shared" si="20"/>
        <v>1500000</v>
      </c>
      <c r="X44" s="331">
        <f t="shared" si="20"/>
        <v>1700000</v>
      </c>
      <c r="Y44" s="213">
        <f t="shared" si="20"/>
        <v>200000</v>
      </c>
      <c r="Z44" s="7"/>
      <c r="AA44" s="5"/>
      <c r="AB44" s="5"/>
      <c r="AC44" s="40"/>
    </row>
    <row r="45" spans="1:29" s="41" customFormat="1" x14ac:dyDescent="0.2">
      <c r="A45" s="56"/>
      <c r="B45" s="61"/>
      <c r="C45" s="62"/>
      <c r="D45" s="63"/>
      <c r="E45" s="232"/>
      <c r="F45" s="232"/>
      <c r="G45" s="232"/>
      <c r="H45" s="232"/>
      <c r="I45" s="232"/>
      <c r="J45" s="232"/>
      <c r="K45" s="232"/>
      <c r="L45" s="232"/>
      <c r="M45" s="232"/>
      <c r="N45" s="232"/>
      <c r="O45" s="232"/>
      <c r="P45" s="232"/>
      <c r="Q45" s="232"/>
      <c r="R45" s="232"/>
      <c r="S45" s="232"/>
      <c r="T45" s="232"/>
      <c r="U45" s="232"/>
      <c r="V45" s="232"/>
      <c r="W45" s="232"/>
      <c r="X45" s="328"/>
      <c r="Y45" s="232"/>
      <c r="Z45" s="7"/>
      <c r="AA45" s="5"/>
      <c r="AB45" s="5"/>
      <c r="AC45" s="40"/>
    </row>
    <row r="46" spans="1:29" s="71" customFormat="1" x14ac:dyDescent="0.2">
      <c r="A46" s="67"/>
      <c r="B46" s="52" t="s">
        <v>107</v>
      </c>
      <c r="C46" s="68"/>
      <c r="D46" s="69"/>
      <c r="E46" s="323"/>
      <c r="F46" s="323"/>
      <c r="G46" s="323"/>
      <c r="H46" s="323"/>
      <c r="I46" s="323"/>
      <c r="J46" s="323"/>
      <c r="K46" s="323"/>
      <c r="L46" s="323"/>
      <c r="M46" s="323"/>
      <c r="N46" s="323"/>
      <c r="O46" s="323"/>
      <c r="P46" s="323"/>
      <c r="Q46" s="323"/>
      <c r="R46" s="323"/>
      <c r="S46" s="323"/>
      <c r="T46" s="323"/>
      <c r="U46" s="323"/>
      <c r="V46" s="323"/>
      <c r="W46" s="233"/>
      <c r="X46" s="329"/>
      <c r="Y46" s="233"/>
      <c r="Z46" s="7"/>
      <c r="AA46" s="10"/>
      <c r="AB46" s="10"/>
      <c r="AC46" s="70"/>
    </row>
    <row r="47" spans="1:29" s="41" customFormat="1" outlineLevel="1" x14ac:dyDescent="0.2">
      <c r="A47" s="56"/>
      <c r="B47" s="73" t="s">
        <v>118</v>
      </c>
      <c r="C47" s="58">
        <f t="shared" ref="C47:R47" si="23">SUM(C48:C51)</f>
        <v>0</v>
      </c>
      <c r="D47" s="58">
        <f t="shared" si="23"/>
        <v>0</v>
      </c>
      <c r="E47" s="212">
        <f t="shared" si="23"/>
        <v>0</v>
      </c>
      <c r="F47" s="212">
        <f t="shared" si="23"/>
        <v>0</v>
      </c>
      <c r="G47" s="212">
        <f t="shared" si="23"/>
        <v>16000</v>
      </c>
      <c r="H47" s="212">
        <f t="shared" si="23"/>
        <v>16000</v>
      </c>
      <c r="I47" s="212">
        <f t="shared" si="23"/>
        <v>55500</v>
      </c>
      <c r="J47" s="212">
        <f t="shared" si="23"/>
        <v>45000</v>
      </c>
      <c r="K47" s="212">
        <f t="shared" si="23"/>
        <v>48500</v>
      </c>
      <c r="L47" s="212">
        <f t="shared" si="23"/>
        <v>48500</v>
      </c>
      <c r="M47" s="212">
        <f t="shared" si="23"/>
        <v>48500</v>
      </c>
      <c r="N47" s="212">
        <f t="shared" si="23"/>
        <v>73500</v>
      </c>
      <c r="O47" s="212">
        <f t="shared" si="23"/>
        <v>73500</v>
      </c>
      <c r="P47" s="212">
        <f t="shared" si="23"/>
        <v>48500</v>
      </c>
      <c r="Q47" s="212">
        <f t="shared" si="23"/>
        <v>48500</v>
      </c>
      <c r="R47" s="212">
        <f t="shared" si="23"/>
        <v>73500</v>
      </c>
      <c r="S47" s="212">
        <f t="shared" ref="S47" si="24">SUM(S48:S51)</f>
        <v>73500</v>
      </c>
      <c r="T47" s="212">
        <f t="shared" ref="T47:V47" si="25">SUM(T48:T51)</f>
        <v>48500</v>
      </c>
      <c r="U47" s="212">
        <f t="shared" si="25"/>
        <v>48500</v>
      </c>
      <c r="V47" s="212">
        <f t="shared" si="25"/>
        <v>98500</v>
      </c>
      <c r="W47" s="235">
        <f>C47+D47+SUM(H47:V47)</f>
        <v>848500</v>
      </c>
      <c r="X47" s="214">
        <f>'QFR - B'!G27</f>
        <v>800000</v>
      </c>
      <c r="Y47" s="235">
        <f>X47-W47</f>
        <v>-48500</v>
      </c>
      <c r="Z47" s="7"/>
      <c r="AA47" s="5"/>
      <c r="AB47" s="5"/>
      <c r="AC47" s="40"/>
    </row>
    <row r="48" spans="1:29" s="223" customFormat="1" ht="12.75" customHeight="1" outlineLevel="1" x14ac:dyDescent="0.2">
      <c r="A48" s="220"/>
      <c r="B48" s="231" t="s">
        <v>166</v>
      </c>
      <c r="C48" s="224"/>
      <c r="D48" s="224"/>
      <c r="E48" s="217"/>
      <c r="F48" s="217"/>
      <c r="G48" s="217">
        <v>12000</v>
      </c>
      <c r="H48" s="218">
        <f>E48+F48+G48</f>
        <v>12000</v>
      </c>
      <c r="I48" s="218">
        <f>SUMIF('Contract level'!$A:$A,"="&amp;'DFP-Com'!$A48,'Contract level'!AA:AA)</f>
        <v>45000</v>
      </c>
      <c r="J48" s="218">
        <f>SUMIF('Contract level'!$A:$A,"="&amp;'DFP-Com'!$A48,'Contract level'!AB:AB)</f>
        <v>42000</v>
      </c>
      <c r="K48" s="218">
        <f>SUMIF('Contract level'!$A:$A,"="&amp;'DFP-Com'!$A48,'Contract level'!AC:AC)</f>
        <v>42000</v>
      </c>
      <c r="L48" s="218">
        <f>SUMIF('Contract level'!$A:$A,"="&amp;'DFP-Com'!$A48,'Contract level'!AD:AD)</f>
        <v>42000</v>
      </c>
      <c r="M48" s="218">
        <f>SUMIF('Contract level'!$A:$A,"="&amp;'DFP-Com'!$A48,'Contract level'!AE:AE)</f>
        <v>42000</v>
      </c>
      <c r="N48" s="218">
        <f>SUMIF('Contract level'!$A:$A,"="&amp;'DFP-Com'!$A48,'Contract level'!AF:AF)</f>
        <v>42000</v>
      </c>
      <c r="O48" s="218">
        <f>SUMIF('Contract level'!$A:$A,"="&amp;'DFP-Com'!$A48,'Contract level'!AG:AG)</f>
        <v>42000</v>
      </c>
      <c r="P48" s="218">
        <f>SUMIF('Contract level'!$A:$A,"="&amp;'DFP-Com'!$A48,'Contract level'!AH:AH)</f>
        <v>42000</v>
      </c>
      <c r="Q48" s="218">
        <f>SUMIF('Contract level'!$A:$A,"="&amp;'DFP-Com'!$A48,'Contract level'!AI:AI)</f>
        <v>42000</v>
      </c>
      <c r="R48" s="218">
        <f>SUMIF('Contract level'!$A:$A,"="&amp;'DFP-Com'!$A48,'Contract level'!AJ:AJ)</f>
        <v>42000</v>
      </c>
      <c r="S48" s="218">
        <f>SUMIF('Contract level'!$A:$A,"="&amp;'DFP-Com'!$A48,'Contract level'!AK:AK)</f>
        <v>42000</v>
      </c>
      <c r="T48" s="218">
        <f>SUMIF('Contract level'!$A:$A,"="&amp;'DFP-Com'!$A48,'Contract level'!AL:AL)</f>
        <v>42000</v>
      </c>
      <c r="U48" s="218">
        <f>SUMIF('Contract level'!$A:$A,"="&amp;'DFP-Com'!$A48,'Contract level'!AM:AM)</f>
        <v>42000</v>
      </c>
      <c r="V48" s="218">
        <f>SUMIF('Contract level'!$A:$A,"="&amp;'DFP-Com'!$A48,'Contract level'!AN:AN)</f>
        <v>42000</v>
      </c>
      <c r="W48" s="218">
        <f>SUM(H48:V48)+D48+C48</f>
        <v>603000</v>
      </c>
      <c r="X48" s="330"/>
      <c r="Y48" s="218"/>
      <c r="Z48" s="76"/>
      <c r="AA48" s="221"/>
      <c r="AB48" s="221"/>
      <c r="AC48" s="222"/>
    </row>
    <row r="49" spans="1:29" s="223" customFormat="1" outlineLevel="1" x14ac:dyDescent="0.2">
      <c r="A49" s="220"/>
      <c r="B49" s="231" t="s">
        <v>167</v>
      </c>
      <c r="C49" s="224"/>
      <c r="D49" s="224"/>
      <c r="E49" s="217"/>
      <c r="F49" s="217"/>
      <c r="G49" s="217">
        <v>2000</v>
      </c>
      <c r="H49" s="218">
        <f>E49+F49+G49</f>
        <v>2000</v>
      </c>
      <c r="I49" s="218">
        <f>SUMIF('Contract level'!$A:$A,"="&amp;'DFP-Com'!$A49,'Contract level'!AA:AA)</f>
        <v>2000</v>
      </c>
      <c r="J49" s="218">
        <f>SUMIF('Contract level'!$A:$A,"="&amp;'DFP-Com'!$A49,'Contract level'!AB:AB)</f>
        <v>2000</v>
      </c>
      <c r="K49" s="218">
        <f>SUMIF('Contract level'!$A:$A,"="&amp;'DFP-Com'!$A49,'Contract level'!AC:AC)</f>
        <v>4000</v>
      </c>
      <c r="L49" s="218">
        <f>SUMIF('Contract level'!$A:$A,"="&amp;'DFP-Com'!$A49,'Contract level'!AD:AD)</f>
        <v>4000</v>
      </c>
      <c r="M49" s="218">
        <f>SUMIF('Contract level'!$A:$A,"="&amp;'DFP-Com'!$A49,'Contract level'!AE:AE)</f>
        <v>4000</v>
      </c>
      <c r="N49" s="218">
        <f>SUMIF('Contract level'!$A:$A,"="&amp;'DFP-Com'!$A49,'Contract level'!AF:AF)</f>
        <v>4000</v>
      </c>
      <c r="O49" s="218">
        <f>SUMIF('Contract level'!$A:$A,"="&amp;'DFP-Com'!$A49,'Contract level'!AG:AG)</f>
        <v>4000</v>
      </c>
      <c r="P49" s="218">
        <f>SUMIF('Contract level'!$A:$A,"="&amp;'DFP-Com'!$A49,'Contract level'!AH:AH)</f>
        <v>4000</v>
      </c>
      <c r="Q49" s="218">
        <f>SUMIF('Contract level'!$A:$A,"="&amp;'DFP-Com'!$A49,'Contract level'!AI:AI)</f>
        <v>4000</v>
      </c>
      <c r="R49" s="218">
        <f>SUMIF('Contract level'!$A:$A,"="&amp;'DFP-Com'!$A49,'Contract level'!AJ:AJ)</f>
        <v>4000</v>
      </c>
      <c r="S49" s="218">
        <f>SUMIF('Contract level'!$A:$A,"="&amp;'DFP-Com'!$A49,'Contract level'!AK:AK)</f>
        <v>4000</v>
      </c>
      <c r="T49" s="218">
        <f>SUMIF('Contract level'!$A:$A,"="&amp;'DFP-Com'!$A49,'Contract level'!AL:AL)</f>
        <v>4000</v>
      </c>
      <c r="U49" s="218">
        <f>SUMIF('Contract level'!$A:$A,"="&amp;'DFP-Com'!$A49,'Contract level'!AM:AM)</f>
        <v>4000</v>
      </c>
      <c r="V49" s="218">
        <f>SUMIF('Contract level'!$A:$A,"="&amp;'DFP-Com'!$A49,'Contract level'!AN:AN)</f>
        <v>4000</v>
      </c>
      <c r="W49" s="218">
        <f>SUM(H49:V49)+D49+C49</f>
        <v>54000</v>
      </c>
      <c r="X49" s="330"/>
      <c r="Y49" s="217"/>
      <c r="Z49" s="76"/>
      <c r="AA49" s="221"/>
      <c r="AB49" s="221"/>
      <c r="AC49" s="222"/>
    </row>
    <row r="50" spans="1:29" s="223" customFormat="1" outlineLevel="1" x14ac:dyDescent="0.2">
      <c r="A50" s="220"/>
      <c r="B50" s="231" t="s">
        <v>168</v>
      </c>
      <c r="C50" s="224"/>
      <c r="D50" s="224"/>
      <c r="E50" s="217"/>
      <c r="F50" s="217"/>
      <c r="G50" s="217">
        <v>0</v>
      </c>
      <c r="H50" s="218">
        <f t="shared" ref="H50:H51" si="26">E50+F50+G50</f>
        <v>0</v>
      </c>
      <c r="I50" s="218">
        <f>SUMIF('Contract level'!$A:$A,"="&amp;'DFP-Com'!$A50,'Contract level'!AA:AA)</f>
        <v>0</v>
      </c>
      <c r="J50" s="218">
        <f>SUMIF('Contract level'!$A:$A,"="&amp;'DFP-Com'!$A50,'Contract level'!AB:AB)</f>
        <v>0</v>
      </c>
      <c r="K50" s="218">
        <f>SUMIF('Contract level'!$A:$A,"="&amp;'DFP-Com'!$A50,'Contract level'!AC:AC)</f>
        <v>0</v>
      </c>
      <c r="L50" s="218">
        <f>SUMIF('Contract level'!$A:$A,"="&amp;'DFP-Com'!$A50,'Contract level'!AD:AD)</f>
        <v>0</v>
      </c>
      <c r="M50" s="218">
        <f>SUMIF('Contract level'!$A:$A,"="&amp;'DFP-Com'!$A50,'Contract level'!AE:AE)</f>
        <v>0</v>
      </c>
      <c r="N50" s="218">
        <f>SUMIF('Contract level'!$A:$A,"="&amp;'DFP-Com'!$A50,'Contract level'!AF:AF)</f>
        <v>25000</v>
      </c>
      <c r="O50" s="218">
        <f>SUMIF('Contract level'!$A:$A,"="&amp;'DFP-Com'!$A50,'Contract level'!AG:AG)</f>
        <v>25000</v>
      </c>
      <c r="P50" s="218">
        <f>SUMIF('Contract level'!$A:$A,"="&amp;'DFP-Com'!$A50,'Contract level'!AH:AH)</f>
        <v>0</v>
      </c>
      <c r="Q50" s="218">
        <f>SUMIF('Contract level'!$A:$A,"="&amp;'DFP-Com'!$A50,'Contract level'!AI:AI)</f>
        <v>0</v>
      </c>
      <c r="R50" s="218">
        <f>SUMIF('Contract level'!$A:$A,"="&amp;'DFP-Com'!$A50,'Contract level'!AJ:AJ)</f>
        <v>25000</v>
      </c>
      <c r="S50" s="218">
        <f>SUMIF('Contract level'!$A:$A,"="&amp;'DFP-Com'!$A50,'Contract level'!AK:AK)</f>
        <v>25000</v>
      </c>
      <c r="T50" s="218">
        <f>SUMIF('Contract level'!$A:$A,"="&amp;'DFP-Com'!$A50,'Contract level'!AL:AL)</f>
        <v>0</v>
      </c>
      <c r="U50" s="218">
        <f>SUMIF('Contract level'!$A:$A,"="&amp;'DFP-Com'!$A50,'Contract level'!AM:AM)</f>
        <v>0</v>
      </c>
      <c r="V50" s="218">
        <f>SUMIF('Contract level'!$A:$A,"="&amp;'DFP-Com'!$A50,'Contract level'!AN:AN)</f>
        <v>50000</v>
      </c>
      <c r="W50" s="218">
        <f>SUM(H50:V50)+D50+C50</f>
        <v>150000</v>
      </c>
      <c r="X50" s="330"/>
      <c r="Y50" s="217"/>
      <c r="Z50" s="76"/>
      <c r="AA50" s="221"/>
      <c r="AB50" s="221"/>
      <c r="AC50" s="222"/>
    </row>
    <row r="51" spans="1:29" s="223" customFormat="1" outlineLevel="1" x14ac:dyDescent="0.2">
      <c r="A51" s="220"/>
      <c r="B51" s="231" t="s">
        <v>169</v>
      </c>
      <c r="C51" s="224"/>
      <c r="D51" s="224"/>
      <c r="E51" s="217"/>
      <c r="F51" s="217"/>
      <c r="G51" s="217">
        <v>2000</v>
      </c>
      <c r="H51" s="218">
        <f t="shared" si="26"/>
        <v>2000</v>
      </c>
      <c r="I51" s="218">
        <f>SUMIF('Contract level'!$A:$A,"="&amp;'DFP-Com'!$A51,'Contract level'!AA:AA)</f>
        <v>8500</v>
      </c>
      <c r="J51" s="218">
        <f>SUMIF('Contract level'!$A:$A,"="&amp;'DFP-Com'!$A51,'Contract level'!AB:AB)</f>
        <v>1000</v>
      </c>
      <c r="K51" s="218">
        <f>SUMIF('Contract level'!$A:$A,"="&amp;'DFP-Com'!$A51,'Contract level'!AC:AC)</f>
        <v>2500</v>
      </c>
      <c r="L51" s="218">
        <f>SUMIF('Contract level'!$A:$A,"="&amp;'DFP-Com'!$A51,'Contract level'!AD:AD)</f>
        <v>2500</v>
      </c>
      <c r="M51" s="218">
        <f>SUMIF('Contract level'!$A:$A,"="&amp;'DFP-Com'!$A51,'Contract level'!AE:AE)</f>
        <v>2500</v>
      </c>
      <c r="N51" s="218">
        <f>SUMIF('Contract level'!$A:$A,"="&amp;'DFP-Com'!$A51,'Contract level'!AF:AF)</f>
        <v>2500</v>
      </c>
      <c r="O51" s="218">
        <f>SUMIF('Contract level'!$A:$A,"="&amp;'DFP-Com'!$A51,'Contract level'!AG:AG)</f>
        <v>2500</v>
      </c>
      <c r="P51" s="218">
        <f>SUMIF('Contract level'!$A:$A,"="&amp;'DFP-Com'!$A51,'Contract level'!AH:AH)</f>
        <v>2500</v>
      </c>
      <c r="Q51" s="218">
        <f>SUMIF('Contract level'!$A:$A,"="&amp;'DFP-Com'!$A51,'Contract level'!AI:AI)</f>
        <v>2500</v>
      </c>
      <c r="R51" s="218">
        <f>SUMIF('Contract level'!$A:$A,"="&amp;'DFP-Com'!$A51,'Contract level'!AJ:AJ)</f>
        <v>2500</v>
      </c>
      <c r="S51" s="218">
        <f>SUMIF('Contract level'!$A:$A,"="&amp;'DFP-Com'!$A51,'Contract level'!AK:AK)</f>
        <v>2500</v>
      </c>
      <c r="T51" s="218">
        <f>SUMIF('Contract level'!$A:$A,"="&amp;'DFP-Com'!$A51,'Contract level'!AL:AL)</f>
        <v>2500</v>
      </c>
      <c r="U51" s="218">
        <f>SUMIF('Contract level'!$A:$A,"="&amp;'DFP-Com'!$A51,'Contract level'!AM:AM)</f>
        <v>2500</v>
      </c>
      <c r="V51" s="218">
        <f>SUMIF('Contract level'!$A:$A,"="&amp;'DFP-Com'!$A51,'Contract level'!AN:AN)</f>
        <v>2500</v>
      </c>
      <c r="W51" s="218">
        <f>SUM(H51:V51)+D51+C51</f>
        <v>41500</v>
      </c>
      <c r="X51" s="330"/>
      <c r="Y51" s="217"/>
      <c r="Z51" s="76"/>
      <c r="AA51" s="221"/>
      <c r="AB51" s="221"/>
      <c r="AC51" s="222"/>
    </row>
    <row r="52" spans="1:29" s="71" customFormat="1" x14ac:dyDescent="0.2">
      <c r="A52" s="10"/>
      <c r="B52" s="74" t="s">
        <v>117</v>
      </c>
      <c r="C52" s="60">
        <f t="shared" ref="C52:Y52" si="27">C47</f>
        <v>0</v>
      </c>
      <c r="D52" s="60">
        <f t="shared" si="27"/>
        <v>0</v>
      </c>
      <c r="E52" s="213">
        <f t="shared" si="27"/>
        <v>0</v>
      </c>
      <c r="F52" s="213">
        <f t="shared" si="27"/>
        <v>0</v>
      </c>
      <c r="G52" s="213">
        <f t="shared" si="27"/>
        <v>16000</v>
      </c>
      <c r="H52" s="213">
        <f t="shared" si="27"/>
        <v>16000</v>
      </c>
      <c r="I52" s="213">
        <f t="shared" si="27"/>
        <v>55500</v>
      </c>
      <c r="J52" s="213">
        <f t="shared" si="27"/>
        <v>45000</v>
      </c>
      <c r="K52" s="213">
        <f t="shared" si="27"/>
        <v>48500</v>
      </c>
      <c r="L52" s="213">
        <f t="shared" si="27"/>
        <v>48500</v>
      </c>
      <c r="M52" s="213">
        <f t="shared" si="27"/>
        <v>48500</v>
      </c>
      <c r="N52" s="213">
        <f t="shared" si="27"/>
        <v>73500</v>
      </c>
      <c r="O52" s="213">
        <f t="shared" si="27"/>
        <v>73500</v>
      </c>
      <c r="P52" s="213">
        <f t="shared" si="27"/>
        <v>48500</v>
      </c>
      <c r="Q52" s="213">
        <f t="shared" si="27"/>
        <v>48500</v>
      </c>
      <c r="R52" s="213">
        <f t="shared" si="27"/>
        <v>73500</v>
      </c>
      <c r="S52" s="213">
        <f t="shared" ref="S52" si="28">S47</f>
        <v>73500</v>
      </c>
      <c r="T52" s="213">
        <f t="shared" ref="T52:V52" si="29">T47</f>
        <v>48500</v>
      </c>
      <c r="U52" s="213">
        <f t="shared" si="29"/>
        <v>48500</v>
      </c>
      <c r="V52" s="213">
        <f t="shared" si="29"/>
        <v>98500</v>
      </c>
      <c r="W52" s="213">
        <f t="shared" si="27"/>
        <v>848500</v>
      </c>
      <c r="X52" s="331">
        <f t="shared" si="27"/>
        <v>800000</v>
      </c>
      <c r="Y52" s="213">
        <f t="shared" si="27"/>
        <v>-48500</v>
      </c>
      <c r="Z52" s="260"/>
      <c r="AA52" s="10"/>
      <c r="AB52" s="10"/>
      <c r="AC52" s="70"/>
    </row>
    <row r="53" spans="1:29" s="41" customFormat="1" x14ac:dyDescent="0.2">
      <c r="A53" s="5"/>
      <c r="B53" s="61"/>
      <c r="C53" s="62"/>
      <c r="D53" s="63"/>
      <c r="E53" s="232"/>
      <c r="F53" s="232"/>
      <c r="G53" s="232"/>
      <c r="H53" s="232"/>
      <c r="I53" s="232"/>
      <c r="J53" s="232"/>
      <c r="K53" s="232"/>
      <c r="L53" s="232"/>
      <c r="M53" s="232"/>
      <c r="N53" s="232"/>
      <c r="O53" s="232"/>
      <c r="P53" s="232"/>
      <c r="Q53" s="232"/>
      <c r="R53" s="232"/>
      <c r="S53" s="232"/>
      <c r="T53" s="232"/>
      <c r="U53" s="232"/>
      <c r="V53" s="232"/>
      <c r="W53" s="234"/>
      <c r="X53" s="328"/>
      <c r="Y53" s="234"/>
      <c r="Z53" s="7"/>
      <c r="AA53" s="5"/>
      <c r="AB53" s="5"/>
      <c r="AC53" s="40"/>
    </row>
    <row r="54" spans="1:29" s="243" customFormat="1" ht="13.5" customHeight="1" thickBot="1" x14ac:dyDescent="0.3">
      <c r="A54" s="239"/>
      <c r="B54" s="244" t="s">
        <v>162</v>
      </c>
      <c r="C54" s="240">
        <f t="shared" ref="C54:Y54" si="30">C52+C44+C36+C27</f>
        <v>0</v>
      </c>
      <c r="D54" s="240">
        <f t="shared" si="30"/>
        <v>0</v>
      </c>
      <c r="E54" s="241">
        <f t="shared" si="30"/>
        <v>0</v>
      </c>
      <c r="F54" s="241">
        <f t="shared" si="30"/>
        <v>0</v>
      </c>
      <c r="G54" s="241">
        <f t="shared" si="30"/>
        <v>16000</v>
      </c>
      <c r="H54" s="241">
        <f t="shared" si="30"/>
        <v>16000</v>
      </c>
      <c r="I54" s="241">
        <f t="shared" si="30"/>
        <v>288000</v>
      </c>
      <c r="J54" s="241">
        <f t="shared" si="30"/>
        <v>945000</v>
      </c>
      <c r="K54" s="241">
        <f t="shared" si="30"/>
        <v>1243500</v>
      </c>
      <c r="L54" s="241">
        <f t="shared" si="30"/>
        <v>1506000</v>
      </c>
      <c r="M54" s="241">
        <f t="shared" si="30"/>
        <v>1656000</v>
      </c>
      <c r="N54" s="241">
        <f t="shared" si="30"/>
        <v>2368500</v>
      </c>
      <c r="O54" s="241">
        <f t="shared" si="30"/>
        <v>2293500</v>
      </c>
      <c r="P54" s="241">
        <f t="shared" si="30"/>
        <v>2206000</v>
      </c>
      <c r="Q54" s="241">
        <f t="shared" si="30"/>
        <v>2093500</v>
      </c>
      <c r="R54" s="241">
        <f t="shared" si="30"/>
        <v>2043500</v>
      </c>
      <c r="S54" s="241">
        <f t="shared" ref="S54" si="31">S52+S44+S36+S27</f>
        <v>2231500</v>
      </c>
      <c r="T54" s="241">
        <f t="shared" ref="T54:V54" si="32">T52+T44+T36+T27</f>
        <v>2181500</v>
      </c>
      <c r="U54" s="241">
        <f t="shared" si="32"/>
        <v>2181500</v>
      </c>
      <c r="V54" s="241">
        <f t="shared" si="32"/>
        <v>776500</v>
      </c>
      <c r="W54" s="241">
        <f t="shared" si="30"/>
        <v>24030500</v>
      </c>
      <c r="X54" s="241">
        <f t="shared" si="30"/>
        <v>26200000</v>
      </c>
      <c r="Y54" s="241">
        <f t="shared" si="30"/>
        <v>2169500</v>
      </c>
      <c r="Z54" s="260"/>
      <c r="AA54" s="239"/>
      <c r="AB54" s="239"/>
      <c r="AC54" s="242"/>
    </row>
    <row r="55" spans="1:29" ht="13.5" thickTop="1" x14ac:dyDescent="0.2">
      <c r="B55" s="7" t="s">
        <v>164</v>
      </c>
      <c r="X55" s="205"/>
      <c r="Y55" s="76"/>
      <c r="AA55" s="5"/>
      <c r="AB55" s="5"/>
    </row>
    <row r="56" spans="1:29" x14ac:dyDescent="0.2">
      <c r="B56" s="76" t="s">
        <v>165</v>
      </c>
      <c r="X56" s="205"/>
      <c r="AA56" s="5"/>
      <c r="AB56" s="5"/>
    </row>
    <row r="57" spans="1:29" x14ac:dyDescent="0.2">
      <c r="B57" s="7"/>
      <c r="X57" s="205"/>
      <c r="Y57" s="76"/>
      <c r="AA57" s="5"/>
      <c r="AB57" s="5"/>
    </row>
    <row r="58" spans="1:29" x14ac:dyDescent="0.2">
      <c r="B58" s="7"/>
      <c r="X58" s="205"/>
      <c r="AA58" s="5"/>
      <c r="AB58" s="5"/>
    </row>
    <row r="59" spans="1:29" x14ac:dyDescent="0.2">
      <c r="B59" s="7"/>
      <c r="X59" s="205"/>
      <c r="AA59" s="5"/>
      <c r="AB59" s="5"/>
    </row>
    <row r="60" spans="1:29" x14ac:dyDescent="0.2">
      <c r="B60" s="7"/>
      <c r="X60" s="205"/>
      <c r="AA60" s="5"/>
      <c r="AB60" s="5"/>
    </row>
    <row r="61" spans="1:29" x14ac:dyDescent="0.2">
      <c r="B61" s="7"/>
      <c r="X61" s="205"/>
      <c r="AA61" s="5"/>
      <c r="AB61" s="5"/>
    </row>
    <row r="62" spans="1:29" x14ac:dyDescent="0.2">
      <c r="B62" s="7"/>
      <c r="X62" s="205"/>
      <c r="AA62" s="5"/>
      <c r="AB62" s="5"/>
    </row>
    <row r="63" spans="1:29" x14ac:dyDescent="0.2">
      <c r="B63" s="7"/>
      <c r="X63" s="205"/>
      <c r="AA63" s="5"/>
      <c r="AB63" s="5"/>
    </row>
    <row r="64" spans="1:29" x14ac:dyDescent="0.2">
      <c r="B64" s="7"/>
      <c r="X64" s="205"/>
      <c r="AA64" s="5"/>
      <c r="AB64" s="5"/>
    </row>
    <row r="65" spans="2:28" x14ac:dyDescent="0.2">
      <c r="B65" s="7"/>
      <c r="X65" s="205"/>
      <c r="AA65" s="5"/>
      <c r="AB65" s="5"/>
    </row>
    <row r="66" spans="2:28" x14ac:dyDescent="0.2">
      <c r="B66" s="7"/>
      <c r="X66" s="205"/>
      <c r="AA66" s="5"/>
      <c r="AB66" s="5"/>
    </row>
    <row r="67" spans="2:28" x14ac:dyDescent="0.2">
      <c r="B67" s="7"/>
      <c r="X67" s="205"/>
      <c r="AA67" s="5"/>
      <c r="AB67" s="5"/>
    </row>
    <row r="68" spans="2:28" x14ac:dyDescent="0.2">
      <c r="B68" s="7"/>
      <c r="X68" s="205"/>
      <c r="AA68" s="5"/>
      <c r="AB68" s="5"/>
    </row>
    <row r="69" spans="2:28" x14ac:dyDescent="0.2">
      <c r="B69" s="7"/>
      <c r="X69" s="205"/>
      <c r="AA69" s="5"/>
      <c r="AB69" s="5"/>
    </row>
    <row r="70" spans="2:28" x14ac:dyDescent="0.2">
      <c r="X70" s="205"/>
      <c r="AA70" s="5"/>
      <c r="AB70" s="5"/>
    </row>
    <row r="71" spans="2:28" x14ac:dyDescent="0.2">
      <c r="X71" s="205"/>
      <c r="AA71" s="5"/>
      <c r="AB71" s="5"/>
    </row>
    <row r="72" spans="2:28" x14ac:dyDescent="0.2">
      <c r="X72" s="205"/>
      <c r="AA72" s="5"/>
      <c r="AB72" s="5"/>
    </row>
    <row r="73" spans="2:28" x14ac:dyDescent="0.2">
      <c r="X73" s="205"/>
      <c r="AA73" s="5"/>
      <c r="AB73" s="5"/>
    </row>
    <row r="74" spans="2:28" x14ac:dyDescent="0.2">
      <c r="X74" s="205"/>
      <c r="AA74" s="5"/>
      <c r="AB74" s="5"/>
    </row>
    <row r="75" spans="2:28" x14ac:dyDescent="0.2">
      <c r="X75" s="205"/>
      <c r="AA75" s="5"/>
      <c r="AB75" s="5"/>
    </row>
    <row r="76" spans="2:28" x14ac:dyDescent="0.2">
      <c r="X76" s="205"/>
      <c r="AA76" s="5"/>
      <c r="AB76" s="5"/>
    </row>
    <row r="77" spans="2:28" x14ac:dyDescent="0.2">
      <c r="X77" s="205"/>
      <c r="AA77" s="5"/>
      <c r="AB77" s="5"/>
    </row>
    <row r="78" spans="2:28" x14ac:dyDescent="0.2">
      <c r="X78" s="205"/>
      <c r="AA78" s="5"/>
      <c r="AB78" s="5"/>
    </row>
    <row r="79" spans="2:28" x14ac:dyDescent="0.2">
      <c r="X79" s="205"/>
      <c r="AA79" s="5"/>
      <c r="AB79" s="5"/>
    </row>
    <row r="80" spans="2:28" x14ac:dyDescent="0.2">
      <c r="X80" s="205"/>
      <c r="AA80" s="5"/>
      <c r="AB80" s="5"/>
    </row>
    <row r="81" spans="24:28" x14ac:dyDescent="0.2">
      <c r="X81" s="205"/>
      <c r="AA81" s="5"/>
      <c r="AB81" s="5"/>
    </row>
    <row r="82" spans="24:28" x14ac:dyDescent="0.2">
      <c r="X82" s="205"/>
      <c r="AA82" s="5"/>
      <c r="AB82" s="5"/>
    </row>
    <row r="83" spans="24:28" x14ac:dyDescent="0.2">
      <c r="X83" s="205"/>
      <c r="AA83" s="5"/>
      <c r="AB83" s="5"/>
    </row>
    <row r="84" spans="24:28" x14ac:dyDescent="0.2">
      <c r="X84" s="205"/>
      <c r="AA84" s="5"/>
      <c r="AB84" s="5"/>
    </row>
    <row r="85" spans="24:28" x14ac:dyDescent="0.2">
      <c r="X85" s="205"/>
      <c r="AA85" s="5"/>
      <c r="AB85" s="5"/>
    </row>
  </sheetData>
  <mergeCells count="7">
    <mergeCell ref="Y12:Y13"/>
    <mergeCell ref="B11:B12"/>
    <mergeCell ref="E11:H11"/>
    <mergeCell ref="I11:S11"/>
    <mergeCell ref="E12:G12"/>
    <mergeCell ref="W12:W13"/>
    <mergeCell ref="X12:X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zoomScaleNormal="85" zoomScalePageLayoutView="85" workbookViewId="0">
      <pane ySplit="13" topLeftCell="A26" activePane="bottomLeft" state="frozen"/>
      <selection pane="bottomLeft" activeCell="I36" sqref="I36"/>
    </sheetView>
  </sheetViews>
  <sheetFormatPr baseColWidth="10" defaultColWidth="9.140625" defaultRowHeight="15" x14ac:dyDescent="0.25"/>
  <cols>
    <col min="1" max="1" width="2.42578125" customWidth="1"/>
    <col min="2" max="2" width="29.42578125" customWidth="1"/>
    <col min="3" max="3" width="18.28515625" customWidth="1"/>
    <col min="4" max="4" width="22.42578125" customWidth="1"/>
    <col min="5" max="5" width="19" customWidth="1"/>
    <col min="6" max="6" width="18.140625" customWidth="1"/>
    <col min="7" max="7" width="18.85546875" customWidth="1"/>
    <col min="9" max="9" width="13" bestFit="1" customWidth="1"/>
  </cols>
  <sheetData>
    <row r="1" spans="2:9" x14ac:dyDescent="0.25">
      <c r="B1" s="80" t="s">
        <v>28</v>
      </c>
      <c r="C1" s="81"/>
      <c r="D1" s="81"/>
      <c r="E1" s="81"/>
      <c r="F1" s="81"/>
      <c r="G1" s="82"/>
    </row>
    <row r="2" spans="2:9" x14ac:dyDescent="0.25">
      <c r="B2" s="83"/>
      <c r="C2" s="84" t="s">
        <v>1</v>
      </c>
      <c r="D2" s="159" t="s">
        <v>83</v>
      </c>
      <c r="E2" s="86"/>
      <c r="F2" s="87"/>
      <c r="G2" s="88"/>
    </row>
    <row r="3" spans="2:9" x14ac:dyDescent="0.25">
      <c r="B3" s="83"/>
      <c r="C3" s="84" t="s">
        <v>2</v>
      </c>
      <c r="D3" s="190" t="s">
        <v>84</v>
      </c>
      <c r="E3" s="86"/>
      <c r="F3" s="87"/>
      <c r="G3" s="88"/>
    </row>
    <row r="4" spans="2:9" x14ac:dyDescent="0.25">
      <c r="B4" s="83"/>
      <c r="C4" s="84" t="s">
        <v>3</v>
      </c>
      <c r="D4" s="190" t="str">
        <f>'THP DR'!B7</f>
        <v>TR14GTM15001</v>
      </c>
      <c r="E4" s="86"/>
      <c r="F4" s="87"/>
      <c r="G4" s="88"/>
    </row>
    <row r="5" spans="2:9" x14ac:dyDescent="0.25">
      <c r="B5" s="83"/>
      <c r="C5" s="84" t="s">
        <v>4</v>
      </c>
      <c r="D5" s="191">
        <f>'THP DR'!B10</f>
        <v>42622</v>
      </c>
      <c r="E5" s="86"/>
      <c r="F5" s="87"/>
      <c r="G5" s="88"/>
    </row>
    <row r="6" spans="2:9" ht="15.75" thickBot="1" x14ac:dyDescent="0.3">
      <c r="B6" s="90"/>
      <c r="C6" s="91"/>
      <c r="D6" s="92"/>
      <c r="E6" s="91"/>
      <c r="F6" s="92"/>
      <c r="G6" s="93"/>
    </row>
    <row r="7" spans="2:9" x14ac:dyDescent="0.25">
      <c r="B7" s="94" t="s">
        <v>29</v>
      </c>
      <c r="C7" s="95"/>
      <c r="D7" s="95"/>
      <c r="E7" s="95"/>
      <c r="F7" s="95"/>
      <c r="G7" s="96"/>
      <c r="H7" s="97"/>
    </row>
    <row r="8" spans="2:9" x14ac:dyDescent="0.25">
      <c r="B8" s="98" t="str">
        <f>"Disbursement Period:"&amp; TEXT('THP DR'!B11,"dd-mmm-yy")&amp;" to "&amp;TEXT('THP DR'!B12,"dd-mmm-yy")</f>
        <v>Disbursement Period:01-jul-16 to 30-sep-16</v>
      </c>
      <c r="C8" s="99"/>
      <c r="D8" s="99"/>
      <c r="E8" s="99"/>
      <c r="F8" s="99"/>
      <c r="G8" s="100"/>
      <c r="H8" s="97"/>
    </row>
    <row r="9" spans="2:9" s="106" customFormat="1" ht="12.75" x14ac:dyDescent="0.2">
      <c r="B9" s="101" t="s">
        <v>30</v>
      </c>
      <c r="C9" s="102"/>
      <c r="D9" s="102"/>
      <c r="E9" s="103"/>
      <c r="F9" s="103"/>
      <c r="G9" s="104"/>
      <c r="H9" s="105"/>
    </row>
    <row r="10" spans="2:9" ht="15.75" thickBot="1" x14ac:dyDescent="0.3">
      <c r="B10" s="107" t="s">
        <v>232</v>
      </c>
      <c r="C10" s="108"/>
      <c r="D10" s="108"/>
      <c r="E10" s="108"/>
      <c r="F10" s="108"/>
      <c r="G10" s="109"/>
      <c r="H10" s="97"/>
    </row>
    <row r="11" spans="2:9" ht="52.5" customHeight="1" thickBot="1" x14ac:dyDescent="0.3">
      <c r="B11" s="110"/>
      <c r="C11" s="111" t="s">
        <v>31</v>
      </c>
      <c r="D11" s="112" t="s">
        <v>32</v>
      </c>
      <c r="E11" s="354" t="s">
        <v>33</v>
      </c>
      <c r="F11" s="355"/>
      <c r="G11" s="113" t="s">
        <v>34</v>
      </c>
      <c r="H11" s="97"/>
    </row>
    <row r="12" spans="2:9" ht="23.25" x14ac:dyDescent="0.25">
      <c r="B12" s="114" t="s">
        <v>104</v>
      </c>
      <c r="C12" s="115"/>
      <c r="D12" s="116" t="s">
        <v>35</v>
      </c>
      <c r="E12" s="117" t="s">
        <v>36</v>
      </c>
      <c r="F12" s="118" t="s">
        <v>37</v>
      </c>
      <c r="G12" s="119" t="s">
        <v>38</v>
      </c>
      <c r="H12" s="97"/>
    </row>
    <row r="13" spans="2:9" s="106" customFormat="1" ht="13.5" thickBot="1" x14ac:dyDescent="0.25">
      <c r="B13" s="120" t="s">
        <v>113</v>
      </c>
      <c r="C13" s="121">
        <v>1</v>
      </c>
      <c r="D13" s="121">
        <v>2</v>
      </c>
      <c r="E13" s="121">
        <v>3</v>
      </c>
      <c r="F13" s="121">
        <v>4</v>
      </c>
      <c r="G13" s="122">
        <v>5</v>
      </c>
      <c r="H13" s="105"/>
    </row>
    <row r="14" spans="2:9" s="106" customFormat="1" x14ac:dyDescent="0.25">
      <c r="B14" s="356"/>
      <c r="C14" s="357"/>
      <c r="D14" s="357"/>
      <c r="E14" s="357"/>
      <c r="F14" s="357"/>
      <c r="G14" s="358"/>
      <c r="H14" s="105"/>
    </row>
    <row r="15" spans="2:9" s="106" customFormat="1" ht="26.45" customHeight="1" x14ac:dyDescent="0.2">
      <c r="B15" s="165" t="s">
        <v>99</v>
      </c>
      <c r="C15" s="192">
        <f>SUM(C16:C18)</f>
        <v>19700000</v>
      </c>
      <c r="D15" s="196">
        <f>SUM(D16:D18)</f>
        <v>19700000</v>
      </c>
      <c r="E15" s="192">
        <f>SUM(E16:E18)</f>
        <v>0</v>
      </c>
      <c r="F15" s="192">
        <f>SUM(F16:F18)</f>
        <v>400000</v>
      </c>
      <c r="G15" s="196">
        <f t="shared" ref="G15:G18" si="0">+D15+E15-F15</f>
        <v>19300000</v>
      </c>
      <c r="H15" s="105"/>
      <c r="I15" s="268"/>
    </row>
    <row r="16" spans="2:9" s="106" customFormat="1" ht="25.5" x14ac:dyDescent="0.2">
      <c r="B16" s="183" t="s">
        <v>100</v>
      </c>
      <c r="C16" s="181">
        <v>12000000</v>
      </c>
      <c r="D16" s="197">
        <f>'QFR - B'!G15</f>
        <v>12000000</v>
      </c>
      <c r="E16" s="193"/>
      <c r="F16" s="193"/>
      <c r="G16" s="197">
        <f t="shared" si="0"/>
        <v>12000000</v>
      </c>
      <c r="H16" s="105"/>
      <c r="I16" s="268" t="s">
        <v>146</v>
      </c>
    </row>
    <row r="17" spans="2:9" ht="26.25" customHeight="1" x14ac:dyDescent="0.25">
      <c r="B17" s="183" t="s">
        <v>101</v>
      </c>
      <c r="C17" s="181">
        <v>4700000</v>
      </c>
      <c r="D17" s="197">
        <f>'QFR - B'!G16</f>
        <v>4700000</v>
      </c>
      <c r="E17" s="193"/>
      <c r="F17" s="193">
        <v>400000</v>
      </c>
      <c r="G17" s="197">
        <f t="shared" si="0"/>
        <v>4300000</v>
      </c>
    </row>
    <row r="18" spans="2:9" ht="25.5" x14ac:dyDescent="0.25">
      <c r="B18" s="183" t="s">
        <v>102</v>
      </c>
      <c r="C18" s="181">
        <v>3000000</v>
      </c>
      <c r="D18" s="197">
        <f>'QFR - B'!G17</f>
        <v>3000000</v>
      </c>
      <c r="E18" s="193"/>
      <c r="F18" s="193"/>
      <c r="G18" s="197">
        <f t="shared" si="0"/>
        <v>3000000</v>
      </c>
    </row>
    <row r="19" spans="2:9" x14ac:dyDescent="0.25">
      <c r="B19" s="184"/>
      <c r="C19" s="181"/>
      <c r="D19" s="197"/>
      <c r="E19" s="193"/>
      <c r="F19" s="193"/>
      <c r="G19" s="197"/>
    </row>
    <row r="20" spans="2:9" ht="25.5" x14ac:dyDescent="0.25">
      <c r="B20" s="185" t="s">
        <v>105</v>
      </c>
      <c r="C20" s="169">
        <f>SUM(C21:C22)</f>
        <v>4000000</v>
      </c>
      <c r="D20" s="198">
        <f>SUM(D21:D22)</f>
        <v>4000000</v>
      </c>
      <c r="E20" s="169">
        <f>SUM(E21:E22)</f>
        <v>800000</v>
      </c>
      <c r="F20" s="169">
        <f>SUM(F21:F22)</f>
        <v>400000</v>
      </c>
      <c r="G20" s="198">
        <f>+D20+E20-F20</f>
        <v>4400000</v>
      </c>
      <c r="I20" s="285"/>
    </row>
    <row r="21" spans="2:9" ht="25.5" x14ac:dyDescent="0.25">
      <c r="B21" s="183" t="s">
        <v>108</v>
      </c>
      <c r="C21" s="181">
        <v>0</v>
      </c>
      <c r="D21" s="197">
        <f>'QFR - B'!G20</f>
        <v>0</v>
      </c>
      <c r="E21" s="193">
        <v>800000</v>
      </c>
      <c r="F21" s="193"/>
      <c r="G21" s="197">
        <f>+D21+E21-F21</f>
        <v>800000</v>
      </c>
    </row>
    <row r="22" spans="2:9" ht="25.5" x14ac:dyDescent="0.25">
      <c r="B22" s="183" t="s">
        <v>109</v>
      </c>
      <c r="C22" s="181">
        <v>4000000</v>
      </c>
      <c r="D22" s="197">
        <f>'QFR - B'!G21</f>
        <v>4000000</v>
      </c>
      <c r="E22" s="193"/>
      <c r="F22" s="193">
        <v>400000</v>
      </c>
      <c r="G22" s="197">
        <f>+D22+E22-F22</f>
        <v>3600000</v>
      </c>
    </row>
    <row r="23" spans="2:9" x14ac:dyDescent="0.25">
      <c r="B23" s="184"/>
      <c r="C23" s="181"/>
      <c r="D23" s="199"/>
      <c r="E23" s="193"/>
      <c r="F23" s="193"/>
      <c r="G23" s="199"/>
    </row>
    <row r="24" spans="2:9" ht="26.45" customHeight="1" x14ac:dyDescent="0.25">
      <c r="B24" s="166" t="s">
        <v>106</v>
      </c>
      <c r="C24" s="169">
        <f>SUM(C25)</f>
        <v>1700000</v>
      </c>
      <c r="D24" s="198">
        <f t="shared" ref="D24:G24" si="1">SUM(D25)</f>
        <v>1700000</v>
      </c>
      <c r="E24" s="169">
        <f t="shared" si="1"/>
        <v>0</v>
      </c>
      <c r="F24" s="169">
        <f t="shared" si="1"/>
        <v>0</v>
      </c>
      <c r="G24" s="198">
        <f t="shared" si="1"/>
        <v>1700000</v>
      </c>
      <c r="I24" s="285"/>
    </row>
    <row r="25" spans="2:9" ht="26.45" customHeight="1" x14ac:dyDescent="0.25">
      <c r="B25" s="189" t="s">
        <v>110</v>
      </c>
      <c r="C25" s="181">
        <v>1700000</v>
      </c>
      <c r="D25" s="197">
        <f>'QFR - B'!G24</f>
        <v>1700000</v>
      </c>
      <c r="E25" s="193"/>
      <c r="F25" s="193"/>
      <c r="G25" s="197">
        <f>+D25+E25-F25</f>
        <v>1700000</v>
      </c>
    </row>
    <row r="26" spans="2:9" x14ac:dyDescent="0.25">
      <c r="B26" s="184"/>
      <c r="C26" s="181"/>
      <c r="D26" s="199"/>
      <c r="E26" s="193"/>
      <c r="F26" s="193"/>
      <c r="G26" s="199"/>
    </row>
    <row r="27" spans="2:9" ht="26.45" customHeight="1" x14ac:dyDescent="0.25">
      <c r="B27" s="166" t="s">
        <v>107</v>
      </c>
      <c r="C27" s="169">
        <f>SUM(C28)</f>
        <v>800000</v>
      </c>
      <c r="D27" s="198">
        <f t="shared" ref="D27:G27" si="2">SUM(D28)</f>
        <v>800000</v>
      </c>
      <c r="E27" s="169">
        <f t="shared" si="2"/>
        <v>0</v>
      </c>
      <c r="F27" s="169">
        <f t="shared" si="2"/>
        <v>0</v>
      </c>
      <c r="G27" s="198">
        <f t="shared" si="2"/>
        <v>800000</v>
      </c>
      <c r="I27" s="285"/>
    </row>
    <row r="28" spans="2:9" ht="26.45" customHeight="1" x14ac:dyDescent="0.25">
      <c r="B28" s="189" t="s">
        <v>111</v>
      </c>
      <c r="C28" s="181">
        <v>800000</v>
      </c>
      <c r="D28" s="197">
        <f>'QFR - B'!G27</f>
        <v>800000</v>
      </c>
      <c r="E28" s="193"/>
      <c r="F28" s="193"/>
      <c r="G28" s="197">
        <f>+D28+E28-F28</f>
        <v>800000</v>
      </c>
    </row>
    <row r="29" spans="2:9" ht="15.75" thickBot="1" x14ac:dyDescent="0.3">
      <c r="B29" s="187"/>
      <c r="C29" s="194"/>
      <c r="D29" s="200"/>
      <c r="E29" s="194"/>
      <c r="F29" s="194"/>
      <c r="G29" s="200"/>
    </row>
    <row r="30" spans="2:9" ht="26.45" customHeight="1" thickBot="1" x14ac:dyDescent="0.3">
      <c r="B30" s="188" t="s">
        <v>39</v>
      </c>
      <c r="C30" s="195">
        <f>+C15+C20+C24+C27</f>
        <v>26200000</v>
      </c>
      <c r="D30" s="195">
        <f>+D15+D20+D24+D27</f>
        <v>26200000</v>
      </c>
      <c r="E30" s="195">
        <f>+E15+E20+E24+E27</f>
        <v>800000</v>
      </c>
      <c r="F30" s="195">
        <f>+F15+F20+F24+F27</f>
        <v>800000</v>
      </c>
      <c r="G30" s="201">
        <f>+G15+G20+G24+G27</f>
        <v>26200000</v>
      </c>
      <c r="I30" s="286">
        <f>SUM(I15:I28)</f>
        <v>0</v>
      </c>
    </row>
    <row r="31" spans="2:9" x14ac:dyDescent="0.25">
      <c r="B31" t="s">
        <v>150</v>
      </c>
    </row>
    <row r="33" spans="2:9" x14ac:dyDescent="0.25">
      <c r="B33" s="236" t="s">
        <v>152</v>
      </c>
      <c r="C33" s="237"/>
      <c r="D33" s="237"/>
      <c r="E33" s="237"/>
      <c r="F33" s="237"/>
      <c r="G33" s="238"/>
    </row>
    <row r="34" spans="2:9" ht="25.5" x14ac:dyDescent="0.25">
      <c r="B34" s="185" t="s">
        <v>105</v>
      </c>
      <c r="C34" s="169">
        <f>SUM(C35)</f>
        <v>1800000</v>
      </c>
      <c r="D34" s="169">
        <f>SUM(D35)</f>
        <v>1800000</v>
      </c>
      <c r="E34" s="169">
        <f>E35</f>
        <v>0</v>
      </c>
      <c r="F34" s="169">
        <f>F35</f>
        <v>0</v>
      </c>
      <c r="G34" s="198">
        <f>+D34+E34-F34</f>
        <v>1800000</v>
      </c>
    </row>
    <row r="35" spans="2:9" ht="25.5" x14ac:dyDescent="0.25">
      <c r="B35" s="183" t="s">
        <v>151</v>
      </c>
      <c r="C35" s="181">
        <v>1800000</v>
      </c>
      <c r="D35" s="197">
        <f>'QFR - B'!G34</f>
        <v>1800000</v>
      </c>
      <c r="E35" s="193"/>
      <c r="F35" s="193"/>
      <c r="G35" s="197">
        <f>+D35+E35-F35</f>
        <v>1800000</v>
      </c>
    </row>
    <row r="36" spans="2:9" ht="26.45" customHeight="1" thickBot="1" x14ac:dyDescent="0.3">
      <c r="B36" s="188" t="s">
        <v>39</v>
      </c>
      <c r="C36" s="195">
        <f>C35</f>
        <v>1800000</v>
      </c>
      <c r="D36" s="195">
        <f>D35</f>
        <v>1800000</v>
      </c>
      <c r="E36" s="195">
        <f t="shared" ref="E36:G36" si="3">E35</f>
        <v>0</v>
      </c>
      <c r="F36" s="195">
        <f t="shared" si="3"/>
        <v>0</v>
      </c>
      <c r="G36" s="195">
        <f t="shared" si="3"/>
        <v>1800000</v>
      </c>
      <c r="I36" s="285"/>
    </row>
  </sheetData>
  <mergeCells count="2">
    <mergeCell ref="E11:F11"/>
    <mergeCell ref="B14:G14"/>
  </mergeCells>
  <conditionalFormatting sqref="D30:G30">
    <cfRule type="cellIs" dxfId="5" priority="4" stopIfTrue="1" operator="equal">
      <formula>0</formula>
    </cfRule>
  </conditionalFormatting>
  <conditionalFormatting sqref="C30">
    <cfRule type="cellIs" dxfId="4" priority="3" stopIfTrue="1" operator="equal">
      <formula>0</formula>
    </cfRule>
  </conditionalFormatting>
  <conditionalFormatting sqref="D36:G36">
    <cfRule type="cellIs" dxfId="3" priority="2" stopIfTrue="1" operator="equal">
      <formula>0</formula>
    </cfRule>
  </conditionalFormatting>
  <conditionalFormatting sqref="C36">
    <cfRule type="cellIs" dxfId="2" priority="1" stopIfTrue="1" operator="equal">
      <formula>0</formula>
    </cfRule>
  </conditionalFormatting>
  <pageMargins left="0.70866141732283472" right="0.70866141732283472" top="0.74803149606299213" bottom="0.74803149606299213" header="0.31496062992125984" footer="0.31496062992125984"/>
  <pageSetup scale="74" orientation="landscape"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90" zoomScaleNormal="90" zoomScalePageLayoutView="90" workbookViewId="0">
      <pane ySplit="13" topLeftCell="A14" activePane="bottomLeft" state="frozen"/>
      <selection pane="bottomLeft" activeCell="J30" sqref="J30"/>
    </sheetView>
  </sheetViews>
  <sheetFormatPr baseColWidth="10" defaultColWidth="9.140625" defaultRowHeight="15" x14ac:dyDescent="0.25"/>
  <cols>
    <col min="1" max="1" width="3.28515625" customWidth="1"/>
    <col min="2" max="2" width="33.85546875" customWidth="1"/>
    <col min="3" max="7" width="16.42578125" customWidth="1"/>
  </cols>
  <sheetData>
    <row r="1" spans="1:7" x14ac:dyDescent="0.25">
      <c r="B1" s="80" t="s">
        <v>28</v>
      </c>
      <c r="C1" s="81"/>
      <c r="D1" s="81"/>
      <c r="E1" s="81"/>
      <c r="F1" s="81"/>
      <c r="G1" s="82"/>
    </row>
    <row r="2" spans="1:7" x14ac:dyDescent="0.25">
      <c r="B2" s="83"/>
      <c r="C2" s="84" t="s">
        <v>1</v>
      </c>
      <c r="D2" s="159" t="s">
        <v>83</v>
      </c>
      <c r="E2" s="85"/>
      <c r="F2" s="85"/>
      <c r="G2" s="88"/>
    </row>
    <row r="3" spans="1:7" x14ac:dyDescent="0.25">
      <c r="B3" s="83"/>
      <c r="C3" s="84" t="s">
        <v>2</v>
      </c>
      <c r="D3" s="159" t="s">
        <v>84</v>
      </c>
      <c r="E3" s="85"/>
      <c r="F3" s="85"/>
      <c r="G3" s="88"/>
    </row>
    <row r="4" spans="1:7" x14ac:dyDescent="0.25">
      <c r="B4" s="83"/>
      <c r="C4" s="84" t="s">
        <v>3</v>
      </c>
      <c r="D4" s="159" t="str">
        <f>'THP DR'!B7</f>
        <v>TR14GTM15001</v>
      </c>
      <c r="E4" s="85"/>
      <c r="F4" s="85"/>
      <c r="G4" s="88"/>
    </row>
    <row r="5" spans="1:7" x14ac:dyDescent="0.25">
      <c r="B5" s="83"/>
      <c r="C5" s="84" t="s">
        <v>4</v>
      </c>
      <c r="D5" s="160">
        <f>'THP DR'!B10</f>
        <v>42622</v>
      </c>
      <c r="E5" s="89"/>
      <c r="F5" s="89"/>
      <c r="G5" s="88"/>
    </row>
    <row r="6" spans="1:7" ht="15.75" thickBot="1" x14ac:dyDescent="0.3">
      <c r="B6" s="90"/>
      <c r="C6" s="91"/>
      <c r="D6" s="91"/>
      <c r="E6" s="91"/>
      <c r="F6" s="91"/>
      <c r="G6" s="93"/>
    </row>
    <row r="7" spans="1:7" x14ac:dyDescent="0.25">
      <c r="B7" s="94" t="s">
        <v>41</v>
      </c>
      <c r="C7" s="123"/>
      <c r="D7" s="123"/>
      <c r="E7" s="123"/>
      <c r="F7" s="123"/>
      <c r="G7" s="124"/>
    </row>
    <row r="8" spans="1:7" x14ac:dyDescent="0.25">
      <c r="A8" s="106"/>
      <c r="B8" s="98" t="str">
        <f>'QFR - A'!B8</f>
        <v>Disbursement Period:01-jul-16 to 30-sep-16</v>
      </c>
      <c r="C8" s="99"/>
      <c r="D8" s="99"/>
      <c r="E8" s="99"/>
      <c r="F8" s="99"/>
      <c r="G8" s="100"/>
    </row>
    <row r="9" spans="1:7" x14ac:dyDescent="0.25">
      <c r="B9" s="161" t="s">
        <v>42</v>
      </c>
      <c r="C9" s="102"/>
      <c r="D9" s="102"/>
      <c r="E9" s="102"/>
      <c r="F9" s="102"/>
      <c r="G9" s="104"/>
    </row>
    <row r="10" spans="1:7" ht="15.75" thickBot="1" x14ac:dyDescent="0.3">
      <c r="B10" s="161" t="str">
        <f>'QFR - A'!B10</f>
        <v>Out of Cycle Report:  Yes [ ] | No [ x ]</v>
      </c>
      <c r="C10" s="102"/>
      <c r="D10" s="102"/>
      <c r="E10" s="102"/>
      <c r="F10" s="102"/>
      <c r="G10" s="104"/>
    </row>
    <row r="11" spans="1:7" ht="15" customHeight="1" x14ac:dyDescent="0.25">
      <c r="B11" s="163"/>
      <c r="C11" s="359" t="s">
        <v>31</v>
      </c>
      <c r="D11" s="359" t="s">
        <v>112</v>
      </c>
      <c r="E11" s="359" t="s">
        <v>112</v>
      </c>
      <c r="F11" s="359" t="s">
        <v>112</v>
      </c>
      <c r="G11" s="359" t="s">
        <v>98</v>
      </c>
    </row>
    <row r="12" spans="1:7" ht="66.599999999999994" customHeight="1" thickBot="1" x14ac:dyDescent="0.3">
      <c r="B12" s="162" t="s">
        <v>104</v>
      </c>
      <c r="C12" s="360"/>
      <c r="D12" s="360"/>
      <c r="E12" s="360"/>
      <c r="F12" s="360"/>
      <c r="G12" s="360"/>
    </row>
    <row r="13" spans="1:7" ht="15" customHeight="1" x14ac:dyDescent="0.25">
      <c r="A13" s="106"/>
      <c r="B13" s="164" t="s">
        <v>103</v>
      </c>
      <c r="C13" s="167">
        <v>1</v>
      </c>
      <c r="D13" s="167">
        <f>C13+1</f>
        <v>2</v>
      </c>
      <c r="E13" s="167">
        <v>3</v>
      </c>
      <c r="F13" s="167">
        <v>4</v>
      </c>
      <c r="G13" s="175">
        <v>5</v>
      </c>
    </row>
    <row r="14" spans="1:7" ht="26.1" customHeight="1" x14ac:dyDescent="0.25">
      <c r="B14" s="165" t="s">
        <v>99</v>
      </c>
      <c r="C14" s="168">
        <f>SUM(C15:C17)</f>
        <v>19700000</v>
      </c>
      <c r="D14" s="169">
        <f>SUM(D15:D17)</f>
        <v>0</v>
      </c>
      <c r="E14" s="169">
        <f>SUM(E15:E17)</f>
        <v>0</v>
      </c>
      <c r="F14" s="169">
        <f>SUM(F15:F17)</f>
        <v>0</v>
      </c>
      <c r="G14" s="170">
        <f>C14+D14+E14+F14</f>
        <v>19700000</v>
      </c>
    </row>
    <row r="15" spans="1:7" ht="26.45" customHeight="1" x14ac:dyDescent="0.25">
      <c r="B15" s="183" t="s">
        <v>100</v>
      </c>
      <c r="C15" s="171">
        <v>12000000</v>
      </c>
      <c r="D15" s="181">
        <v>0</v>
      </c>
      <c r="E15" s="172">
        <v>0</v>
      </c>
      <c r="F15" s="172">
        <v>0</v>
      </c>
      <c r="G15" s="173">
        <f>C15+D15+E15+F15</f>
        <v>12000000</v>
      </c>
    </row>
    <row r="16" spans="1:7" ht="26.45" customHeight="1" x14ac:dyDescent="0.25">
      <c r="B16" s="183" t="s">
        <v>101</v>
      </c>
      <c r="C16" s="171">
        <v>4700000</v>
      </c>
      <c r="D16" s="181">
        <v>0</v>
      </c>
      <c r="E16" s="172">
        <v>0</v>
      </c>
      <c r="F16" s="172">
        <v>0</v>
      </c>
      <c r="G16" s="173">
        <f t="shared" ref="G16:G17" si="0">C16+D16+E16+F16</f>
        <v>4700000</v>
      </c>
    </row>
    <row r="17" spans="2:7" ht="25.5" x14ac:dyDescent="0.25">
      <c r="B17" s="183" t="s">
        <v>102</v>
      </c>
      <c r="C17" s="171">
        <v>3000000</v>
      </c>
      <c r="D17" s="181">
        <v>0</v>
      </c>
      <c r="E17" s="172">
        <v>0</v>
      </c>
      <c r="F17" s="172">
        <v>0</v>
      </c>
      <c r="G17" s="173">
        <f t="shared" si="0"/>
        <v>3000000</v>
      </c>
    </row>
    <row r="18" spans="2:7" x14ac:dyDescent="0.25">
      <c r="B18" s="184"/>
      <c r="C18" s="171"/>
      <c r="D18" s="181"/>
      <c r="E18" s="172"/>
      <c r="F18" s="172"/>
      <c r="G18" s="173"/>
    </row>
    <row r="19" spans="2:7" ht="25.5" x14ac:dyDescent="0.25">
      <c r="B19" s="185" t="s">
        <v>105</v>
      </c>
      <c r="C19" s="168">
        <f>SUM(C20:C21)</f>
        <v>4000000</v>
      </c>
      <c r="D19" s="169">
        <f>SUM(D20:D21)</f>
        <v>0</v>
      </c>
      <c r="E19" s="169">
        <f>SUM(E20:E21)</f>
        <v>0</v>
      </c>
      <c r="F19" s="169">
        <f>SUM(F20:F21)</f>
        <v>0</v>
      </c>
      <c r="G19" s="170">
        <f>SUM(G20:G21)</f>
        <v>4000000</v>
      </c>
    </row>
    <row r="20" spans="2:7" ht="25.5" x14ac:dyDescent="0.25">
      <c r="B20" s="183" t="s">
        <v>108</v>
      </c>
      <c r="C20" s="171">
        <v>0</v>
      </c>
      <c r="D20" s="181">
        <v>0</v>
      </c>
      <c r="E20" s="172">
        <v>0</v>
      </c>
      <c r="F20" s="172">
        <v>0</v>
      </c>
      <c r="G20" s="173">
        <f>C20+D20+E20+F20</f>
        <v>0</v>
      </c>
    </row>
    <row r="21" spans="2:7" ht="25.5" x14ac:dyDescent="0.25">
      <c r="B21" s="183" t="s">
        <v>109</v>
      </c>
      <c r="C21" s="171">
        <v>4000000</v>
      </c>
      <c r="D21" s="181">
        <v>0</v>
      </c>
      <c r="E21" s="172">
        <v>0</v>
      </c>
      <c r="F21" s="172">
        <v>0</v>
      </c>
      <c r="G21" s="173">
        <f>C21+D21+E21+F21</f>
        <v>4000000</v>
      </c>
    </row>
    <row r="22" spans="2:7" x14ac:dyDescent="0.25">
      <c r="B22" s="184"/>
      <c r="C22" s="171"/>
      <c r="D22" s="181"/>
      <c r="E22" s="172"/>
      <c r="F22" s="172"/>
      <c r="G22" s="174"/>
    </row>
    <row r="23" spans="2:7" ht="26.45" customHeight="1" x14ac:dyDescent="0.25">
      <c r="B23" s="166" t="s">
        <v>106</v>
      </c>
      <c r="C23" s="168">
        <f>SUM(C24)</f>
        <v>1700000</v>
      </c>
      <c r="D23" s="169">
        <f>SUM(D24)</f>
        <v>0</v>
      </c>
      <c r="E23" s="169">
        <f>E24</f>
        <v>0</v>
      </c>
      <c r="F23" s="169">
        <f>F24</f>
        <v>0</v>
      </c>
      <c r="G23" s="170">
        <f t="shared" ref="G23" si="1">SUM(G24)</f>
        <v>1700000</v>
      </c>
    </row>
    <row r="24" spans="2:7" ht="24" customHeight="1" x14ac:dyDescent="0.25">
      <c r="B24" s="189" t="s">
        <v>110</v>
      </c>
      <c r="C24" s="171">
        <v>1700000</v>
      </c>
      <c r="D24" s="181">
        <v>0</v>
      </c>
      <c r="E24" s="172">
        <v>0</v>
      </c>
      <c r="F24" s="172">
        <v>0</v>
      </c>
      <c r="G24" s="173">
        <f>C24+D24+E24+F24</f>
        <v>1700000</v>
      </c>
    </row>
    <row r="25" spans="2:7" x14ac:dyDescent="0.25">
      <c r="B25" s="184"/>
      <c r="C25" s="171"/>
      <c r="D25" s="181"/>
      <c r="E25" s="172"/>
      <c r="F25" s="172"/>
      <c r="G25" s="174"/>
    </row>
    <row r="26" spans="2:7" ht="26.45" customHeight="1" x14ac:dyDescent="0.25">
      <c r="B26" s="186" t="s">
        <v>107</v>
      </c>
      <c r="C26" s="168">
        <f>SUM(C27)</f>
        <v>800000</v>
      </c>
      <c r="D26" s="169">
        <f>SUM(D27)</f>
        <v>0</v>
      </c>
      <c r="E26" s="169">
        <f>E27</f>
        <v>0</v>
      </c>
      <c r="F26" s="169">
        <f>F27</f>
        <v>0</v>
      </c>
      <c r="G26" s="170">
        <f t="shared" ref="G26" si="2">SUM(G27)</f>
        <v>800000</v>
      </c>
    </row>
    <row r="27" spans="2:7" ht="24" customHeight="1" x14ac:dyDescent="0.25">
      <c r="B27" s="189" t="s">
        <v>111</v>
      </c>
      <c r="C27" s="171">
        <v>800000</v>
      </c>
      <c r="D27" s="181">
        <v>0</v>
      </c>
      <c r="E27" s="172">
        <v>0</v>
      </c>
      <c r="F27" s="172">
        <v>0</v>
      </c>
      <c r="G27" s="173">
        <f>C27+D27+E27+F27</f>
        <v>800000</v>
      </c>
    </row>
    <row r="28" spans="2:7" ht="15.75" thickBot="1" x14ac:dyDescent="0.3">
      <c r="B28" s="187"/>
      <c r="C28" s="176"/>
      <c r="D28" s="182"/>
      <c r="E28" s="177"/>
      <c r="F28" s="177"/>
      <c r="G28" s="178"/>
    </row>
    <row r="29" spans="2:7" ht="26.1" customHeight="1" thickBot="1" x14ac:dyDescent="0.3">
      <c r="B29" s="188" t="s">
        <v>39</v>
      </c>
      <c r="C29" s="179">
        <f>C14+C19+C23+C26</f>
        <v>26200000</v>
      </c>
      <c r="D29" s="180">
        <f t="shared" ref="D29:F29" si="3">D14+D19+D23+D26</f>
        <v>0</v>
      </c>
      <c r="E29" s="180">
        <f t="shared" si="3"/>
        <v>0</v>
      </c>
      <c r="F29" s="180">
        <f t="shared" si="3"/>
        <v>0</v>
      </c>
      <c r="G29" s="179">
        <f>G26+G23+G19+G14</f>
        <v>26200000</v>
      </c>
    </row>
    <row r="30" spans="2:7" x14ac:dyDescent="0.25">
      <c r="B30" t="s">
        <v>40</v>
      </c>
    </row>
    <row r="32" spans="2:7" x14ac:dyDescent="0.25">
      <c r="B32" s="236" t="s">
        <v>152</v>
      </c>
      <c r="C32" s="237"/>
      <c r="D32" s="237"/>
      <c r="E32" s="237"/>
      <c r="F32" s="237"/>
      <c r="G32" s="238"/>
    </row>
    <row r="33" spans="2:7" ht="25.5" x14ac:dyDescent="0.25">
      <c r="B33" s="185" t="s">
        <v>105</v>
      </c>
      <c r="C33" s="169">
        <f>SUM(C34)</f>
        <v>1800000</v>
      </c>
      <c r="D33" s="169">
        <f t="shared" ref="D33:G33" si="4">SUM(D34)</f>
        <v>0</v>
      </c>
      <c r="E33" s="169">
        <f t="shared" si="4"/>
        <v>0</v>
      </c>
      <c r="F33" s="169">
        <f t="shared" si="4"/>
        <v>0</v>
      </c>
      <c r="G33" s="169">
        <f t="shared" si="4"/>
        <v>1800000</v>
      </c>
    </row>
    <row r="34" spans="2:7" ht="25.5" x14ac:dyDescent="0.25">
      <c r="B34" s="183" t="s">
        <v>151</v>
      </c>
      <c r="C34" s="181">
        <v>1800000</v>
      </c>
      <c r="D34" s="197"/>
      <c r="E34" s="197"/>
      <c r="F34" s="197"/>
      <c r="G34" s="173">
        <f>C34+D34+E34+F34</f>
        <v>1800000</v>
      </c>
    </row>
    <row r="35" spans="2:7" ht="26.45" customHeight="1" thickBot="1" x14ac:dyDescent="0.3">
      <c r="B35" s="188" t="s">
        <v>39</v>
      </c>
      <c r="C35" s="195">
        <f>C34</f>
        <v>1800000</v>
      </c>
      <c r="D35" s="195">
        <f>D34</f>
        <v>0</v>
      </c>
      <c r="E35" s="195">
        <f t="shared" ref="E35:G35" si="5">E34</f>
        <v>0</v>
      </c>
      <c r="F35" s="195">
        <f t="shared" si="5"/>
        <v>0</v>
      </c>
      <c r="G35" s="195">
        <f t="shared" si="5"/>
        <v>1800000</v>
      </c>
    </row>
    <row r="36" spans="2:7" x14ac:dyDescent="0.25">
      <c r="G36" s="261"/>
    </row>
  </sheetData>
  <mergeCells count="5">
    <mergeCell ref="E11:E12"/>
    <mergeCell ref="C11:C12"/>
    <mergeCell ref="G11:G12"/>
    <mergeCell ref="D11:D12"/>
    <mergeCell ref="F11:F12"/>
  </mergeCells>
  <conditionalFormatting sqref="D35:G35">
    <cfRule type="cellIs" dxfId="1" priority="2" stopIfTrue="1" operator="equal">
      <formula>0</formula>
    </cfRule>
  </conditionalFormatting>
  <conditionalFormatting sqref="C35">
    <cfRule type="cellIs" dxfId="0" priority="1" stopIfTrue="1" operator="equal">
      <formula>0</formula>
    </cfRule>
  </conditionalFormatting>
  <pageMargins left="0.70866141732283472" right="0.70866141732283472" top="0.74803149606299213" bottom="0.74803149606299213" header="0.31496062992125984" footer="0.31496062992125984"/>
  <pageSetup scale="84" orientation="landscape"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zoomScale="110" zoomScaleNormal="110" zoomScalePageLayoutView="110" workbookViewId="0">
      <selection activeCell="A9" sqref="A9"/>
    </sheetView>
  </sheetViews>
  <sheetFormatPr baseColWidth="10" defaultColWidth="11.42578125" defaultRowHeight="12.75" x14ac:dyDescent="0.2"/>
  <cols>
    <col min="1" max="1" width="73.42578125" style="127" customWidth="1"/>
    <col min="2" max="2" width="38.42578125" style="158" customWidth="1"/>
    <col min="3" max="256" width="9.140625" style="127" customWidth="1"/>
    <col min="257" max="257" width="73.42578125" style="127" customWidth="1"/>
    <col min="258" max="258" width="24.42578125" style="127" customWidth="1"/>
    <col min="259" max="512" width="9.140625" style="127" customWidth="1"/>
    <col min="513" max="513" width="73.42578125" style="127" customWidth="1"/>
    <col min="514" max="514" width="24.42578125" style="127" customWidth="1"/>
    <col min="515" max="768" width="9.140625" style="127" customWidth="1"/>
    <col min="769" max="769" width="73.42578125" style="127" customWidth="1"/>
    <col min="770" max="770" width="24.42578125" style="127" customWidth="1"/>
    <col min="771" max="1024" width="9.140625" style="127" customWidth="1"/>
    <col min="1025" max="1025" width="73.42578125" style="127" customWidth="1"/>
    <col min="1026" max="1026" width="24.42578125" style="127" customWidth="1"/>
    <col min="1027" max="1280" width="9.140625" style="127" customWidth="1"/>
    <col min="1281" max="1281" width="73.42578125" style="127" customWidth="1"/>
    <col min="1282" max="1282" width="24.42578125" style="127" customWidth="1"/>
    <col min="1283" max="1536" width="9.140625" style="127" customWidth="1"/>
    <col min="1537" max="1537" width="73.42578125" style="127" customWidth="1"/>
    <col min="1538" max="1538" width="24.42578125" style="127" customWidth="1"/>
    <col min="1539" max="1792" width="9.140625" style="127" customWidth="1"/>
    <col min="1793" max="1793" width="73.42578125" style="127" customWidth="1"/>
    <col min="1794" max="1794" width="24.42578125" style="127" customWidth="1"/>
    <col min="1795" max="2048" width="9.140625" style="127" customWidth="1"/>
    <col min="2049" max="2049" width="73.42578125" style="127" customWidth="1"/>
    <col min="2050" max="2050" width="24.42578125" style="127" customWidth="1"/>
    <col min="2051" max="2304" width="9.140625" style="127" customWidth="1"/>
    <col min="2305" max="2305" width="73.42578125" style="127" customWidth="1"/>
    <col min="2306" max="2306" width="24.42578125" style="127" customWidth="1"/>
    <col min="2307" max="2560" width="9.140625" style="127" customWidth="1"/>
    <col min="2561" max="2561" width="73.42578125" style="127" customWidth="1"/>
    <col min="2562" max="2562" width="24.42578125" style="127" customWidth="1"/>
    <col min="2563" max="2816" width="9.140625" style="127" customWidth="1"/>
    <col min="2817" max="2817" width="73.42578125" style="127" customWidth="1"/>
    <col min="2818" max="2818" width="24.42578125" style="127" customWidth="1"/>
    <col min="2819" max="3072" width="9.140625" style="127" customWidth="1"/>
    <col min="3073" max="3073" width="73.42578125" style="127" customWidth="1"/>
    <col min="3074" max="3074" width="24.42578125" style="127" customWidth="1"/>
    <col min="3075" max="3328" width="9.140625" style="127" customWidth="1"/>
    <col min="3329" max="3329" width="73.42578125" style="127" customWidth="1"/>
    <col min="3330" max="3330" width="24.42578125" style="127" customWidth="1"/>
    <col min="3331" max="3584" width="9.140625" style="127" customWidth="1"/>
    <col min="3585" max="3585" width="73.42578125" style="127" customWidth="1"/>
    <col min="3586" max="3586" width="24.42578125" style="127" customWidth="1"/>
    <col min="3587" max="3840" width="9.140625" style="127" customWidth="1"/>
    <col min="3841" max="3841" width="73.42578125" style="127" customWidth="1"/>
    <col min="3842" max="3842" width="24.42578125" style="127" customWidth="1"/>
    <col min="3843" max="4096" width="9.140625" style="127" customWidth="1"/>
    <col min="4097" max="4097" width="73.42578125" style="127" customWidth="1"/>
    <col min="4098" max="4098" width="24.42578125" style="127" customWidth="1"/>
    <col min="4099" max="4352" width="9.140625" style="127" customWidth="1"/>
    <col min="4353" max="4353" width="73.42578125" style="127" customWidth="1"/>
    <col min="4354" max="4354" width="24.42578125" style="127" customWidth="1"/>
    <col min="4355" max="4608" width="9.140625" style="127" customWidth="1"/>
    <col min="4609" max="4609" width="73.42578125" style="127" customWidth="1"/>
    <col min="4610" max="4610" width="24.42578125" style="127" customWidth="1"/>
    <col min="4611" max="4864" width="9.140625" style="127" customWidth="1"/>
    <col min="4865" max="4865" width="73.42578125" style="127" customWidth="1"/>
    <col min="4866" max="4866" width="24.42578125" style="127" customWidth="1"/>
    <col min="4867" max="5120" width="9.140625" style="127" customWidth="1"/>
    <col min="5121" max="5121" width="73.42578125" style="127" customWidth="1"/>
    <col min="5122" max="5122" width="24.42578125" style="127" customWidth="1"/>
    <col min="5123" max="5376" width="9.140625" style="127" customWidth="1"/>
    <col min="5377" max="5377" width="73.42578125" style="127" customWidth="1"/>
    <col min="5378" max="5378" width="24.42578125" style="127" customWidth="1"/>
    <col min="5379" max="5632" width="9.140625" style="127" customWidth="1"/>
    <col min="5633" max="5633" width="73.42578125" style="127" customWidth="1"/>
    <col min="5634" max="5634" width="24.42578125" style="127" customWidth="1"/>
    <col min="5635" max="5888" width="9.140625" style="127" customWidth="1"/>
    <col min="5889" max="5889" width="73.42578125" style="127" customWidth="1"/>
    <col min="5890" max="5890" width="24.42578125" style="127" customWidth="1"/>
    <col min="5891" max="6144" width="9.140625" style="127" customWidth="1"/>
    <col min="6145" max="6145" width="73.42578125" style="127" customWidth="1"/>
    <col min="6146" max="6146" width="24.42578125" style="127" customWidth="1"/>
    <col min="6147" max="6400" width="9.140625" style="127" customWidth="1"/>
    <col min="6401" max="6401" width="73.42578125" style="127" customWidth="1"/>
    <col min="6402" max="6402" width="24.42578125" style="127" customWidth="1"/>
    <col min="6403" max="6656" width="9.140625" style="127" customWidth="1"/>
    <col min="6657" max="6657" width="73.42578125" style="127" customWidth="1"/>
    <col min="6658" max="6658" width="24.42578125" style="127" customWidth="1"/>
    <col min="6659" max="6912" width="9.140625" style="127" customWidth="1"/>
    <col min="6913" max="6913" width="73.42578125" style="127" customWidth="1"/>
    <col min="6914" max="6914" width="24.42578125" style="127" customWidth="1"/>
    <col min="6915" max="7168" width="9.140625" style="127" customWidth="1"/>
    <col min="7169" max="7169" width="73.42578125" style="127" customWidth="1"/>
    <col min="7170" max="7170" width="24.42578125" style="127" customWidth="1"/>
    <col min="7171" max="7424" width="9.140625" style="127" customWidth="1"/>
    <col min="7425" max="7425" width="73.42578125" style="127" customWidth="1"/>
    <col min="7426" max="7426" width="24.42578125" style="127" customWidth="1"/>
    <col min="7427" max="7680" width="9.140625" style="127" customWidth="1"/>
    <col min="7681" max="7681" width="73.42578125" style="127" customWidth="1"/>
    <col min="7682" max="7682" width="24.42578125" style="127" customWidth="1"/>
    <col min="7683" max="7936" width="9.140625" style="127" customWidth="1"/>
    <col min="7937" max="7937" width="73.42578125" style="127" customWidth="1"/>
    <col min="7938" max="7938" width="24.42578125" style="127" customWidth="1"/>
    <col min="7939" max="8192" width="9.140625" style="127" customWidth="1"/>
    <col min="8193" max="8193" width="73.42578125" style="127" customWidth="1"/>
    <col min="8194" max="8194" width="24.42578125" style="127" customWidth="1"/>
    <col min="8195" max="8448" width="9.140625" style="127" customWidth="1"/>
    <col min="8449" max="8449" width="73.42578125" style="127" customWidth="1"/>
    <col min="8450" max="8450" width="24.42578125" style="127" customWidth="1"/>
    <col min="8451" max="8704" width="9.140625" style="127" customWidth="1"/>
    <col min="8705" max="8705" width="73.42578125" style="127" customWidth="1"/>
    <col min="8706" max="8706" width="24.42578125" style="127" customWidth="1"/>
    <col min="8707" max="8960" width="9.140625" style="127" customWidth="1"/>
    <col min="8961" max="8961" width="73.42578125" style="127" customWidth="1"/>
    <col min="8962" max="8962" width="24.42578125" style="127" customWidth="1"/>
    <col min="8963" max="9216" width="9.140625" style="127" customWidth="1"/>
    <col min="9217" max="9217" width="73.42578125" style="127" customWidth="1"/>
    <col min="9218" max="9218" width="24.42578125" style="127" customWidth="1"/>
    <col min="9219" max="9472" width="9.140625" style="127" customWidth="1"/>
    <col min="9473" max="9473" width="73.42578125" style="127" customWidth="1"/>
    <col min="9474" max="9474" width="24.42578125" style="127" customWidth="1"/>
    <col min="9475" max="9728" width="9.140625" style="127" customWidth="1"/>
    <col min="9729" max="9729" width="73.42578125" style="127" customWidth="1"/>
    <col min="9730" max="9730" width="24.42578125" style="127" customWidth="1"/>
    <col min="9731" max="9984" width="9.140625" style="127" customWidth="1"/>
    <col min="9985" max="9985" width="73.42578125" style="127" customWidth="1"/>
    <col min="9986" max="9986" width="24.42578125" style="127" customWidth="1"/>
    <col min="9987" max="10240" width="9.140625" style="127" customWidth="1"/>
    <col min="10241" max="10241" width="73.42578125" style="127" customWidth="1"/>
    <col min="10242" max="10242" width="24.42578125" style="127" customWidth="1"/>
    <col min="10243" max="10496" width="9.140625" style="127" customWidth="1"/>
    <col min="10497" max="10497" width="73.42578125" style="127" customWidth="1"/>
    <col min="10498" max="10498" width="24.42578125" style="127" customWidth="1"/>
    <col min="10499" max="10752" width="9.140625" style="127" customWidth="1"/>
    <col min="10753" max="10753" width="73.42578125" style="127" customWidth="1"/>
    <col min="10754" max="10754" width="24.42578125" style="127" customWidth="1"/>
    <col min="10755" max="11008" width="9.140625" style="127" customWidth="1"/>
    <col min="11009" max="11009" width="73.42578125" style="127" customWidth="1"/>
    <col min="11010" max="11010" width="24.42578125" style="127" customWidth="1"/>
    <col min="11011" max="11264" width="9.140625" style="127" customWidth="1"/>
    <col min="11265" max="11265" width="73.42578125" style="127" customWidth="1"/>
    <col min="11266" max="11266" width="24.42578125" style="127" customWidth="1"/>
    <col min="11267" max="11520" width="9.140625" style="127" customWidth="1"/>
    <col min="11521" max="11521" width="73.42578125" style="127" customWidth="1"/>
    <col min="11522" max="11522" width="24.42578125" style="127" customWidth="1"/>
    <col min="11523" max="11776" width="9.140625" style="127" customWidth="1"/>
    <col min="11777" max="11777" width="73.42578125" style="127" customWidth="1"/>
    <col min="11778" max="11778" width="24.42578125" style="127" customWidth="1"/>
    <col min="11779" max="12032" width="9.140625" style="127" customWidth="1"/>
    <col min="12033" max="12033" width="73.42578125" style="127" customWidth="1"/>
    <col min="12034" max="12034" width="24.42578125" style="127" customWidth="1"/>
    <col min="12035" max="12288" width="9.140625" style="127" customWidth="1"/>
    <col min="12289" max="12289" width="73.42578125" style="127" customWidth="1"/>
    <col min="12290" max="12290" width="24.42578125" style="127" customWidth="1"/>
    <col min="12291" max="12544" width="9.140625" style="127" customWidth="1"/>
    <col min="12545" max="12545" width="73.42578125" style="127" customWidth="1"/>
    <col min="12546" max="12546" width="24.42578125" style="127" customWidth="1"/>
    <col min="12547" max="12800" width="9.140625" style="127" customWidth="1"/>
    <col min="12801" max="12801" width="73.42578125" style="127" customWidth="1"/>
    <col min="12802" max="12802" width="24.42578125" style="127" customWidth="1"/>
    <col min="12803" max="13056" width="9.140625" style="127" customWidth="1"/>
    <col min="13057" max="13057" width="73.42578125" style="127" customWidth="1"/>
    <col min="13058" max="13058" width="24.42578125" style="127" customWidth="1"/>
    <col min="13059" max="13312" width="9.140625" style="127" customWidth="1"/>
    <col min="13313" max="13313" width="73.42578125" style="127" customWidth="1"/>
    <col min="13314" max="13314" width="24.42578125" style="127" customWidth="1"/>
    <col min="13315" max="13568" width="9.140625" style="127" customWidth="1"/>
    <col min="13569" max="13569" width="73.42578125" style="127" customWidth="1"/>
    <col min="13570" max="13570" width="24.42578125" style="127" customWidth="1"/>
    <col min="13571" max="13824" width="9.140625" style="127" customWidth="1"/>
    <col min="13825" max="13825" width="73.42578125" style="127" customWidth="1"/>
    <col min="13826" max="13826" width="24.42578125" style="127" customWidth="1"/>
    <col min="13827" max="14080" width="9.140625" style="127" customWidth="1"/>
    <col min="14081" max="14081" width="73.42578125" style="127" customWidth="1"/>
    <col min="14082" max="14082" width="24.42578125" style="127" customWidth="1"/>
    <col min="14083" max="14336" width="9.140625" style="127" customWidth="1"/>
    <col min="14337" max="14337" width="73.42578125" style="127" customWidth="1"/>
    <col min="14338" max="14338" width="24.42578125" style="127" customWidth="1"/>
    <col min="14339" max="14592" width="9.140625" style="127" customWidth="1"/>
    <col min="14593" max="14593" width="73.42578125" style="127" customWidth="1"/>
    <col min="14594" max="14594" width="24.42578125" style="127" customWidth="1"/>
    <col min="14595" max="14848" width="9.140625" style="127" customWidth="1"/>
    <col min="14849" max="14849" width="73.42578125" style="127" customWidth="1"/>
    <col min="14850" max="14850" width="24.42578125" style="127" customWidth="1"/>
    <col min="14851" max="15104" width="9.140625" style="127" customWidth="1"/>
    <col min="15105" max="15105" width="73.42578125" style="127" customWidth="1"/>
    <col min="15106" max="15106" width="24.42578125" style="127" customWidth="1"/>
    <col min="15107" max="15360" width="9.140625" style="127" customWidth="1"/>
    <col min="15361" max="15361" width="73.42578125" style="127" customWidth="1"/>
    <col min="15362" max="15362" width="24.42578125" style="127" customWidth="1"/>
    <col min="15363" max="15616" width="9.140625" style="127" customWidth="1"/>
    <col min="15617" max="15617" width="73.42578125" style="127" customWidth="1"/>
    <col min="15618" max="15618" width="24.42578125" style="127" customWidth="1"/>
    <col min="15619" max="15872" width="9.140625" style="127" customWidth="1"/>
    <col min="15873" max="15873" width="73.42578125" style="127" customWidth="1"/>
    <col min="15874" max="15874" width="24.42578125" style="127" customWidth="1"/>
    <col min="15875" max="16128" width="9.140625" style="127" customWidth="1"/>
    <col min="16129" max="16129" width="73.42578125" style="127" customWidth="1"/>
    <col min="16130" max="16130" width="24.42578125" style="127" customWidth="1"/>
    <col min="16131" max="16384" width="9.140625" style="127" customWidth="1"/>
  </cols>
  <sheetData>
    <row r="1" spans="1:6" ht="15.75" x14ac:dyDescent="0.25">
      <c r="A1" s="125" t="s">
        <v>43</v>
      </c>
      <c r="B1" s="126"/>
    </row>
    <row r="2" spans="1:6" ht="15.75" x14ac:dyDescent="0.25">
      <c r="A2" s="128"/>
      <c r="B2" s="129"/>
    </row>
    <row r="3" spans="1:6" ht="16.5" thickBot="1" x14ac:dyDescent="0.3">
      <c r="A3" s="365" t="s">
        <v>44</v>
      </c>
      <c r="B3" s="366"/>
    </row>
    <row r="4" spans="1:6" x14ac:dyDescent="0.2">
      <c r="A4" s="130" t="s">
        <v>45</v>
      </c>
      <c r="B4" s="131" t="s">
        <v>83</v>
      </c>
    </row>
    <row r="5" spans="1:6" ht="30" customHeight="1" x14ac:dyDescent="0.2">
      <c r="A5" s="132" t="s">
        <v>46</v>
      </c>
      <c r="B5" s="133" t="s">
        <v>47</v>
      </c>
      <c r="C5" s="134"/>
    </row>
    <row r="6" spans="1:6" x14ac:dyDescent="0.2">
      <c r="A6" s="135" t="s">
        <v>48</v>
      </c>
      <c r="B6" s="136" t="s">
        <v>262</v>
      </c>
    </row>
    <row r="7" spans="1:6" x14ac:dyDescent="0.2">
      <c r="A7" s="137" t="s">
        <v>49</v>
      </c>
      <c r="B7" s="136" t="s">
        <v>85</v>
      </c>
    </row>
    <row r="8" spans="1:6" x14ac:dyDescent="0.2">
      <c r="A8" s="132" t="s">
        <v>50</v>
      </c>
      <c r="B8" s="138" t="s">
        <v>84</v>
      </c>
    </row>
    <row r="9" spans="1:6" x14ac:dyDescent="0.2">
      <c r="A9" s="132" t="s">
        <v>51</v>
      </c>
      <c r="B9" s="136" t="s">
        <v>261</v>
      </c>
    </row>
    <row r="10" spans="1:6" x14ac:dyDescent="0.2">
      <c r="A10" s="132" t="s">
        <v>52</v>
      </c>
      <c r="B10" s="139">
        <v>42622</v>
      </c>
    </row>
    <row r="11" spans="1:6" x14ac:dyDescent="0.2">
      <c r="A11" s="132" t="s">
        <v>53</v>
      </c>
      <c r="B11" s="139">
        <v>42552</v>
      </c>
    </row>
    <row r="12" spans="1:6" x14ac:dyDescent="0.2">
      <c r="A12" s="132" t="s">
        <v>54</v>
      </c>
      <c r="B12" s="139">
        <f>DATE(YEAR(B11),MONTH(B11)+3,DAY(B11))-1</f>
        <v>42643</v>
      </c>
    </row>
    <row r="13" spans="1:6" x14ac:dyDescent="0.2">
      <c r="A13" s="132" t="s">
        <v>55</v>
      </c>
      <c r="B13" s="136">
        <v>1</v>
      </c>
    </row>
    <row r="14" spans="1:6" x14ac:dyDescent="0.2">
      <c r="A14" s="140" t="s">
        <v>56</v>
      </c>
      <c r="B14" s="136" t="s">
        <v>57</v>
      </c>
    </row>
    <row r="15" spans="1:6" ht="25.5" x14ac:dyDescent="0.2">
      <c r="A15" s="141" t="s">
        <v>58</v>
      </c>
      <c r="B15" s="136"/>
    </row>
    <row r="16" spans="1:6" ht="32.25" customHeight="1" x14ac:dyDescent="0.2">
      <c r="A16" s="367" t="s">
        <v>163</v>
      </c>
      <c r="B16" s="368"/>
      <c r="C16" s="245"/>
      <c r="D16" s="245"/>
      <c r="E16" s="245"/>
      <c r="F16" s="245"/>
    </row>
    <row r="17" spans="1:2" ht="18.75" customHeight="1" x14ac:dyDescent="0.2">
      <c r="A17" s="132" t="s">
        <v>59</v>
      </c>
      <c r="B17" s="144">
        <f>'DFP-CASH'!H54</f>
        <v>16000</v>
      </c>
    </row>
    <row r="18" spans="1:2" ht="20.25" customHeight="1" x14ac:dyDescent="0.2">
      <c r="A18" s="132" t="s">
        <v>60</v>
      </c>
      <c r="B18" s="142"/>
    </row>
    <row r="19" spans="1:2" ht="18.75" customHeight="1" x14ac:dyDescent="0.2">
      <c r="A19" s="132" t="s">
        <v>61</v>
      </c>
      <c r="B19" s="143"/>
    </row>
    <row r="20" spans="1:2" ht="18.75" customHeight="1" x14ac:dyDescent="0.2">
      <c r="A20" s="132" t="s">
        <v>62</v>
      </c>
      <c r="B20" s="142">
        <v>0</v>
      </c>
    </row>
    <row r="21" spans="1:2" ht="18.75" customHeight="1" x14ac:dyDescent="0.2">
      <c r="A21" s="132" t="s">
        <v>63</v>
      </c>
      <c r="B21" s="144">
        <f>B17+B18+B19-B20</f>
        <v>16000</v>
      </c>
    </row>
    <row r="22" spans="1:2" ht="18" customHeight="1" x14ac:dyDescent="0.2">
      <c r="A22" s="132" t="s">
        <v>64</v>
      </c>
      <c r="B22" s="145"/>
    </row>
    <row r="23" spans="1:2" ht="39.950000000000003" customHeight="1" x14ac:dyDescent="0.2">
      <c r="A23" s="369" t="s">
        <v>65</v>
      </c>
      <c r="B23" s="369"/>
    </row>
    <row r="24" spans="1:2" ht="58.5" customHeight="1" x14ac:dyDescent="0.2">
      <c r="A24" s="369" t="s">
        <v>66</v>
      </c>
      <c r="B24" s="369"/>
    </row>
    <row r="25" spans="1:2" ht="33" customHeight="1" x14ac:dyDescent="0.2">
      <c r="A25" s="369" t="s">
        <v>67</v>
      </c>
      <c r="B25" s="370"/>
    </row>
    <row r="26" spans="1:2" ht="50.1" customHeight="1" x14ac:dyDescent="0.2">
      <c r="A26" s="369" t="s">
        <v>170</v>
      </c>
      <c r="B26" s="369"/>
    </row>
    <row r="27" spans="1:2" ht="20.100000000000001" customHeight="1" x14ac:dyDescent="0.2">
      <c r="A27" s="146"/>
      <c r="B27" s="147"/>
    </row>
    <row r="28" spans="1:2" ht="20.100000000000001" customHeight="1" x14ac:dyDescent="0.2">
      <c r="A28" s="361" t="s">
        <v>82</v>
      </c>
      <c r="B28" s="362"/>
    </row>
    <row r="29" spans="1:2" ht="20.100000000000001" customHeight="1" x14ac:dyDescent="0.2">
      <c r="A29" s="148" t="s">
        <v>68</v>
      </c>
      <c r="B29" s="149"/>
    </row>
    <row r="30" spans="1:2" ht="20.100000000000001" customHeight="1" x14ac:dyDescent="0.2">
      <c r="A30" s="148" t="s">
        <v>69</v>
      </c>
      <c r="B30" s="149"/>
    </row>
    <row r="31" spans="1:2" ht="20.100000000000001" customHeight="1" x14ac:dyDescent="0.2">
      <c r="A31" s="148" t="s">
        <v>70</v>
      </c>
      <c r="B31" s="149"/>
    </row>
    <row r="32" spans="1:2" ht="20.100000000000001" customHeight="1" x14ac:dyDescent="0.2">
      <c r="A32" s="150"/>
      <c r="B32" s="151"/>
    </row>
    <row r="33" spans="1:2" ht="20.100000000000001" customHeight="1" x14ac:dyDescent="0.2">
      <c r="A33" s="363" t="s">
        <v>263</v>
      </c>
      <c r="B33" s="364"/>
    </row>
    <row r="34" spans="1:2" ht="20.100000000000001" customHeight="1" x14ac:dyDescent="0.2">
      <c r="A34" s="148" t="s">
        <v>68</v>
      </c>
      <c r="B34" s="149"/>
    </row>
    <row r="35" spans="1:2" ht="20.100000000000001" customHeight="1" x14ac:dyDescent="0.2">
      <c r="A35" s="148" t="s">
        <v>71</v>
      </c>
      <c r="B35" s="149"/>
    </row>
    <row r="36" spans="1:2" ht="20.100000000000001" customHeight="1" x14ac:dyDescent="0.2">
      <c r="A36" s="148" t="s">
        <v>70</v>
      </c>
      <c r="B36" s="149"/>
    </row>
    <row r="37" spans="1:2" ht="20.100000000000001" customHeight="1" x14ac:dyDescent="0.2">
      <c r="A37" s="150"/>
      <c r="B37" s="151"/>
    </row>
    <row r="38" spans="1:2" ht="20.100000000000001" customHeight="1" x14ac:dyDescent="0.2">
      <c r="A38" s="146"/>
      <c r="B38" s="147"/>
    </row>
    <row r="39" spans="1:2" ht="20.100000000000001" customHeight="1" x14ac:dyDescent="0.2">
      <c r="A39" s="361"/>
      <c r="B39" s="362"/>
    </row>
    <row r="40" spans="1:2" ht="20.100000000000001" customHeight="1" x14ac:dyDescent="0.2">
      <c r="A40" s="150" t="s">
        <v>68</v>
      </c>
      <c r="B40" s="149"/>
    </row>
    <row r="41" spans="1:2" ht="20.100000000000001" customHeight="1" thickBot="1" x14ac:dyDescent="0.25">
      <c r="A41" s="152" t="s">
        <v>71</v>
      </c>
      <c r="B41" s="149"/>
    </row>
    <row r="42" spans="1:2" ht="20.100000000000001" customHeight="1" x14ac:dyDescent="0.2">
      <c r="A42" s="148" t="s">
        <v>72</v>
      </c>
      <c r="B42" s="149"/>
    </row>
    <row r="43" spans="1:2" ht="20.100000000000001" customHeight="1" x14ac:dyDescent="0.2">
      <c r="A43" s="153"/>
      <c r="B43" s="151"/>
    </row>
    <row r="44" spans="1:2" x14ac:dyDescent="0.2">
      <c r="A44" s="154"/>
      <c r="B44" s="155"/>
    </row>
    <row r="45" spans="1:2" x14ac:dyDescent="0.2">
      <c r="A45" s="156"/>
      <c r="B45" s="157"/>
    </row>
  </sheetData>
  <mergeCells count="9">
    <mergeCell ref="A28:B28"/>
    <mergeCell ref="A33:B33"/>
    <mergeCell ref="A39:B39"/>
    <mergeCell ref="A3:B3"/>
    <mergeCell ref="A16:B16"/>
    <mergeCell ref="A23:B23"/>
    <mergeCell ref="A24:B24"/>
    <mergeCell ref="A25:B25"/>
    <mergeCell ref="A26:B26"/>
  </mergeCells>
  <pageMargins left="0.44" right="0.41" top="0.51" bottom="0.43" header="0.28999999999999998" footer="0.26"/>
  <pageSetup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2"/>
  <sheetViews>
    <sheetView zoomScale="116" workbookViewId="0">
      <pane xSplit="3" ySplit="2" topLeftCell="G16" activePane="bottomRight" state="frozen"/>
      <selection pane="topRight" activeCell="D1" sqref="D1"/>
      <selection pane="bottomLeft" activeCell="A3" sqref="A3"/>
      <selection pane="bottomRight" activeCell="B1" sqref="B1:C1048576"/>
    </sheetView>
  </sheetViews>
  <sheetFormatPr baseColWidth="10" defaultColWidth="8.85546875" defaultRowHeight="15" x14ac:dyDescent="0.25"/>
  <cols>
    <col min="2" max="2" width="30.7109375" hidden="1" customWidth="1"/>
    <col min="3" max="3" width="39.28515625" hidden="1" customWidth="1"/>
    <col min="4" max="4" width="14" customWidth="1"/>
    <col min="5" max="5" width="3.7109375" customWidth="1"/>
    <col min="6" max="6" width="14" customWidth="1"/>
    <col min="7" max="7" width="13.140625" customWidth="1"/>
    <col min="8" max="8" width="9.7109375" customWidth="1"/>
    <col min="9" max="22" width="8" customWidth="1"/>
    <col min="23" max="24" width="12" customWidth="1"/>
    <col min="25" max="25" width="13.140625" customWidth="1"/>
    <col min="26" max="26" width="11" customWidth="1"/>
    <col min="27" max="36" width="10.42578125" customWidth="1"/>
    <col min="37" max="37" width="12.28515625" customWidth="1"/>
    <col min="38" max="40" width="10.42578125" customWidth="1"/>
    <col min="42" max="56" width="11.28515625" customWidth="1"/>
    <col min="58" max="58" width="11.7109375" customWidth="1"/>
  </cols>
  <sheetData>
    <row r="1" spans="1:58" x14ac:dyDescent="0.25">
      <c r="D1" s="251">
        <f>SUM(D2:D47)</f>
        <v>26278500</v>
      </c>
      <c r="F1" s="277" t="s">
        <v>234</v>
      </c>
      <c r="H1" t="s">
        <v>195</v>
      </c>
      <c r="W1" t="s">
        <v>209</v>
      </c>
      <c r="Z1" s="256" t="s">
        <v>216</v>
      </c>
      <c r="AA1" s="256"/>
      <c r="AB1" s="256"/>
      <c r="AC1" s="256"/>
      <c r="AD1" s="256"/>
      <c r="AE1" s="256"/>
      <c r="AF1" s="256"/>
      <c r="AG1" s="256"/>
      <c r="AH1" s="256"/>
      <c r="AI1" s="256"/>
      <c r="AJ1" s="256"/>
      <c r="AK1" s="256"/>
      <c r="AL1" s="256"/>
      <c r="AM1" s="256"/>
      <c r="AN1" s="256"/>
      <c r="AO1" s="257"/>
      <c r="AP1" s="256" t="s">
        <v>217</v>
      </c>
      <c r="AQ1" s="256"/>
      <c r="AR1" s="256"/>
      <c r="AS1" s="256"/>
      <c r="AT1" s="256"/>
      <c r="AU1" s="256"/>
      <c r="AV1" s="256"/>
      <c r="AW1" s="256"/>
      <c r="AX1" s="256"/>
      <c r="AY1" s="256"/>
      <c r="AZ1" s="256"/>
      <c r="BA1" s="256"/>
      <c r="BB1" s="256"/>
      <c r="BC1" s="256"/>
      <c r="BD1" s="256"/>
    </row>
    <row r="2" spans="1:58" x14ac:dyDescent="0.25">
      <c r="A2" t="s">
        <v>171</v>
      </c>
      <c r="C2" t="s">
        <v>191</v>
      </c>
      <c r="D2" t="s">
        <v>193</v>
      </c>
      <c r="E2" s="251"/>
      <c r="F2" s="278" t="s">
        <v>235</v>
      </c>
      <c r="H2" s="248">
        <v>42552</v>
      </c>
      <c r="I2" s="248">
        <v>42644</v>
      </c>
      <c r="J2" s="248">
        <v>42736</v>
      </c>
      <c r="K2" s="248">
        <v>42826</v>
      </c>
      <c r="L2" s="248">
        <v>42917</v>
      </c>
      <c r="M2" s="248">
        <v>43009</v>
      </c>
      <c r="N2" s="248">
        <v>43101</v>
      </c>
      <c r="O2" s="248">
        <v>43191</v>
      </c>
      <c r="P2" s="248">
        <v>43282</v>
      </c>
      <c r="Q2" s="248">
        <v>43374</v>
      </c>
      <c r="R2" s="248">
        <v>43466</v>
      </c>
      <c r="S2" s="248">
        <v>43556</v>
      </c>
      <c r="T2" s="248">
        <v>43647</v>
      </c>
      <c r="U2" s="248">
        <v>43739</v>
      </c>
      <c r="V2" s="248">
        <v>43831</v>
      </c>
      <c r="Z2" s="258">
        <v>42552</v>
      </c>
      <c r="AA2" s="258">
        <v>42644</v>
      </c>
      <c r="AB2" s="258">
        <v>42736</v>
      </c>
      <c r="AC2" s="258">
        <v>42826</v>
      </c>
      <c r="AD2" s="258">
        <v>42917</v>
      </c>
      <c r="AE2" s="258">
        <v>43009</v>
      </c>
      <c r="AF2" s="258">
        <v>43101</v>
      </c>
      <c r="AG2" s="258">
        <v>43191</v>
      </c>
      <c r="AH2" s="258">
        <v>43282</v>
      </c>
      <c r="AI2" s="258">
        <v>43374</v>
      </c>
      <c r="AJ2" s="258">
        <v>43466</v>
      </c>
      <c r="AK2" s="258">
        <v>43556</v>
      </c>
      <c r="AL2" s="258">
        <v>43647</v>
      </c>
      <c r="AM2" s="258">
        <v>43739</v>
      </c>
      <c r="AN2" s="258">
        <v>43831</v>
      </c>
      <c r="AO2" s="257"/>
      <c r="AP2" s="258">
        <v>42552</v>
      </c>
      <c r="AQ2" s="258">
        <v>42644</v>
      </c>
      <c r="AR2" s="258">
        <v>42736</v>
      </c>
      <c r="AS2" s="258">
        <v>42826</v>
      </c>
      <c r="AT2" s="258">
        <v>42917</v>
      </c>
      <c r="AU2" s="258">
        <v>43009</v>
      </c>
      <c r="AV2" s="258">
        <v>43101</v>
      </c>
      <c r="AW2" s="258">
        <v>43191</v>
      </c>
      <c r="AX2" s="258">
        <v>43282</v>
      </c>
      <c r="AY2" s="258">
        <v>43374</v>
      </c>
      <c r="AZ2" s="258">
        <v>43466</v>
      </c>
      <c r="BA2" s="258">
        <v>43556</v>
      </c>
      <c r="BB2" s="258">
        <v>43647</v>
      </c>
      <c r="BC2" s="258">
        <v>43739</v>
      </c>
      <c r="BD2" s="258">
        <v>43831</v>
      </c>
      <c r="BF2" t="s">
        <v>222</v>
      </c>
    </row>
    <row r="3" spans="1:58" x14ac:dyDescent="0.25">
      <c r="G3" t="s">
        <v>194</v>
      </c>
      <c r="H3" t="s">
        <v>192</v>
      </c>
      <c r="I3" t="s">
        <v>196</v>
      </c>
      <c r="J3" t="s">
        <v>197</v>
      </c>
      <c r="K3" t="s">
        <v>198</v>
      </c>
      <c r="L3" t="s">
        <v>199</v>
      </c>
      <c r="M3" t="s">
        <v>200</v>
      </c>
      <c r="N3" t="s">
        <v>201</v>
      </c>
      <c r="O3" t="s">
        <v>202</v>
      </c>
      <c r="P3" t="s">
        <v>203</v>
      </c>
      <c r="Q3" t="s">
        <v>204</v>
      </c>
      <c r="R3" t="s">
        <v>205</v>
      </c>
      <c r="S3" t="s">
        <v>206</v>
      </c>
      <c r="T3" t="s">
        <v>207</v>
      </c>
      <c r="U3" t="s">
        <v>208</v>
      </c>
      <c r="V3" t="s">
        <v>210</v>
      </c>
      <c r="Z3" s="256" t="s">
        <v>192</v>
      </c>
      <c r="AA3" s="256" t="s">
        <v>196</v>
      </c>
      <c r="AB3" s="256" t="s">
        <v>197</v>
      </c>
      <c r="AC3" s="256" t="s">
        <v>198</v>
      </c>
      <c r="AD3" s="256" t="s">
        <v>199</v>
      </c>
      <c r="AE3" s="256" t="s">
        <v>200</v>
      </c>
      <c r="AF3" s="256" t="s">
        <v>201</v>
      </c>
      <c r="AG3" s="256" t="s">
        <v>202</v>
      </c>
      <c r="AH3" s="256" t="s">
        <v>203</v>
      </c>
      <c r="AI3" s="256" t="s">
        <v>204</v>
      </c>
      <c r="AJ3" s="256" t="s">
        <v>205</v>
      </c>
      <c r="AK3" s="256" t="s">
        <v>206</v>
      </c>
      <c r="AL3" s="256" t="s">
        <v>207</v>
      </c>
      <c r="AM3" s="256" t="s">
        <v>208</v>
      </c>
      <c r="AN3" s="256" t="s">
        <v>210</v>
      </c>
      <c r="AO3" s="257"/>
      <c r="AP3" s="256" t="s">
        <v>192</v>
      </c>
      <c r="AQ3" s="256" t="s">
        <v>196</v>
      </c>
      <c r="AR3" s="256" t="s">
        <v>197</v>
      </c>
      <c r="AS3" s="256" t="s">
        <v>198</v>
      </c>
      <c r="AT3" s="256" t="s">
        <v>199</v>
      </c>
      <c r="AU3" s="256" t="s">
        <v>200</v>
      </c>
      <c r="AV3" s="256" t="s">
        <v>201</v>
      </c>
      <c r="AW3" s="256" t="s">
        <v>202</v>
      </c>
      <c r="AX3" s="256" t="s">
        <v>203</v>
      </c>
      <c r="AY3" s="256" t="s">
        <v>204</v>
      </c>
      <c r="AZ3" s="256" t="s">
        <v>205</v>
      </c>
      <c r="BA3" s="256" t="s">
        <v>206</v>
      </c>
      <c r="BB3" s="256" t="s">
        <v>207</v>
      </c>
      <c r="BC3" s="256" t="s">
        <v>208</v>
      </c>
      <c r="BD3" s="256" t="s">
        <v>210</v>
      </c>
    </row>
    <row r="4" spans="1:58" x14ac:dyDescent="0.25">
      <c r="A4" t="s">
        <v>172</v>
      </c>
      <c r="B4" s="265"/>
      <c r="D4" s="251">
        <v>8000000</v>
      </c>
      <c r="E4" s="251"/>
      <c r="F4" s="251"/>
      <c r="G4" t="s">
        <v>211</v>
      </c>
      <c r="J4" s="250">
        <v>0.03</v>
      </c>
      <c r="K4" s="250">
        <v>0.05</v>
      </c>
      <c r="L4" s="250">
        <v>0.05</v>
      </c>
      <c r="M4" s="250">
        <v>0.05</v>
      </c>
      <c r="N4" s="250">
        <v>0.1</v>
      </c>
      <c r="O4" s="250">
        <v>0.1</v>
      </c>
      <c r="P4" s="250">
        <v>0.1</v>
      </c>
      <c r="Q4" s="250">
        <v>0.1</v>
      </c>
      <c r="R4" s="250">
        <v>0.1</v>
      </c>
      <c r="S4" s="250">
        <v>0.1</v>
      </c>
      <c r="T4" s="250">
        <v>0.1</v>
      </c>
      <c r="U4" s="250">
        <v>0.1</v>
      </c>
      <c r="V4" s="249">
        <v>0.02</v>
      </c>
      <c r="W4" s="249">
        <f>SUM(H4:V4)</f>
        <v>0.99999999999999989</v>
      </c>
      <c r="X4" s="266">
        <f>+D4</f>
        <v>8000000</v>
      </c>
      <c r="Y4" s="252"/>
      <c r="Z4" s="259">
        <f t="shared" ref="Z4:AN4" si="0">H4*$D4</f>
        <v>0</v>
      </c>
      <c r="AA4" s="259">
        <f t="shared" si="0"/>
        <v>0</v>
      </c>
      <c r="AB4" s="259">
        <f t="shared" si="0"/>
        <v>240000</v>
      </c>
      <c r="AC4" s="259">
        <f t="shared" si="0"/>
        <v>400000</v>
      </c>
      <c r="AD4" s="259">
        <f t="shared" si="0"/>
        <v>400000</v>
      </c>
      <c r="AE4" s="259">
        <f t="shared" si="0"/>
        <v>400000</v>
      </c>
      <c r="AF4" s="259">
        <f t="shared" si="0"/>
        <v>800000</v>
      </c>
      <c r="AG4" s="259">
        <f t="shared" si="0"/>
        <v>800000</v>
      </c>
      <c r="AH4" s="259">
        <f t="shared" si="0"/>
        <v>800000</v>
      </c>
      <c r="AI4" s="259">
        <f t="shared" si="0"/>
        <v>800000</v>
      </c>
      <c r="AJ4" s="259">
        <f t="shared" si="0"/>
        <v>800000</v>
      </c>
      <c r="AK4" s="259">
        <f t="shared" si="0"/>
        <v>800000</v>
      </c>
      <c r="AL4" s="259">
        <f t="shared" si="0"/>
        <v>800000</v>
      </c>
      <c r="AM4" s="259">
        <f t="shared" si="0"/>
        <v>800000</v>
      </c>
      <c r="AN4" s="259">
        <f t="shared" si="0"/>
        <v>160000</v>
      </c>
      <c r="AO4" s="257"/>
      <c r="AP4" s="259">
        <f t="shared" ref="AP4:BD13" si="1">IF(AP$3=$G4,$D4,0)</f>
        <v>0</v>
      </c>
      <c r="AQ4" s="259">
        <f t="shared" si="1"/>
        <v>0</v>
      </c>
      <c r="AR4" s="259">
        <f t="shared" si="1"/>
        <v>8000000</v>
      </c>
      <c r="AS4" s="259">
        <f t="shared" si="1"/>
        <v>0</v>
      </c>
      <c r="AT4" s="259">
        <f t="shared" si="1"/>
        <v>0</v>
      </c>
      <c r="AU4" s="259">
        <f t="shared" si="1"/>
        <v>0</v>
      </c>
      <c r="AV4" s="259">
        <f t="shared" si="1"/>
        <v>0</v>
      </c>
      <c r="AW4" s="259">
        <f t="shared" si="1"/>
        <v>0</v>
      </c>
      <c r="AX4" s="259">
        <f t="shared" si="1"/>
        <v>0</v>
      </c>
      <c r="AY4" s="259">
        <f t="shared" si="1"/>
        <v>0</v>
      </c>
      <c r="AZ4" s="259">
        <f t="shared" si="1"/>
        <v>0</v>
      </c>
      <c r="BA4" s="259">
        <f t="shared" si="1"/>
        <v>0</v>
      </c>
      <c r="BB4" s="259">
        <f t="shared" si="1"/>
        <v>0</v>
      </c>
      <c r="BC4" s="259">
        <f t="shared" si="1"/>
        <v>0</v>
      </c>
      <c r="BD4" s="259">
        <f t="shared" si="1"/>
        <v>0</v>
      </c>
      <c r="BF4" s="252">
        <f>SUM(Z4:AN4)-SUM(AP4:BD4)</f>
        <v>0</v>
      </c>
    </row>
    <row r="5" spans="1:58" x14ac:dyDescent="0.25">
      <c r="A5" t="s">
        <v>176</v>
      </c>
      <c r="B5" s="265"/>
      <c r="D5" s="300">
        <v>3000000</v>
      </c>
      <c r="E5" s="305" t="s">
        <v>243</v>
      </c>
      <c r="F5" s="262">
        <v>500000</v>
      </c>
      <c r="G5" t="s">
        <v>211</v>
      </c>
      <c r="J5" s="250">
        <v>0.03</v>
      </c>
      <c r="K5" s="250">
        <v>0.05</v>
      </c>
      <c r="L5" s="250">
        <v>0.05</v>
      </c>
      <c r="M5" s="250">
        <v>0.05</v>
      </c>
      <c r="N5" s="250">
        <v>0.1</v>
      </c>
      <c r="O5" s="250">
        <v>0.1</v>
      </c>
      <c r="P5" s="250">
        <v>0.1</v>
      </c>
      <c r="Q5" s="250">
        <v>0.1</v>
      </c>
      <c r="R5" s="250">
        <v>0.1</v>
      </c>
      <c r="S5" s="250">
        <v>0.1</v>
      </c>
      <c r="T5" s="250">
        <v>0.1</v>
      </c>
      <c r="U5" s="250">
        <v>0.1</v>
      </c>
      <c r="V5" s="249">
        <v>0.02</v>
      </c>
      <c r="W5" s="249">
        <f t="shared" ref="W5:W19" si="2">SUM(H5:V5)</f>
        <v>0.99999999999999989</v>
      </c>
      <c r="X5" s="266">
        <f>+D5+F5</f>
        <v>3500000</v>
      </c>
      <c r="Y5" s="252"/>
      <c r="Z5" s="259">
        <f t="shared" ref="Z5:Z15" si="3">H5*$D5</f>
        <v>0</v>
      </c>
      <c r="AA5" s="259">
        <f t="shared" ref="AA5:AA15" si="4">I5*$D5</f>
        <v>0</v>
      </c>
      <c r="AB5" s="259">
        <f t="shared" ref="AB5:AB15" si="5">J5*$D5</f>
        <v>90000</v>
      </c>
      <c r="AC5" s="259">
        <f t="shared" ref="AC5:AC15" si="6">K5*$D5</f>
        <v>150000</v>
      </c>
      <c r="AD5" s="259">
        <f t="shared" ref="AD5:AD15" si="7">L5*$D5</f>
        <v>150000</v>
      </c>
      <c r="AE5" s="259">
        <f t="shared" ref="AE5:AE15" si="8">M5*$D5</f>
        <v>150000</v>
      </c>
      <c r="AF5" s="259">
        <f t="shared" ref="AF5:AF15" si="9">N5*$D5</f>
        <v>300000</v>
      </c>
      <c r="AG5" s="259">
        <f t="shared" ref="AG5:AG15" si="10">O5*$D5</f>
        <v>300000</v>
      </c>
      <c r="AH5" s="259">
        <f t="shared" ref="AH5:AH15" si="11">P5*$D5</f>
        <v>300000</v>
      </c>
      <c r="AI5" s="259">
        <f t="shared" ref="AI5:AI15" si="12">Q5*$D5</f>
        <v>300000</v>
      </c>
      <c r="AJ5" s="259">
        <f t="shared" ref="AJ5:AJ15" si="13">R5*$D5</f>
        <v>300000</v>
      </c>
      <c r="AK5" s="259">
        <f t="shared" ref="AK5:AK15" si="14">S5*$D5</f>
        <v>300000</v>
      </c>
      <c r="AL5" s="259">
        <f t="shared" ref="AL5:AL15" si="15">T5*$D5</f>
        <v>300000</v>
      </c>
      <c r="AM5" s="259">
        <f t="shared" ref="AM5:AM15" si="16">U5*$D5</f>
        <v>300000</v>
      </c>
      <c r="AN5" s="259">
        <f t="shared" ref="AN5:AN15" si="17">V5*$D5</f>
        <v>60000</v>
      </c>
      <c r="AO5" s="257"/>
      <c r="AP5" s="259">
        <f t="shared" si="1"/>
        <v>0</v>
      </c>
      <c r="AQ5" s="259">
        <f t="shared" si="1"/>
        <v>0</v>
      </c>
      <c r="AR5" s="259">
        <f t="shared" si="1"/>
        <v>3000000</v>
      </c>
      <c r="AS5" s="259">
        <f t="shared" si="1"/>
        <v>0</v>
      </c>
      <c r="AT5" s="259">
        <f t="shared" si="1"/>
        <v>0</v>
      </c>
      <c r="AU5" s="259">
        <f t="shared" si="1"/>
        <v>0</v>
      </c>
      <c r="AV5" s="259">
        <f t="shared" si="1"/>
        <v>0</v>
      </c>
      <c r="AW5" s="259">
        <f t="shared" si="1"/>
        <v>0</v>
      </c>
      <c r="AX5" s="259">
        <f t="shared" si="1"/>
        <v>0</v>
      </c>
      <c r="AY5" s="259">
        <f t="shared" si="1"/>
        <v>0</v>
      </c>
      <c r="AZ5" s="259">
        <f t="shared" si="1"/>
        <v>0</v>
      </c>
      <c r="BA5" s="259">
        <f t="shared" si="1"/>
        <v>0</v>
      </c>
      <c r="BB5" s="259">
        <f t="shared" si="1"/>
        <v>0</v>
      </c>
      <c r="BC5" s="259">
        <f t="shared" si="1"/>
        <v>0</v>
      </c>
      <c r="BD5" s="259">
        <f t="shared" si="1"/>
        <v>0</v>
      </c>
      <c r="BF5" s="252">
        <f t="shared" ref="BF5:BF45" si="18">SUM(Z5:AN5)-SUM(AP5:BD5)</f>
        <v>0</v>
      </c>
    </row>
    <row r="6" spans="1:58" x14ac:dyDescent="0.25">
      <c r="A6" t="s">
        <v>173</v>
      </c>
      <c r="B6" s="265"/>
      <c r="D6" s="251">
        <v>3000000</v>
      </c>
      <c r="E6" s="251"/>
      <c r="F6" s="251"/>
      <c r="G6" t="s">
        <v>212</v>
      </c>
      <c r="J6" s="250"/>
      <c r="K6" s="250"/>
      <c r="L6" s="250"/>
      <c r="M6" s="250"/>
      <c r="N6" s="250">
        <v>0.125</v>
      </c>
      <c r="O6" s="250">
        <v>0.125</v>
      </c>
      <c r="P6" s="250">
        <v>0.125</v>
      </c>
      <c r="Q6" s="250">
        <v>0.125</v>
      </c>
      <c r="R6" s="250">
        <v>0.125</v>
      </c>
      <c r="S6" s="250">
        <v>0.125</v>
      </c>
      <c r="T6" s="250">
        <v>0.125</v>
      </c>
      <c r="U6" s="250">
        <v>0.125</v>
      </c>
      <c r="V6" s="249"/>
      <c r="W6" s="249">
        <f t="shared" si="2"/>
        <v>1</v>
      </c>
      <c r="X6" s="266">
        <f>+D6</f>
        <v>3000000</v>
      </c>
      <c r="Y6" s="263" t="s">
        <v>233</v>
      </c>
      <c r="Z6" s="259">
        <f t="shared" si="3"/>
        <v>0</v>
      </c>
      <c r="AA6" s="259">
        <f t="shared" si="4"/>
        <v>0</v>
      </c>
      <c r="AB6" s="259">
        <f t="shared" si="5"/>
        <v>0</v>
      </c>
      <c r="AC6" s="259">
        <f t="shared" si="6"/>
        <v>0</v>
      </c>
      <c r="AD6" s="259">
        <f t="shared" si="7"/>
        <v>0</v>
      </c>
      <c r="AE6" s="259">
        <f t="shared" si="8"/>
        <v>0</v>
      </c>
      <c r="AF6" s="259">
        <f t="shared" si="9"/>
        <v>375000</v>
      </c>
      <c r="AG6" s="259">
        <f t="shared" si="10"/>
        <v>375000</v>
      </c>
      <c r="AH6" s="259">
        <f t="shared" si="11"/>
        <v>375000</v>
      </c>
      <c r="AI6" s="259">
        <f t="shared" si="12"/>
        <v>375000</v>
      </c>
      <c r="AJ6" s="259">
        <f t="shared" si="13"/>
        <v>375000</v>
      </c>
      <c r="AK6" s="259">
        <f t="shared" si="14"/>
        <v>375000</v>
      </c>
      <c r="AL6" s="259">
        <f t="shared" si="15"/>
        <v>375000</v>
      </c>
      <c r="AM6" s="259">
        <f t="shared" si="16"/>
        <v>375000</v>
      </c>
      <c r="AN6" s="259">
        <f t="shared" si="17"/>
        <v>0</v>
      </c>
      <c r="AO6" s="257"/>
      <c r="AP6" s="259">
        <f t="shared" si="1"/>
        <v>0</v>
      </c>
      <c r="AQ6" s="259">
        <f t="shared" si="1"/>
        <v>0</v>
      </c>
      <c r="AR6" s="259">
        <f t="shared" si="1"/>
        <v>0</v>
      </c>
      <c r="AS6" s="259">
        <f t="shared" si="1"/>
        <v>0</v>
      </c>
      <c r="AT6" s="259">
        <f t="shared" si="1"/>
        <v>0</v>
      </c>
      <c r="AU6" s="259">
        <f t="shared" si="1"/>
        <v>3000000</v>
      </c>
      <c r="AV6" s="259">
        <f t="shared" si="1"/>
        <v>0</v>
      </c>
      <c r="AW6" s="259">
        <f t="shared" si="1"/>
        <v>0</v>
      </c>
      <c r="AX6" s="259">
        <f t="shared" si="1"/>
        <v>0</v>
      </c>
      <c r="AY6" s="259">
        <f t="shared" si="1"/>
        <v>0</v>
      </c>
      <c r="AZ6" s="259">
        <f t="shared" si="1"/>
        <v>0</v>
      </c>
      <c r="BA6" s="259">
        <f t="shared" si="1"/>
        <v>0</v>
      </c>
      <c r="BB6" s="259">
        <f t="shared" si="1"/>
        <v>0</v>
      </c>
      <c r="BC6" s="259">
        <f t="shared" si="1"/>
        <v>0</v>
      </c>
      <c r="BD6" s="259">
        <f t="shared" si="1"/>
        <v>0</v>
      </c>
      <c r="BF6" s="252">
        <f t="shared" si="18"/>
        <v>0</v>
      </c>
    </row>
    <row r="7" spans="1:58" x14ac:dyDescent="0.25">
      <c r="A7" t="s">
        <v>172</v>
      </c>
      <c r="B7" s="265"/>
      <c r="D7" s="251">
        <v>200000</v>
      </c>
      <c r="E7" s="251"/>
      <c r="F7" s="251"/>
      <c r="G7" t="s">
        <v>213</v>
      </c>
      <c r="N7" s="249">
        <v>0.25</v>
      </c>
      <c r="O7" s="249">
        <v>0.25</v>
      </c>
      <c r="P7" s="249">
        <v>0.25</v>
      </c>
      <c r="Q7" s="249">
        <v>0.25</v>
      </c>
      <c r="W7" s="249">
        <f t="shared" si="2"/>
        <v>1</v>
      </c>
      <c r="X7" s="266">
        <f>+D7</f>
        <v>200000</v>
      </c>
      <c r="Z7" s="259">
        <f t="shared" si="3"/>
        <v>0</v>
      </c>
      <c r="AA7" s="259">
        <f t="shared" si="4"/>
        <v>0</v>
      </c>
      <c r="AB7" s="259">
        <f t="shared" si="5"/>
        <v>0</v>
      </c>
      <c r="AC7" s="259">
        <f t="shared" si="6"/>
        <v>0</v>
      </c>
      <c r="AD7" s="259">
        <f t="shared" si="7"/>
        <v>0</v>
      </c>
      <c r="AE7" s="259">
        <f t="shared" si="8"/>
        <v>0</v>
      </c>
      <c r="AF7" s="259">
        <f t="shared" si="9"/>
        <v>50000</v>
      </c>
      <c r="AG7" s="259">
        <f t="shared" si="10"/>
        <v>50000</v>
      </c>
      <c r="AH7" s="259">
        <f t="shared" si="11"/>
        <v>50000</v>
      </c>
      <c r="AI7" s="259">
        <f t="shared" si="12"/>
        <v>50000</v>
      </c>
      <c r="AJ7" s="259">
        <f t="shared" si="13"/>
        <v>0</v>
      </c>
      <c r="AK7" s="259">
        <f t="shared" si="14"/>
        <v>0</v>
      </c>
      <c r="AL7" s="259">
        <f t="shared" si="15"/>
        <v>0</v>
      </c>
      <c r="AM7" s="259">
        <f t="shared" si="16"/>
        <v>0</v>
      </c>
      <c r="AN7" s="259">
        <f t="shared" si="17"/>
        <v>0</v>
      </c>
      <c r="AO7" s="257"/>
      <c r="AP7" s="259">
        <f t="shared" si="1"/>
        <v>0</v>
      </c>
      <c r="AQ7" s="259">
        <f t="shared" si="1"/>
        <v>0</v>
      </c>
      <c r="AR7" s="259">
        <f t="shared" si="1"/>
        <v>0</v>
      </c>
      <c r="AS7" s="259">
        <f t="shared" si="1"/>
        <v>0</v>
      </c>
      <c r="AT7" s="259">
        <f t="shared" si="1"/>
        <v>0</v>
      </c>
      <c r="AU7" s="259">
        <f t="shared" si="1"/>
        <v>0</v>
      </c>
      <c r="AV7" s="259">
        <f t="shared" si="1"/>
        <v>200000</v>
      </c>
      <c r="AW7" s="259">
        <f t="shared" si="1"/>
        <v>0</v>
      </c>
      <c r="AX7" s="259">
        <f t="shared" si="1"/>
        <v>0</v>
      </c>
      <c r="AY7" s="259">
        <f t="shared" si="1"/>
        <v>0</v>
      </c>
      <c r="AZ7" s="259">
        <f t="shared" si="1"/>
        <v>0</v>
      </c>
      <c r="BA7" s="259">
        <f t="shared" si="1"/>
        <v>0</v>
      </c>
      <c r="BB7" s="259">
        <f t="shared" si="1"/>
        <v>0</v>
      </c>
      <c r="BC7" s="259">
        <f t="shared" si="1"/>
        <v>0</v>
      </c>
      <c r="BD7" s="259">
        <f t="shared" si="1"/>
        <v>0</v>
      </c>
      <c r="BF7" s="252">
        <f t="shared" si="18"/>
        <v>0</v>
      </c>
    </row>
    <row r="8" spans="1:58" x14ac:dyDescent="0.25">
      <c r="A8" t="s">
        <v>180</v>
      </c>
      <c r="B8" s="287"/>
      <c r="D8" s="251">
        <v>150000</v>
      </c>
      <c r="E8" s="251"/>
      <c r="F8" s="251"/>
      <c r="G8" t="s">
        <v>220</v>
      </c>
      <c r="I8" s="249">
        <v>0.25</v>
      </c>
      <c r="J8" s="249">
        <v>0.25</v>
      </c>
      <c r="K8" s="249">
        <v>0.25</v>
      </c>
      <c r="L8" s="249">
        <v>0.25</v>
      </c>
      <c r="W8" s="249">
        <f t="shared" si="2"/>
        <v>1</v>
      </c>
      <c r="X8" s="287">
        <f>+D8</f>
        <v>150000</v>
      </c>
      <c r="Z8" s="259">
        <f t="shared" si="3"/>
        <v>0</v>
      </c>
      <c r="AA8" s="259">
        <f t="shared" si="4"/>
        <v>37500</v>
      </c>
      <c r="AB8" s="259">
        <f t="shared" si="5"/>
        <v>37500</v>
      </c>
      <c r="AC8" s="259">
        <f t="shared" si="6"/>
        <v>37500</v>
      </c>
      <c r="AD8" s="259">
        <f t="shared" si="7"/>
        <v>37500</v>
      </c>
      <c r="AE8" s="259">
        <f t="shared" si="8"/>
        <v>0</v>
      </c>
      <c r="AF8" s="259">
        <f t="shared" si="9"/>
        <v>0</v>
      </c>
      <c r="AG8" s="259">
        <f t="shared" si="10"/>
        <v>0</v>
      </c>
      <c r="AH8" s="259">
        <f t="shared" si="11"/>
        <v>0</v>
      </c>
      <c r="AI8" s="259">
        <f t="shared" si="12"/>
        <v>0</v>
      </c>
      <c r="AJ8" s="259">
        <f t="shared" si="13"/>
        <v>0</v>
      </c>
      <c r="AK8" s="259">
        <f t="shared" si="14"/>
        <v>0</v>
      </c>
      <c r="AL8" s="259">
        <f t="shared" si="15"/>
        <v>0</v>
      </c>
      <c r="AM8" s="259">
        <f t="shared" si="16"/>
        <v>0</v>
      </c>
      <c r="AN8" s="259">
        <f t="shared" si="17"/>
        <v>0</v>
      </c>
      <c r="AO8" s="257"/>
      <c r="AP8" s="259">
        <f t="shared" si="1"/>
        <v>150000</v>
      </c>
      <c r="AQ8" s="259">
        <f t="shared" si="1"/>
        <v>0</v>
      </c>
      <c r="AR8" s="259">
        <f t="shared" si="1"/>
        <v>0</v>
      </c>
      <c r="AS8" s="259">
        <f t="shared" si="1"/>
        <v>0</v>
      </c>
      <c r="AT8" s="259">
        <f t="shared" si="1"/>
        <v>0</v>
      </c>
      <c r="AU8" s="259">
        <f t="shared" si="1"/>
        <v>0</v>
      </c>
      <c r="AV8" s="259">
        <f t="shared" si="1"/>
        <v>0</v>
      </c>
      <c r="AW8" s="259">
        <f t="shared" si="1"/>
        <v>0</v>
      </c>
      <c r="AX8" s="259">
        <f t="shared" si="1"/>
        <v>0</v>
      </c>
      <c r="AY8" s="259">
        <f t="shared" si="1"/>
        <v>0</v>
      </c>
      <c r="AZ8" s="259">
        <f t="shared" si="1"/>
        <v>0</v>
      </c>
      <c r="BA8" s="259">
        <f t="shared" si="1"/>
        <v>0</v>
      </c>
      <c r="BB8" s="259">
        <f t="shared" si="1"/>
        <v>0</v>
      </c>
      <c r="BC8" s="259">
        <f t="shared" si="1"/>
        <v>0</v>
      </c>
      <c r="BD8" s="259">
        <f t="shared" si="1"/>
        <v>0</v>
      </c>
      <c r="BF8" s="252">
        <f t="shared" si="18"/>
        <v>0</v>
      </c>
    </row>
    <row r="9" spans="1:58" x14ac:dyDescent="0.25">
      <c r="A9" t="s">
        <v>180</v>
      </c>
      <c r="B9" s="287"/>
      <c r="D9" s="251">
        <v>150000</v>
      </c>
      <c r="E9" s="251"/>
      <c r="F9" s="251"/>
      <c r="G9" t="s">
        <v>219</v>
      </c>
      <c r="M9" s="249">
        <v>0.25</v>
      </c>
      <c r="N9" s="249">
        <v>0.25</v>
      </c>
      <c r="O9" s="249">
        <v>0.25</v>
      </c>
      <c r="P9" s="249">
        <v>0.25</v>
      </c>
      <c r="W9" s="249">
        <f t="shared" si="2"/>
        <v>1</v>
      </c>
      <c r="X9" s="287">
        <f>+D9</f>
        <v>150000</v>
      </c>
      <c r="Z9" s="259">
        <f t="shared" ref="Z9" si="19">H9*$D9</f>
        <v>0</v>
      </c>
      <c r="AA9" s="259">
        <f t="shared" ref="AA9" si="20">I9*$D9</f>
        <v>0</v>
      </c>
      <c r="AB9" s="259">
        <f t="shared" ref="AB9" si="21">J9*$D9</f>
        <v>0</v>
      </c>
      <c r="AC9" s="259">
        <f t="shared" ref="AC9" si="22">K9*$D9</f>
        <v>0</v>
      </c>
      <c r="AD9" s="259">
        <f t="shared" ref="AD9" si="23">L9*$D9</f>
        <v>0</v>
      </c>
      <c r="AE9" s="259">
        <f t="shared" ref="AE9" si="24">M9*$D9</f>
        <v>37500</v>
      </c>
      <c r="AF9" s="259">
        <f t="shared" ref="AF9" si="25">N9*$D9</f>
        <v>37500</v>
      </c>
      <c r="AG9" s="259">
        <f t="shared" ref="AG9" si="26">O9*$D9</f>
        <v>37500</v>
      </c>
      <c r="AH9" s="259">
        <f t="shared" ref="AH9" si="27">P9*$D9</f>
        <v>37500</v>
      </c>
      <c r="AI9" s="259">
        <f t="shared" ref="AI9" si="28">Q9*$D9</f>
        <v>0</v>
      </c>
      <c r="AJ9" s="259">
        <f t="shared" ref="AJ9" si="29">R9*$D9</f>
        <v>0</v>
      </c>
      <c r="AK9" s="259">
        <f t="shared" ref="AK9" si="30">S9*$D9</f>
        <v>0</v>
      </c>
      <c r="AL9" s="259">
        <f t="shared" ref="AL9" si="31">T9*$D9</f>
        <v>0</v>
      </c>
      <c r="AM9" s="259">
        <f t="shared" ref="AM9" si="32">U9*$D9</f>
        <v>0</v>
      </c>
      <c r="AN9" s="259">
        <f t="shared" ref="AN9" si="33">V9*$D9</f>
        <v>0</v>
      </c>
      <c r="AO9" s="257"/>
      <c r="AP9" s="259">
        <f t="shared" si="1"/>
        <v>0</v>
      </c>
      <c r="AQ9" s="259">
        <f t="shared" si="1"/>
        <v>0</v>
      </c>
      <c r="AR9" s="259">
        <f t="shared" si="1"/>
        <v>0</v>
      </c>
      <c r="AS9" s="259">
        <f t="shared" si="1"/>
        <v>0</v>
      </c>
      <c r="AT9" s="259">
        <f t="shared" si="1"/>
        <v>150000</v>
      </c>
      <c r="AU9" s="259">
        <f t="shared" si="1"/>
        <v>0</v>
      </c>
      <c r="AV9" s="259">
        <f t="shared" si="1"/>
        <v>0</v>
      </c>
      <c r="AW9" s="259">
        <f t="shared" si="1"/>
        <v>0</v>
      </c>
      <c r="AX9" s="259">
        <f t="shared" si="1"/>
        <v>0</v>
      </c>
      <c r="AY9" s="259">
        <f t="shared" si="1"/>
        <v>0</v>
      </c>
      <c r="AZ9" s="259">
        <f t="shared" si="1"/>
        <v>0</v>
      </c>
      <c r="BA9" s="259">
        <f t="shared" si="1"/>
        <v>0</v>
      </c>
      <c r="BB9" s="259">
        <f t="shared" si="1"/>
        <v>0</v>
      </c>
      <c r="BC9" s="259">
        <f t="shared" si="1"/>
        <v>0</v>
      </c>
      <c r="BD9" s="259">
        <f t="shared" si="1"/>
        <v>0</v>
      </c>
      <c r="BF9" s="252">
        <f t="shared" si="18"/>
        <v>0</v>
      </c>
    </row>
    <row r="10" spans="1:58" x14ac:dyDescent="0.25">
      <c r="A10" t="s">
        <v>181</v>
      </c>
      <c r="B10" s="287"/>
      <c r="D10" s="251">
        <v>500000</v>
      </c>
      <c r="E10" s="251"/>
      <c r="F10" s="251"/>
      <c r="G10" t="s">
        <v>211</v>
      </c>
      <c r="J10" s="249">
        <v>0.25</v>
      </c>
      <c r="K10" s="249">
        <v>0.25</v>
      </c>
      <c r="L10" s="249">
        <v>0.25</v>
      </c>
      <c r="M10" s="249">
        <v>0.25</v>
      </c>
      <c r="N10" s="249"/>
      <c r="O10" s="249"/>
      <c r="P10" s="249"/>
      <c r="W10" s="249">
        <f t="shared" si="2"/>
        <v>1</v>
      </c>
      <c r="X10" s="287">
        <f t="shared" ref="X10:X21" si="34">+D10</f>
        <v>500000</v>
      </c>
      <c r="Z10" s="259">
        <f t="shared" si="3"/>
        <v>0</v>
      </c>
      <c r="AA10" s="259">
        <f t="shared" si="4"/>
        <v>0</v>
      </c>
      <c r="AB10" s="259">
        <f t="shared" si="5"/>
        <v>125000</v>
      </c>
      <c r="AC10" s="259">
        <f t="shared" si="6"/>
        <v>125000</v>
      </c>
      <c r="AD10" s="259">
        <f t="shared" si="7"/>
        <v>125000</v>
      </c>
      <c r="AE10" s="259">
        <f t="shared" si="8"/>
        <v>125000</v>
      </c>
      <c r="AF10" s="259">
        <f t="shared" si="9"/>
        <v>0</v>
      </c>
      <c r="AG10" s="259">
        <f t="shared" si="10"/>
        <v>0</v>
      </c>
      <c r="AH10" s="259">
        <f t="shared" si="11"/>
        <v>0</v>
      </c>
      <c r="AI10" s="259">
        <f t="shared" si="12"/>
        <v>0</v>
      </c>
      <c r="AJ10" s="259">
        <f t="shared" si="13"/>
        <v>0</v>
      </c>
      <c r="AK10" s="259">
        <f t="shared" si="14"/>
        <v>0</v>
      </c>
      <c r="AL10" s="259">
        <f t="shared" si="15"/>
        <v>0</v>
      </c>
      <c r="AM10" s="259">
        <f t="shared" si="16"/>
        <v>0</v>
      </c>
      <c r="AN10" s="259">
        <f t="shared" si="17"/>
        <v>0</v>
      </c>
      <c r="AO10" s="257"/>
      <c r="AP10" s="259">
        <f t="shared" si="1"/>
        <v>0</v>
      </c>
      <c r="AQ10" s="259">
        <f t="shared" si="1"/>
        <v>0</v>
      </c>
      <c r="AR10" s="259">
        <f t="shared" si="1"/>
        <v>500000</v>
      </c>
      <c r="AS10" s="259">
        <f t="shared" si="1"/>
        <v>0</v>
      </c>
      <c r="AT10" s="259">
        <f t="shared" si="1"/>
        <v>0</v>
      </c>
      <c r="AU10" s="259">
        <f t="shared" si="1"/>
        <v>0</v>
      </c>
      <c r="AV10" s="259">
        <f t="shared" si="1"/>
        <v>0</v>
      </c>
      <c r="AW10" s="259">
        <f t="shared" si="1"/>
        <v>0</v>
      </c>
      <c r="AX10" s="259">
        <f t="shared" si="1"/>
        <v>0</v>
      </c>
      <c r="AY10" s="259">
        <f t="shared" si="1"/>
        <v>0</v>
      </c>
      <c r="AZ10" s="259">
        <f t="shared" si="1"/>
        <v>0</v>
      </c>
      <c r="BA10" s="259">
        <f t="shared" si="1"/>
        <v>0</v>
      </c>
      <c r="BB10" s="259">
        <f t="shared" si="1"/>
        <v>0</v>
      </c>
      <c r="BC10" s="259">
        <f t="shared" si="1"/>
        <v>0</v>
      </c>
      <c r="BD10" s="259">
        <f t="shared" si="1"/>
        <v>0</v>
      </c>
      <c r="BF10" s="252">
        <f t="shared" si="18"/>
        <v>0</v>
      </c>
    </row>
    <row r="11" spans="1:58" x14ac:dyDescent="0.25">
      <c r="A11" t="s">
        <v>181</v>
      </c>
      <c r="B11" s="287"/>
      <c r="D11" s="251">
        <v>200000</v>
      </c>
      <c r="E11" s="251"/>
      <c r="F11" s="251"/>
      <c r="G11" t="s">
        <v>219</v>
      </c>
      <c r="L11" s="249">
        <v>0.25</v>
      </c>
      <c r="M11" s="249">
        <v>0.25</v>
      </c>
      <c r="N11" s="249">
        <v>0.25</v>
      </c>
      <c r="O11" s="249">
        <v>0.25</v>
      </c>
      <c r="W11" s="249">
        <f t="shared" si="2"/>
        <v>1</v>
      </c>
      <c r="X11" s="287">
        <f t="shared" si="34"/>
        <v>200000</v>
      </c>
      <c r="Z11" s="259">
        <f t="shared" si="3"/>
        <v>0</v>
      </c>
      <c r="AA11" s="259">
        <f t="shared" si="4"/>
        <v>0</v>
      </c>
      <c r="AB11" s="259">
        <f t="shared" si="5"/>
        <v>0</v>
      </c>
      <c r="AC11" s="259">
        <f t="shared" si="6"/>
        <v>0</v>
      </c>
      <c r="AD11" s="259">
        <f t="shared" si="7"/>
        <v>50000</v>
      </c>
      <c r="AE11" s="259">
        <f t="shared" si="8"/>
        <v>50000</v>
      </c>
      <c r="AF11" s="259">
        <f t="shared" si="9"/>
        <v>50000</v>
      </c>
      <c r="AG11" s="259">
        <f t="shared" si="10"/>
        <v>50000</v>
      </c>
      <c r="AH11" s="259">
        <f t="shared" si="11"/>
        <v>0</v>
      </c>
      <c r="AI11" s="259">
        <f t="shared" si="12"/>
        <v>0</v>
      </c>
      <c r="AJ11" s="259">
        <f t="shared" si="13"/>
        <v>0</v>
      </c>
      <c r="AK11" s="259">
        <f t="shared" si="14"/>
        <v>0</v>
      </c>
      <c r="AL11" s="259">
        <f t="shared" si="15"/>
        <v>0</v>
      </c>
      <c r="AM11" s="259">
        <f t="shared" si="16"/>
        <v>0</v>
      </c>
      <c r="AN11" s="259">
        <f t="shared" si="17"/>
        <v>0</v>
      </c>
      <c r="AO11" s="257"/>
      <c r="AP11" s="259">
        <f t="shared" si="1"/>
        <v>0</v>
      </c>
      <c r="AQ11" s="259">
        <f t="shared" si="1"/>
        <v>0</v>
      </c>
      <c r="AR11" s="259">
        <f t="shared" si="1"/>
        <v>0</v>
      </c>
      <c r="AS11" s="259">
        <f t="shared" si="1"/>
        <v>0</v>
      </c>
      <c r="AT11" s="259">
        <f t="shared" si="1"/>
        <v>200000</v>
      </c>
      <c r="AU11" s="259">
        <f t="shared" si="1"/>
        <v>0</v>
      </c>
      <c r="AV11" s="259">
        <f t="shared" si="1"/>
        <v>0</v>
      </c>
      <c r="AW11" s="259">
        <f t="shared" si="1"/>
        <v>0</v>
      </c>
      <c r="AX11" s="259">
        <f t="shared" si="1"/>
        <v>0</v>
      </c>
      <c r="AY11" s="259">
        <f t="shared" si="1"/>
        <v>0</v>
      </c>
      <c r="AZ11" s="259">
        <f t="shared" si="1"/>
        <v>0</v>
      </c>
      <c r="BA11" s="259">
        <f t="shared" si="1"/>
        <v>0</v>
      </c>
      <c r="BB11" s="259">
        <f t="shared" si="1"/>
        <v>0</v>
      </c>
      <c r="BC11" s="259">
        <f t="shared" si="1"/>
        <v>0</v>
      </c>
      <c r="BD11" s="259">
        <f t="shared" si="1"/>
        <v>0</v>
      </c>
      <c r="BF11" s="252">
        <f t="shared" si="18"/>
        <v>0</v>
      </c>
    </row>
    <row r="12" spans="1:58" x14ac:dyDescent="0.25">
      <c r="A12" t="s">
        <v>181</v>
      </c>
      <c r="B12" s="287"/>
      <c r="D12" s="251">
        <v>350000</v>
      </c>
      <c r="E12" s="251"/>
      <c r="F12" s="251"/>
      <c r="W12" s="249">
        <f t="shared" si="2"/>
        <v>0</v>
      </c>
      <c r="X12" s="287">
        <f t="shared" si="34"/>
        <v>350000</v>
      </c>
      <c r="Z12" s="259">
        <f t="shared" si="3"/>
        <v>0</v>
      </c>
      <c r="AA12" s="259">
        <f t="shared" si="4"/>
        <v>0</v>
      </c>
      <c r="AB12" s="259">
        <f t="shared" si="5"/>
        <v>0</v>
      </c>
      <c r="AC12" s="259">
        <f t="shared" si="6"/>
        <v>0</v>
      </c>
      <c r="AD12" s="259">
        <f t="shared" si="7"/>
        <v>0</v>
      </c>
      <c r="AE12" s="259">
        <f t="shared" si="8"/>
        <v>0</v>
      </c>
      <c r="AF12" s="259">
        <f t="shared" si="9"/>
        <v>0</v>
      </c>
      <c r="AG12" s="259">
        <f t="shared" si="10"/>
        <v>0</v>
      </c>
      <c r="AH12" s="259">
        <f t="shared" si="11"/>
        <v>0</v>
      </c>
      <c r="AI12" s="259">
        <f t="shared" si="12"/>
        <v>0</v>
      </c>
      <c r="AJ12" s="259">
        <f t="shared" si="13"/>
        <v>0</v>
      </c>
      <c r="AK12" s="259">
        <f t="shared" si="14"/>
        <v>0</v>
      </c>
      <c r="AL12" s="259">
        <f t="shared" si="15"/>
        <v>0</v>
      </c>
      <c r="AM12" s="259">
        <f t="shared" si="16"/>
        <v>0</v>
      </c>
      <c r="AN12" s="259">
        <f t="shared" si="17"/>
        <v>0</v>
      </c>
      <c r="AO12" s="257"/>
      <c r="AP12" s="259">
        <f t="shared" si="1"/>
        <v>0</v>
      </c>
      <c r="AQ12" s="259">
        <f t="shared" si="1"/>
        <v>0</v>
      </c>
      <c r="AR12" s="259">
        <f t="shared" si="1"/>
        <v>0</v>
      </c>
      <c r="AS12" s="259">
        <f t="shared" si="1"/>
        <v>0</v>
      </c>
      <c r="AT12" s="259">
        <f t="shared" si="1"/>
        <v>0</v>
      </c>
      <c r="AU12" s="259">
        <f t="shared" si="1"/>
        <v>0</v>
      </c>
      <c r="AV12" s="259">
        <f t="shared" si="1"/>
        <v>0</v>
      </c>
      <c r="AW12" s="259">
        <f t="shared" si="1"/>
        <v>0</v>
      </c>
      <c r="AX12" s="259">
        <f t="shared" si="1"/>
        <v>0</v>
      </c>
      <c r="AY12" s="259">
        <f t="shared" si="1"/>
        <v>0</v>
      </c>
      <c r="AZ12" s="259">
        <f t="shared" si="1"/>
        <v>0</v>
      </c>
      <c r="BA12" s="259">
        <f t="shared" si="1"/>
        <v>0</v>
      </c>
      <c r="BB12" s="259">
        <f t="shared" si="1"/>
        <v>0</v>
      </c>
      <c r="BC12" s="259">
        <f t="shared" si="1"/>
        <v>0</v>
      </c>
      <c r="BD12" s="259">
        <f t="shared" si="1"/>
        <v>0</v>
      </c>
      <c r="BF12" s="252">
        <f t="shared" si="18"/>
        <v>0</v>
      </c>
    </row>
    <row r="13" spans="1:58" x14ac:dyDescent="0.25">
      <c r="A13" t="s">
        <v>181</v>
      </c>
      <c r="B13" s="287"/>
      <c r="D13" s="251">
        <v>200000</v>
      </c>
      <c r="E13" s="251"/>
      <c r="F13" s="251"/>
      <c r="G13" t="s">
        <v>221</v>
      </c>
      <c r="K13" s="249">
        <v>0.25</v>
      </c>
      <c r="L13" s="249">
        <v>0.25</v>
      </c>
      <c r="M13" s="249">
        <v>0.25</v>
      </c>
      <c r="N13" s="249">
        <v>0.25</v>
      </c>
      <c r="W13" s="249">
        <f t="shared" si="2"/>
        <v>1</v>
      </c>
      <c r="X13" s="287">
        <f t="shared" si="34"/>
        <v>200000</v>
      </c>
      <c r="Z13" s="259">
        <f t="shared" si="3"/>
        <v>0</v>
      </c>
      <c r="AA13" s="259">
        <f t="shared" si="4"/>
        <v>0</v>
      </c>
      <c r="AB13" s="259">
        <f t="shared" si="5"/>
        <v>0</v>
      </c>
      <c r="AC13" s="259">
        <f t="shared" si="6"/>
        <v>50000</v>
      </c>
      <c r="AD13" s="259">
        <f t="shared" si="7"/>
        <v>50000</v>
      </c>
      <c r="AE13" s="259">
        <f t="shared" si="8"/>
        <v>50000</v>
      </c>
      <c r="AF13" s="259">
        <f t="shared" si="9"/>
        <v>50000</v>
      </c>
      <c r="AG13" s="259">
        <f t="shared" si="10"/>
        <v>0</v>
      </c>
      <c r="AH13" s="259">
        <f t="shared" si="11"/>
        <v>0</v>
      </c>
      <c r="AI13" s="259">
        <f t="shared" si="12"/>
        <v>0</v>
      </c>
      <c r="AJ13" s="259">
        <f t="shared" si="13"/>
        <v>0</v>
      </c>
      <c r="AK13" s="259">
        <f t="shared" si="14"/>
        <v>0</v>
      </c>
      <c r="AL13" s="259">
        <f t="shared" si="15"/>
        <v>0</v>
      </c>
      <c r="AM13" s="259">
        <f t="shared" si="16"/>
        <v>0</v>
      </c>
      <c r="AN13" s="259">
        <f t="shared" si="17"/>
        <v>0</v>
      </c>
      <c r="AO13" s="257"/>
      <c r="AP13" s="259">
        <f t="shared" si="1"/>
        <v>0</v>
      </c>
      <c r="AQ13" s="259">
        <f t="shared" si="1"/>
        <v>0</v>
      </c>
      <c r="AR13" s="259">
        <f t="shared" si="1"/>
        <v>0</v>
      </c>
      <c r="AS13" s="259">
        <f t="shared" si="1"/>
        <v>200000</v>
      </c>
      <c r="AT13" s="259">
        <f t="shared" si="1"/>
        <v>0</v>
      </c>
      <c r="AU13" s="259">
        <f t="shared" si="1"/>
        <v>0</v>
      </c>
      <c r="AV13" s="259">
        <f t="shared" si="1"/>
        <v>0</v>
      </c>
      <c r="AW13" s="259">
        <f t="shared" si="1"/>
        <v>0</v>
      </c>
      <c r="AX13" s="259">
        <f t="shared" si="1"/>
        <v>0</v>
      </c>
      <c r="AY13" s="259">
        <f t="shared" si="1"/>
        <v>0</v>
      </c>
      <c r="AZ13" s="259">
        <f t="shared" si="1"/>
        <v>0</v>
      </c>
      <c r="BA13" s="259">
        <f t="shared" si="1"/>
        <v>0</v>
      </c>
      <c r="BB13" s="259">
        <f t="shared" si="1"/>
        <v>0</v>
      </c>
      <c r="BC13" s="259">
        <f t="shared" si="1"/>
        <v>0</v>
      </c>
      <c r="BD13" s="259">
        <f t="shared" si="1"/>
        <v>0</v>
      </c>
      <c r="BF13" s="252">
        <f t="shared" si="18"/>
        <v>0</v>
      </c>
    </row>
    <row r="14" spans="1:58" x14ac:dyDescent="0.25">
      <c r="A14" t="s">
        <v>181</v>
      </c>
      <c r="B14" s="287"/>
      <c r="D14" s="251">
        <v>350000</v>
      </c>
      <c r="E14" s="251"/>
      <c r="F14" s="251"/>
      <c r="G14" t="s">
        <v>211</v>
      </c>
      <c r="J14" s="249">
        <v>0.25</v>
      </c>
      <c r="K14" s="249">
        <v>0.25</v>
      </c>
      <c r="L14" s="249">
        <v>0.25</v>
      </c>
      <c r="M14" s="249">
        <v>0.25</v>
      </c>
      <c r="W14" s="249">
        <f t="shared" si="2"/>
        <v>1</v>
      </c>
      <c r="X14" s="287">
        <f t="shared" si="34"/>
        <v>350000</v>
      </c>
      <c r="Z14" s="259">
        <f t="shared" si="3"/>
        <v>0</v>
      </c>
      <c r="AA14" s="259">
        <f t="shared" si="4"/>
        <v>0</v>
      </c>
      <c r="AB14" s="259">
        <f t="shared" si="5"/>
        <v>87500</v>
      </c>
      <c r="AC14" s="259">
        <f t="shared" si="6"/>
        <v>87500</v>
      </c>
      <c r="AD14" s="259">
        <f t="shared" si="7"/>
        <v>87500</v>
      </c>
      <c r="AE14" s="259">
        <f t="shared" si="8"/>
        <v>87500</v>
      </c>
      <c r="AF14" s="259">
        <f t="shared" si="9"/>
        <v>0</v>
      </c>
      <c r="AG14" s="259">
        <f t="shared" si="10"/>
        <v>0</v>
      </c>
      <c r="AH14" s="259">
        <f t="shared" si="11"/>
        <v>0</v>
      </c>
      <c r="AI14" s="259">
        <f t="shared" si="12"/>
        <v>0</v>
      </c>
      <c r="AJ14" s="259">
        <f t="shared" si="13"/>
        <v>0</v>
      </c>
      <c r="AK14" s="259">
        <f t="shared" si="14"/>
        <v>0</v>
      </c>
      <c r="AL14" s="259">
        <f t="shared" si="15"/>
        <v>0</v>
      </c>
      <c r="AM14" s="259">
        <f t="shared" si="16"/>
        <v>0</v>
      </c>
      <c r="AN14" s="259">
        <f t="shared" si="17"/>
        <v>0</v>
      </c>
      <c r="AO14" s="257"/>
      <c r="AP14" s="259">
        <f t="shared" ref="AP14:BD23" si="35">IF(AP$3=$G14,$D14,0)</f>
        <v>0</v>
      </c>
      <c r="AQ14" s="259">
        <f t="shared" si="35"/>
        <v>0</v>
      </c>
      <c r="AR14" s="259">
        <f t="shared" si="35"/>
        <v>350000</v>
      </c>
      <c r="AS14" s="259">
        <f t="shared" si="35"/>
        <v>0</v>
      </c>
      <c r="AT14" s="259">
        <f t="shared" si="35"/>
        <v>0</v>
      </c>
      <c r="AU14" s="259">
        <f t="shared" si="35"/>
        <v>0</v>
      </c>
      <c r="AV14" s="259">
        <f t="shared" si="35"/>
        <v>0</v>
      </c>
      <c r="AW14" s="259">
        <f t="shared" si="35"/>
        <v>0</v>
      </c>
      <c r="AX14" s="259">
        <f t="shared" si="35"/>
        <v>0</v>
      </c>
      <c r="AY14" s="259">
        <f t="shared" si="35"/>
        <v>0</v>
      </c>
      <c r="AZ14" s="259">
        <f t="shared" si="35"/>
        <v>0</v>
      </c>
      <c r="BA14" s="259">
        <f t="shared" si="35"/>
        <v>0</v>
      </c>
      <c r="BB14" s="259">
        <f t="shared" si="35"/>
        <v>0</v>
      </c>
      <c r="BC14" s="259">
        <f t="shared" si="35"/>
        <v>0</v>
      </c>
      <c r="BD14" s="259">
        <f t="shared" si="35"/>
        <v>0</v>
      </c>
      <c r="BF14" s="252">
        <f t="shared" si="18"/>
        <v>0</v>
      </c>
    </row>
    <row r="15" spans="1:58" x14ac:dyDescent="0.25">
      <c r="A15" t="s">
        <v>181</v>
      </c>
      <c r="B15" s="287"/>
      <c r="D15" s="251">
        <v>50000</v>
      </c>
      <c r="E15" s="251"/>
      <c r="F15" s="251"/>
      <c r="G15" t="s">
        <v>219</v>
      </c>
      <c r="L15" s="249">
        <v>0.25</v>
      </c>
      <c r="M15" s="249">
        <v>0.25</v>
      </c>
      <c r="N15" s="249">
        <v>0.25</v>
      </c>
      <c r="O15" s="249">
        <v>0.25</v>
      </c>
      <c r="W15" s="249">
        <f t="shared" si="2"/>
        <v>1</v>
      </c>
      <c r="X15" s="287">
        <f t="shared" si="34"/>
        <v>50000</v>
      </c>
      <c r="Z15" s="259">
        <f t="shared" si="3"/>
        <v>0</v>
      </c>
      <c r="AA15" s="259">
        <f t="shared" si="4"/>
        <v>0</v>
      </c>
      <c r="AB15" s="259">
        <f t="shared" si="5"/>
        <v>0</v>
      </c>
      <c r="AC15" s="259">
        <f t="shared" si="6"/>
        <v>0</v>
      </c>
      <c r="AD15" s="259">
        <f t="shared" si="7"/>
        <v>12500</v>
      </c>
      <c r="AE15" s="259">
        <f t="shared" si="8"/>
        <v>12500</v>
      </c>
      <c r="AF15" s="259">
        <f t="shared" si="9"/>
        <v>12500</v>
      </c>
      <c r="AG15" s="259">
        <f t="shared" si="10"/>
        <v>12500</v>
      </c>
      <c r="AH15" s="259">
        <f t="shared" si="11"/>
        <v>0</v>
      </c>
      <c r="AI15" s="259">
        <f t="shared" si="12"/>
        <v>0</v>
      </c>
      <c r="AJ15" s="259">
        <f t="shared" si="13"/>
        <v>0</v>
      </c>
      <c r="AK15" s="259">
        <f t="shared" si="14"/>
        <v>0</v>
      </c>
      <c r="AL15" s="259">
        <f t="shared" si="15"/>
        <v>0</v>
      </c>
      <c r="AM15" s="259">
        <f t="shared" si="16"/>
        <v>0</v>
      </c>
      <c r="AN15" s="259">
        <f t="shared" si="17"/>
        <v>0</v>
      </c>
      <c r="AO15" s="257"/>
      <c r="AP15" s="259">
        <f t="shared" si="35"/>
        <v>0</v>
      </c>
      <c r="AQ15" s="259">
        <f t="shared" si="35"/>
        <v>0</v>
      </c>
      <c r="AR15" s="259">
        <f t="shared" si="35"/>
        <v>0</v>
      </c>
      <c r="AS15" s="259">
        <f t="shared" si="35"/>
        <v>0</v>
      </c>
      <c r="AT15" s="259">
        <f t="shared" si="35"/>
        <v>50000</v>
      </c>
      <c r="AU15" s="259">
        <f t="shared" si="35"/>
        <v>0</v>
      </c>
      <c r="AV15" s="259">
        <f t="shared" si="35"/>
        <v>0</v>
      </c>
      <c r="AW15" s="259">
        <f t="shared" si="35"/>
        <v>0</v>
      </c>
      <c r="AX15" s="259">
        <f t="shared" si="35"/>
        <v>0</v>
      </c>
      <c r="AY15" s="259">
        <f t="shared" si="35"/>
        <v>0</v>
      </c>
      <c r="AZ15" s="259">
        <f t="shared" si="35"/>
        <v>0</v>
      </c>
      <c r="BA15" s="259">
        <f t="shared" si="35"/>
        <v>0</v>
      </c>
      <c r="BB15" s="259">
        <f t="shared" si="35"/>
        <v>0</v>
      </c>
      <c r="BC15" s="259">
        <f t="shared" si="35"/>
        <v>0</v>
      </c>
      <c r="BD15" s="259">
        <f t="shared" si="35"/>
        <v>0</v>
      </c>
      <c r="BF15" s="252">
        <f t="shared" si="18"/>
        <v>0</v>
      </c>
    </row>
    <row r="16" spans="1:58" x14ac:dyDescent="0.25">
      <c r="A16" t="s">
        <v>180</v>
      </c>
      <c r="B16" s="287"/>
      <c r="D16" s="251">
        <v>500000</v>
      </c>
      <c r="E16" s="251"/>
      <c r="F16" s="251"/>
      <c r="G16" t="s">
        <v>220</v>
      </c>
      <c r="H16" s="249"/>
      <c r="I16" s="249">
        <v>0.05</v>
      </c>
      <c r="J16" s="249">
        <v>0.1</v>
      </c>
      <c r="K16" s="249">
        <v>0.1</v>
      </c>
      <c r="L16" s="249">
        <v>0.1</v>
      </c>
      <c r="M16" s="249">
        <v>0.1</v>
      </c>
      <c r="N16" s="249">
        <v>0.1</v>
      </c>
      <c r="O16" s="249">
        <v>0.1</v>
      </c>
      <c r="P16" s="249">
        <v>0.1</v>
      </c>
      <c r="Q16" s="249">
        <v>0.1</v>
      </c>
      <c r="R16" s="249">
        <v>0.1</v>
      </c>
      <c r="S16" s="249">
        <v>0.05</v>
      </c>
      <c r="W16" s="249">
        <f t="shared" si="2"/>
        <v>0.99999999999999989</v>
      </c>
      <c r="X16" s="287">
        <f t="shared" si="34"/>
        <v>500000</v>
      </c>
      <c r="Z16" s="283">
        <f t="shared" ref="Z16:Z19" si="36">H16*$D16</f>
        <v>0</v>
      </c>
      <c r="AA16" s="259">
        <f t="shared" ref="AA16:AA19" si="37">I16*$D16</f>
        <v>25000</v>
      </c>
      <c r="AB16" s="259">
        <f t="shared" ref="AB16:AB19" si="38">J16*$D16</f>
        <v>50000</v>
      </c>
      <c r="AC16" s="259">
        <f t="shared" ref="AC16:AC19" si="39">K16*$D16</f>
        <v>50000</v>
      </c>
      <c r="AD16" s="259">
        <f t="shared" ref="AD16:AD19" si="40">L16*$D16</f>
        <v>50000</v>
      </c>
      <c r="AE16" s="259">
        <f t="shared" ref="AE16:AE19" si="41">M16*$D16</f>
        <v>50000</v>
      </c>
      <c r="AF16" s="259">
        <f t="shared" ref="AF16:AF19" si="42">N16*$D16</f>
        <v>50000</v>
      </c>
      <c r="AG16" s="259">
        <f t="shared" ref="AG16:AG19" si="43">O16*$D16</f>
        <v>50000</v>
      </c>
      <c r="AH16" s="259">
        <f t="shared" ref="AH16:AH19" si="44">P16*$D16</f>
        <v>50000</v>
      </c>
      <c r="AI16" s="259">
        <f t="shared" ref="AI16:AI19" si="45">Q16*$D16</f>
        <v>50000</v>
      </c>
      <c r="AJ16" s="259">
        <f t="shared" ref="AJ16:AJ19" si="46">R16*$D16</f>
        <v>50000</v>
      </c>
      <c r="AK16" s="259">
        <f t="shared" ref="AK16:AK19" si="47">S16*$D16</f>
        <v>25000</v>
      </c>
      <c r="AL16" s="259">
        <f t="shared" ref="AL16:AL19" si="48">T16*$D16</f>
        <v>0</v>
      </c>
      <c r="AM16" s="259">
        <f t="shared" ref="AM16:AM19" si="49">U16*$D16</f>
        <v>0</v>
      </c>
      <c r="AN16" s="259">
        <f t="shared" ref="AN16:AN19" si="50">V16*$D16</f>
        <v>0</v>
      </c>
      <c r="AO16" s="257"/>
      <c r="AP16" s="259">
        <f t="shared" si="35"/>
        <v>500000</v>
      </c>
      <c r="AQ16" s="259">
        <f t="shared" si="35"/>
        <v>0</v>
      </c>
      <c r="AR16" s="259">
        <f t="shared" si="35"/>
        <v>0</v>
      </c>
      <c r="AS16" s="259">
        <f t="shared" si="35"/>
        <v>0</v>
      </c>
      <c r="AT16" s="259">
        <f t="shared" si="35"/>
        <v>0</v>
      </c>
      <c r="AU16" s="259">
        <f t="shared" si="35"/>
        <v>0</v>
      </c>
      <c r="AV16" s="259">
        <f t="shared" si="35"/>
        <v>0</v>
      </c>
      <c r="AW16" s="259">
        <f t="shared" si="35"/>
        <v>0</v>
      </c>
      <c r="AX16" s="259">
        <f t="shared" si="35"/>
        <v>0</v>
      </c>
      <c r="AY16" s="259">
        <f t="shared" si="35"/>
        <v>0</v>
      </c>
      <c r="AZ16" s="259">
        <f t="shared" si="35"/>
        <v>0</v>
      </c>
      <c r="BA16" s="259">
        <f t="shared" si="35"/>
        <v>0</v>
      </c>
      <c r="BB16" s="259">
        <f t="shared" si="35"/>
        <v>0</v>
      </c>
      <c r="BC16" s="259">
        <f t="shared" si="35"/>
        <v>0</v>
      </c>
      <c r="BD16" s="259">
        <f t="shared" si="35"/>
        <v>0</v>
      </c>
      <c r="BF16" s="252">
        <f t="shared" si="18"/>
        <v>0</v>
      </c>
    </row>
    <row r="17" spans="1:58" x14ac:dyDescent="0.25">
      <c r="A17" t="s">
        <v>180</v>
      </c>
      <c r="B17" s="287"/>
      <c r="D17" s="251">
        <v>120000</v>
      </c>
      <c r="E17" s="251"/>
      <c r="F17" s="251"/>
      <c r="G17" t="s">
        <v>218</v>
      </c>
      <c r="I17" s="249">
        <v>0.1</v>
      </c>
      <c r="J17" s="249">
        <v>0.1</v>
      </c>
      <c r="K17" s="249">
        <v>0.1</v>
      </c>
      <c r="L17" s="249">
        <v>0.1</v>
      </c>
      <c r="M17" s="249">
        <v>0.1</v>
      </c>
      <c r="N17" s="249">
        <v>0.1</v>
      </c>
      <c r="O17" s="249">
        <v>0.1</v>
      </c>
      <c r="P17" s="249">
        <v>0.1</v>
      </c>
      <c r="Q17" s="249">
        <v>0.1</v>
      </c>
      <c r="R17" s="249">
        <v>0.1</v>
      </c>
      <c r="W17" s="249">
        <f t="shared" si="2"/>
        <v>0.99999999999999989</v>
      </c>
      <c r="X17" s="287">
        <f t="shared" si="34"/>
        <v>120000</v>
      </c>
      <c r="Y17" s="263" t="s">
        <v>233</v>
      </c>
      <c r="Z17" s="259">
        <f t="shared" si="36"/>
        <v>0</v>
      </c>
      <c r="AA17" s="259">
        <f t="shared" si="37"/>
        <v>12000</v>
      </c>
      <c r="AB17" s="259">
        <f t="shared" si="38"/>
        <v>12000</v>
      </c>
      <c r="AC17" s="259">
        <f t="shared" si="39"/>
        <v>12000</v>
      </c>
      <c r="AD17" s="259">
        <f t="shared" si="40"/>
        <v>12000</v>
      </c>
      <c r="AE17" s="259">
        <f t="shared" si="41"/>
        <v>12000</v>
      </c>
      <c r="AF17" s="259">
        <f t="shared" si="42"/>
        <v>12000</v>
      </c>
      <c r="AG17" s="259">
        <f t="shared" si="43"/>
        <v>12000</v>
      </c>
      <c r="AH17" s="259">
        <f t="shared" si="44"/>
        <v>12000</v>
      </c>
      <c r="AI17" s="259">
        <f t="shared" si="45"/>
        <v>12000</v>
      </c>
      <c r="AJ17" s="259">
        <f t="shared" si="46"/>
        <v>12000</v>
      </c>
      <c r="AK17" s="259">
        <f t="shared" si="47"/>
        <v>0</v>
      </c>
      <c r="AL17" s="259">
        <f t="shared" si="48"/>
        <v>0</v>
      </c>
      <c r="AM17" s="259">
        <f t="shared" si="49"/>
        <v>0</v>
      </c>
      <c r="AN17" s="259">
        <f t="shared" si="50"/>
        <v>0</v>
      </c>
      <c r="AO17" s="257"/>
      <c r="AP17" s="259">
        <f t="shared" si="35"/>
        <v>0</v>
      </c>
      <c r="AQ17" s="259">
        <f t="shared" si="35"/>
        <v>120000</v>
      </c>
      <c r="AR17" s="259">
        <f t="shared" si="35"/>
        <v>0</v>
      </c>
      <c r="AS17" s="259">
        <f t="shared" si="35"/>
        <v>0</v>
      </c>
      <c r="AT17" s="259">
        <f t="shared" si="35"/>
        <v>0</v>
      </c>
      <c r="AU17" s="259">
        <f t="shared" si="35"/>
        <v>0</v>
      </c>
      <c r="AV17" s="259">
        <f t="shared" si="35"/>
        <v>0</v>
      </c>
      <c r="AW17" s="259">
        <f t="shared" si="35"/>
        <v>0</v>
      </c>
      <c r="AX17" s="259">
        <f t="shared" si="35"/>
        <v>0</v>
      </c>
      <c r="AY17" s="259">
        <f t="shared" si="35"/>
        <v>0</v>
      </c>
      <c r="AZ17" s="259">
        <f t="shared" si="35"/>
        <v>0</v>
      </c>
      <c r="BA17" s="259">
        <f t="shared" si="35"/>
        <v>0</v>
      </c>
      <c r="BB17" s="259">
        <f t="shared" si="35"/>
        <v>0</v>
      </c>
      <c r="BC17" s="259">
        <f t="shared" si="35"/>
        <v>0</v>
      </c>
      <c r="BD17" s="259">
        <f t="shared" si="35"/>
        <v>0</v>
      </c>
      <c r="BF17" s="252">
        <f t="shared" si="18"/>
        <v>0</v>
      </c>
    </row>
    <row r="18" spans="1:58" x14ac:dyDescent="0.25">
      <c r="A18" t="s">
        <v>189</v>
      </c>
      <c r="B18" s="292"/>
      <c r="C18" s="276"/>
      <c r="D18" s="299">
        <v>150000</v>
      </c>
      <c r="E18" s="305" t="s">
        <v>244</v>
      </c>
      <c r="F18" s="262">
        <v>-50000</v>
      </c>
      <c r="G18" t="s">
        <v>219</v>
      </c>
      <c r="M18" s="255"/>
      <c r="N18" s="255">
        <f>1/6</f>
        <v>0.16666666666666666</v>
      </c>
      <c r="O18" s="255">
        <f>1/6</f>
        <v>0.16666666666666666</v>
      </c>
      <c r="R18" s="255">
        <f>1/6</f>
        <v>0.16666666666666666</v>
      </c>
      <c r="S18" s="255">
        <f>1/6</f>
        <v>0.16666666666666666</v>
      </c>
      <c r="V18" s="255">
        <f>1/3</f>
        <v>0.33333333333333331</v>
      </c>
      <c r="W18" s="249">
        <f t="shared" si="2"/>
        <v>1</v>
      </c>
      <c r="X18" s="293">
        <f>+D18+F18</f>
        <v>100000</v>
      </c>
      <c r="Z18" s="259">
        <f t="shared" si="36"/>
        <v>0</v>
      </c>
      <c r="AA18" s="259">
        <f t="shared" si="37"/>
        <v>0</v>
      </c>
      <c r="AB18" s="259">
        <f t="shared" si="38"/>
        <v>0</v>
      </c>
      <c r="AC18" s="259">
        <f t="shared" si="39"/>
        <v>0</v>
      </c>
      <c r="AD18" s="259">
        <f t="shared" si="40"/>
        <v>0</v>
      </c>
      <c r="AE18" s="259">
        <f t="shared" si="41"/>
        <v>0</v>
      </c>
      <c r="AF18" s="259">
        <f t="shared" si="42"/>
        <v>25000</v>
      </c>
      <c r="AG18" s="259">
        <f t="shared" si="43"/>
        <v>25000</v>
      </c>
      <c r="AH18" s="259">
        <f t="shared" si="44"/>
        <v>0</v>
      </c>
      <c r="AI18" s="259">
        <f t="shared" si="45"/>
        <v>0</v>
      </c>
      <c r="AJ18" s="259">
        <f t="shared" si="46"/>
        <v>25000</v>
      </c>
      <c r="AK18" s="259">
        <f t="shared" si="47"/>
        <v>25000</v>
      </c>
      <c r="AL18" s="259">
        <f t="shared" si="48"/>
        <v>0</v>
      </c>
      <c r="AM18" s="259">
        <f t="shared" si="49"/>
        <v>0</v>
      </c>
      <c r="AN18" s="259">
        <f t="shared" si="50"/>
        <v>50000</v>
      </c>
      <c r="AO18" s="257"/>
      <c r="AP18" s="259">
        <f t="shared" si="35"/>
        <v>0</v>
      </c>
      <c r="AQ18" s="259">
        <f t="shared" si="35"/>
        <v>0</v>
      </c>
      <c r="AR18" s="259">
        <f t="shared" si="35"/>
        <v>0</v>
      </c>
      <c r="AS18" s="259">
        <f t="shared" si="35"/>
        <v>0</v>
      </c>
      <c r="AT18" s="259">
        <f t="shared" si="35"/>
        <v>150000</v>
      </c>
      <c r="AU18" s="259">
        <f t="shared" si="35"/>
        <v>0</v>
      </c>
      <c r="AV18" s="259">
        <f t="shared" si="35"/>
        <v>0</v>
      </c>
      <c r="AW18" s="259">
        <f t="shared" si="35"/>
        <v>0</v>
      </c>
      <c r="AX18" s="259">
        <f t="shared" si="35"/>
        <v>0</v>
      </c>
      <c r="AY18" s="259">
        <f t="shared" si="35"/>
        <v>0</v>
      </c>
      <c r="AZ18" s="259">
        <f t="shared" si="35"/>
        <v>0</v>
      </c>
      <c r="BA18" s="259">
        <f t="shared" si="35"/>
        <v>0</v>
      </c>
      <c r="BB18" s="259">
        <f t="shared" si="35"/>
        <v>0</v>
      </c>
      <c r="BC18" s="259">
        <f t="shared" si="35"/>
        <v>0</v>
      </c>
      <c r="BD18" s="259">
        <f t="shared" si="35"/>
        <v>0</v>
      </c>
      <c r="BF18" s="252">
        <f t="shared" si="18"/>
        <v>0</v>
      </c>
    </row>
    <row r="19" spans="1:58" x14ac:dyDescent="0.25">
      <c r="A19" t="s">
        <v>190</v>
      </c>
      <c r="B19" s="292"/>
      <c r="C19" s="276"/>
      <c r="D19" s="298">
        <v>7500</v>
      </c>
      <c r="E19" s="304"/>
      <c r="F19" s="298"/>
      <c r="G19" t="s">
        <v>218</v>
      </c>
      <c r="I19" s="249">
        <v>1</v>
      </c>
      <c r="W19" s="249">
        <f t="shared" si="2"/>
        <v>1</v>
      </c>
      <c r="X19" s="293">
        <f>+D19</f>
        <v>7500</v>
      </c>
      <c r="Z19" s="259">
        <f t="shared" si="36"/>
        <v>0</v>
      </c>
      <c r="AA19" s="259">
        <f t="shared" si="37"/>
        <v>7500</v>
      </c>
      <c r="AB19" s="259">
        <f t="shared" si="38"/>
        <v>0</v>
      </c>
      <c r="AC19" s="259">
        <f t="shared" si="39"/>
        <v>0</v>
      </c>
      <c r="AD19" s="259">
        <f t="shared" si="40"/>
        <v>0</v>
      </c>
      <c r="AE19" s="259">
        <f t="shared" si="41"/>
        <v>0</v>
      </c>
      <c r="AF19" s="259">
        <f t="shared" si="42"/>
        <v>0</v>
      </c>
      <c r="AG19" s="259">
        <f t="shared" si="43"/>
        <v>0</v>
      </c>
      <c r="AH19" s="259">
        <f t="shared" si="44"/>
        <v>0</v>
      </c>
      <c r="AI19" s="259">
        <f t="shared" si="45"/>
        <v>0</v>
      </c>
      <c r="AJ19" s="259">
        <f t="shared" si="46"/>
        <v>0</v>
      </c>
      <c r="AK19" s="259">
        <f t="shared" si="47"/>
        <v>0</v>
      </c>
      <c r="AL19" s="259">
        <f t="shared" si="48"/>
        <v>0</v>
      </c>
      <c r="AM19" s="259">
        <f t="shared" si="49"/>
        <v>0</v>
      </c>
      <c r="AN19" s="259">
        <f t="shared" si="50"/>
        <v>0</v>
      </c>
      <c r="AO19" s="257"/>
      <c r="AP19" s="259">
        <f t="shared" si="35"/>
        <v>0</v>
      </c>
      <c r="AQ19" s="259">
        <f t="shared" si="35"/>
        <v>7500</v>
      </c>
      <c r="AR19" s="259">
        <f t="shared" si="35"/>
        <v>0</v>
      </c>
      <c r="AS19" s="259">
        <f t="shared" si="35"/>
        <v>0</v>
      </c>
      <c r="AT19" s="259">
        <f t="shared" si="35"/>
        <v>0</v>
      </c>
      <c r="AU19" s="259">
        <f t="shared" si="35"/>
        <v>0</v>
      </c>
      <c r="AV19" s="259">
        <f t="shared" si="35"/>
        <v>0</v>
      </c>
      <c r="AW19" s="259">
        <f t="shared" si="35"/>
        <v>0</v>
      </c>
      <c r="AX19" s="259">
        <f t="shared" si="35"/>
        <v>0</v>
      </c>
      <c r="AY19" s="259">
        <f t="shared" si="35"/>
        <v>0</v>
      </c>
      <c r="AZ19" s="259">
        <f t="shared" si="35"/>
        <v>0</v>
      </c>
      <c r="BA19" s="259">
        <f t="shared" si="35"/>
        <v>0</v>
      </c>
      <c r="BB19" s="259">
        <f t="shared" si="35"/>
        <v>0</v>
      </c>
      <c r="BC19" s="259">
        <f t="shared" si="35"/>
        <v>0</v>
      </c>
      <c r="BD19" s="259">
        <f t="shared" si="35"/>
        <v>0</v>
      </c>
      <c r="BF19" s="252">
        <f t="shared" si="18"/>
        <v>0</v>
      </c>
    </row>
    <row r="20" spans="1:58" x14ac:dyDescent="0.25">
      <c r="A20" t="s">
        <v>179</v>
      </c>
      <c r="B20" s="288"/>
      <c r="D20" s="251">
        <v>300000</v>
      </c>
      <c r="E20" s="304"/>
      <c r="F20" s="251"/>
      <c r="G20" t="s">
        <v>218</v>
      </c>
      <c r="I20" s="249">
        <v>0.25</v>
      </c>
      <c r="J20" s="249">
        <v>0.25</v>
      </c>
      <c r="K20" s="249">
        <v>0.25</v>
      </c>
      <c r="L20" s="249">
        <v>0.25</v>
      </c>
      <c r="X20" s="287">
        <f t="shared" si="34"/>
        <v>300000</v>
      </c>
      <c r="Z20" s="259">
        <f t="shared" ref="Z20:Z31" si="51">H20*$D20</f>
        <v>0</v>
      </c>
      <c r="AA20" s="259">
        <f t="shared" ref="AA20:AA31" si="52">I20*$D20</f>
        <v>75000</v>
      </c>
      <c r="AB20" s="259">
        <f t="shared" ref="AB20:AB31" si="53">J20*$D20</f>
        <v>75000</v>
      </c>
      <c r="AC20" s="259">
        <f t="shared" ref="AC20:AC31" si="54">K20*$D20</f>
        <v>75000</v>
      </c>
      <c r="AD20" s="259">
        <f t="shared" ref="AD20:AD31" si="55">L20*$D20</f>
        <v>75000</v>
      </c>
      <c r="AE20" s="259">
        <f t="shared" ref="AE20:AE31" si="56">M20*$D20</f>
        <v>0</v>
      </c>
      <c r="AF20" s="259">
        <f t="shared" ref="AF20:AF31" si="57">N20*$D20</f>
        <v>0</v>
      </c>
      <c r="AG20" s="259">
        <f t="shared" ref="AG20:AG31" si="58">O20*$D20</f>
        <v>0</v>
      </c>
      <c r="AH20" s="259">
        <f t="shared" ref="AH20:AH31" si="59">P20*$D20</f>
        <v>0</v>
      </c>
      <c r="AI20" s="259">
        <f t="shared" ref="AI20:AI31" si="60">Q20*$D20</f>
        <v>0</v>
      </c>
      <c r="AJ20" s="259">
        <f t="shared" ref="AJ20:AJ31" si="61">R20*$D20</f>
        <v>0</v>
      </c>
      <c r="AK20" s="259">
        <f t="shared" ref="AK20:AK31" si="62">S20*$D20</f>
        <v>0</v>
      </c>
      <c r="AL20" s="259">
        <f t="shared" ref="AL20:AL31" si="63">T20*$D20</f>
        <v>0</v>
      </c>
      <c r="AM20" s="259">
        <f t="shared" ref="AM20:AM31" si="64">U20*$D20</f>
        <v>0</v>
      </c>
      <c r="AN20" s="259">
        <f t="shared" ref="AN20:AN31" si="65">V20*$D20</f>
        <v>0</v>
      </c>
      <c r="AO20" s="257"/>
      <c r="AP20" s="259">
        <f t="shared" si="35"/>
        <v>0</v>
      </c>
      <c r="AQ20" s="259">
        <f t="shared" si="35"/>
        <v>300000</v>
      </c>
      <c r="AR20" s="259">
        <f t="shared" si="35"/>
        <v>0</v>
      </c>
      <c r="AS20" s="259">
        <f t="shared" si="35"/>
        <v>0</v>
      </c>
      <c r="AT20" s="259">
        <f t="shared" si="35"/>
        <v>0</v>
      </c>
      <c r="AU20" s="259">
        <f t="shared" si="35"/>
        <v>0</v>
      </c>
      <c r="AV20" s="259">
        <f t="shared" si="35"/>
        <v>0</v>
      </c>
      <c r="AW20" s="259">
        <f t="shared" si="35"/>
        <v>0</v>
      </c>
      <c r="AX20" s="259">
        <f t="shared" si="35"/>
        <v>0</v>
      </c>
      <c r="AY20" s="259">
        <f t="shared" si="35"/>
        <v>0</v>
      </c>
      <c r="AZ20" s="259">
        <f t="shared" si="35"/>
        <v>0</v>
      </c>
      <c r="BA20" s="259">
        <f t="shared" si="35"/>
        <v>0</v>
      </c>
      <c r="BB20" s="259">
        <f t="shared" si="35"/>
        <v>0</v>
      </c>
      <c r="BC20" s="259">
        <f t="shared" si="35"/>
        <v>0</v>
      </c>
      <c r="BD20" s="259">
        <f t="shared" si="35"/>
        <v>0</v>
      </c>
      <c r="BF20" s="252">
        <f t="shared" si="18"/>
        <v>0</v>
      </c>
    </row>
    <row r="21" spans="1:58" x14ac:dyDescent="0.25">
      <c r="A21" t="s">
        <v>179</v>
      </c>
      <c r="B21" s="288"/>
      <c r="D21" s="251">
        <v>300000</v>
      </c>
      <c r="E21" s="304"/>
      <c r="F21" s="251"/>
      <c r="G21" t="s">
        <v>219</v>
      </c>
      <c r="M21" s="249">
        <v>0.25</v>
      </c>
      <c r="N21" s="249">
        <v>0.25</v>
      </c>
      <c r="O21" s="249">
        <v>0.25</v>
      </c>
      <c r="P21" s="249">
        <v>0.25</v>
      </c>
      <c r="X21" s="287">
        <f t="shared" si="34"/>
        <v>300000</v>
      </c>
      <c r="Y21" s="287">
        <f>+X8+X9+X10+X11+X12+X13+X14+X16+X17+X20+X21</f>
        <v>3120000</v>
      </c>
      <c r="Z21" s="259">
        <f t="shared" si="51"/>
        <v>0</v>
      </c>
      <c r="AA21" s="259">
        <f t="shared" si="52"/>
        <v>0</v>
      </c>
      <c r="AB21" s="259">
        <f t="shared" si="53"/>
        <v>0</v>
      </c>
      <c r="AC21" s="259">
        <f t="shared" si="54"/>
        <v>0</v>
      </c>
      <c r="AD21" s="259">
        <f t="shared" si="55"/>
        <v>0</v>
      </c>
      <c r="AE21" s="259">
        <f t="shared" si="56"/>
        <v>75000</v>
      </c>
      <c r="AF21" s="259">
        <f t="shared" si="57"/>
        <v>75000</v>
      </c>
      <c r="AG21" s="259">
        <f t="shared" si="58"/>
        <v>75000</v>
      </c>
      <c r="AH21" s="259">
        <f t="shared" si="59"/>
        <v>75000</v>
      </c>
      <c r="AI21" s="259">
        <f t="shared" si="60"/>
        <v>0</v>
      </c>
      <c r="AJ21" s="259">
        <f t="shared" si="61"/>
        <v>0</v>
      </c>
      <c r="AK21" s="259">
        <f t="shared" si="62"/>
        <v>0</v>
      </c>
      <c r="AL21" s="259">
        <f t="shared" si="63"/>
        <v>0</v>
      </c>
      <c r="AM21" s="259">
        <f t="shared" si="64"/>
        <v>0</v>
      </c>
      <c r="AN21" s="259">
        <f t="shared" si="65"/>
        <v>0</v>
      </c>
      <c r="AO21" s="257"/>
      <c r="AP21" s="259">
        <f t="shared" si="35"/>
        <v>0</v>
      </c>
      <c r="AQ21" s="259">
        <f t="shared" si="35"/>
        <v>0</v>
      </c>
      <c r="AR21" s="259">
        <f t="shared" si="35"/>
        <v>0</v>
      </c>
      <c r="AS21" s="259">
        <f t="shared" si="35"/>
        <v>0</v>
      </c>
      <c r="AT21" s="259">
        <f t="shared" si="35"/>
        <v>300000</v>
      </c>
      <c r="AU21" s="259">
        <f t="shared" si="35"/>
        <v>0</v>
      </c>
      <c r="AV21" s="259">
        <f t="shared" si="35"/>
        <v>0</v>
      </c>
      <c r="AW21" s="259">
        <f t="shared" si="35"/>
        <v>0</v>
      </c>
      <c r="AX21" s="259">
        <f t="shared" si="35"/>
        <v>0</v>
      </c>
      <c r="AY21" s="259">
        <f t="shared" si="35"/>
        <v>0</v>
      </c>
      <c r="AZ21" s="259">
        <f t="shared" si="35"/>
        <v>0</v>
      </c>
      <c r="BA21" s="259">
        <f t="shared" si="35"/>
        <v>0</v>
      </c>
      <c r="BB21" s="259">
        <f t="shared" si="35"/>
        <v>0</v>
      </c>
      <c r="BC21" s="259">
        <f t="shared" si="35"/>
        <v>0</v>
      </c>
      <c r="BD21" s="259">
        <f t="shared" si="35"/>
        <v>0</v>
      </c>
      <c r="BF21" s="252">
        <f t="shared" si="18"/>
        <v>0</v>
      </c>
    </row>
    <row r="22" spans="1:58" x14ac:dyDescent="0.25">
      <c r="A22" t="s">
        <v>175</v>
      </c>
      <c r="B22" s="265"/>
      <c r="C22" s="276"/>
      <c r="D22" s="262">
        <v>4000000</v>
      </c>
      <c r="E22" s="305" t="s">
        <v>245</v>
      </c>
      <c r="F22" s="262">
        <f>+D22</f>
        <v>4000000</v>
      </c>
      <c r="G22" t="s">
        <v>219</v>
      </c>
      <c r="L22" s="249">
        <v>0.05</v>
      </c>
      <c r="M22" s="249">
        <v>0.1</v>
      </c>
      <c r="N22" s="249">
        <v>0.1</v>
      </c>
      <c r="O22" s="249">
        <v>0.1</v>
      </c>
      <c r="P22" s="249">
        <v>0.1</v>
      </c>
      <c r="Q22" s="249">
        <v>0.1</v>
      </c>
      <c r="R22" s="249">
        <v>0.1</v>
      </c>
      <c r="S22" s="249">
        <v>0.1</v>
      </c>
      <c r="T22" s="249">
        <v>0.1</v>
      </c>
      <c r="U22" s="249">
        <v>0.1</v>
      </c>
      <c r="V22" s="249">
        <v>0.05</v>
      </c>
      <c r="X22" s="266">
        <f>+D22</f>
        <v>4000000</v>
      </c>
      <c r="Y22" s="263" t="s">
        <v>233</v>
      </c>
      <c r="Z22" s="259">
        <f t="shared" si="51"/>
        <v>0</v>
      </c>
      <c r="AA22" s="259">
        <f t="shared" si="52"/>
        <v>0</v>
      </c>
      <c r="AB22" s="259">
        <f t="shared" si="53"/>
        <v>0</v>
      </c>
      <c r="AC22" s="259">
        <f t="shared" si="54"/>
        <v>0</v>
      </c>
      <c r="AD22" s="259">
        <f t="shared" si="55"/>
        <v>200000</v>
      </c>
      <c r="AE22" s="259">
        <f t="shared" si="56"/>
        <v>400000</v>
      </c>
      <c r="AF22" s="259">
        <f t="shared" si="57"/>
        <v>400000</v>
      </c>
      <c r="AG22" s="259">
        <f t="shared" si="58"/>
        <v>400000</v>
      </c>
      <c r="AH22" s="259">
        <f t="shared" si="59"/>
        <v>400000</v>
      </c>
      <c r="AI22" s="259">
        <f t="shared" si="60"/>
        <v>400000</v>
      </c>
      <c r="AJ22" s="259">
        <f t="shared" si="61"/>
        <v>400000</v>
      </c>
      <c r="AK22" s="259">
        <f t="shared" si="62"/>
        <v>400000</v>
      </c>
      <c r="AL22" s="259">
        <f t="shared" si="63"/>
        <v>400000</v>
      </c>
      <c r="AM22" s="259">
        <f t="shared" si="64"/>
        <v>400000</v>
      </c>
      <c r="AN22" s="259">
        <f t="shared" si="65"/>
        <v>200000</v>
      </c>
      <c r="AO22" s="257"/>
      <c r="AP22" s="259">
        <f t="shared" si="35"/>
        <v>0</v>
      </c>
      <c r="AQ22" s="259">
        <f t="shared" si="35"/>
        <v>0</v>
      </c>
      <c r="AR22" s="259">
        <f t="shared" si="35"/>
        <v>0</v>
      </c>
      <c r="AS22" s="259">
        <f t="shared" si="35"/>
        <v>0</v>
      </c>
      <c r="AT22" s="259">
        <f t="shared" si="35"/>
        <v>4000000</v>
      </c>
      <c r="AU22" s="259">
        <f t="shared" si="35"/>
        <v>0</v>
      </c>
      <c r="AV22" s="259">
        <f t="shared" si="35"/>
        <v>0</v>
      </c>
      <c r="AW22" s="259">
        <f t="shared" si="35"/>
        <v>0</v>
      </c>
      <c r="AX22" s="259">
        <f t="shared" si="35"/>
        <v>0</v>
      </c>
      <c r="AY22" s="259">
        <f t="shared" si="35"/>
        <v>0</v>
      </c>
      <c r="AZ22" s="259">
        <f t="shared" si="35"/>
        <v>0</v>
      </c>
      <c r="BA22" s="259">
        <f t="shared" si="35"/>
        <v>0</v>
      </c>
      <c r="BB22" s="259">
        <f t="shared" si="35"/>
        <v>0</v>
      </c>
      <c r="BC22" s="259">
        <f t="shared" si="35"/>
        <v>0</v>
      </c>
      <c r="BD22" s="259">
        <f t="shared" si="35"/>
        <v>0</v>
      </c>
      <c r="BF22" s="252">
        <f t="shared" si="18"/>
        <v>0</v>
      </c>
    </row>
    <row r="23" spans="1:58" x14ac:dyDescent="0.25">
      <c r="A23" t="s">
        <v>179</v>
      </c>
      <c r="B23" s="284"/>
      <c r="D23" s="251">
        <v>200000</v>
      </c>
      <c r="E23" s="304"/>
      <c r="F23" s="251"/>
      <c r="G23" t="s">
        <v>220</v>
      </c>
      <c r="I23">
        <f>3/12</f>
        <v>0.25</v>
      </c>
      <c r="J23">
        <f>3/12</f>
        <v>0.25</v>
      </c>
      <c r="K23">
        <f>3/12</f>
        <v>0.25</v>
      </c>
      <c r="L23">
        <v>0.25</v>
      </c>
      <c r="X23" s="269">
        <f>+D23</f>
        <v>200000</v>
      </c>
      <c r="Y23" s="263" t="s">
        <v>233</v>
      </c>
      <c r="Z23" s="283">
        <f t="shared" si="51"/>
        <v>0</v>
      </c>
      <c r="AA23" s="259">
        <f t="shared" si="52"/>
        <v>50000</v>
      </c>
      <c r="AB23" s="259">
        <f t="shared" si="53"/>
        <v>50000</v>
      </c>
      <c r="AC23" s="259">
        <f t="shared" si="54"/>
        <v>50000</v>
      </c>
      <c r="AD23" s="259">
        <f t="shared" si="55"/>
        <v>50000</v>
      </c>
      <c r="AE23" s="259">
        <f t="shared" si="56"/>
        <v>0</v>
      </c>
      <c r="AF23" s="259">
        <f t="shared" si="57"/>
        <v>0</v>
      </c>
      <c r="AG23" s="259">
        <f t="shared" si="58"/>
        <v>0</v>
      </c>
      <c r="AH23" s="259">
        <f t="shared" si="59"/>
        <v>0</v>
      </c>
      <c r="AI23" s="259">
        <f t="shared" si="60"/>
        <v>0</v>
      </c>
      <c r="AJ23" s="259">
        <f t="shared" si="61"/>
        <v>0</v>
      </c>
      <c r="AK23" s="259">
        <f t="shared" si="62"/>
        <v>0</v>
      </c>
      <c r="AL23" s="259">
        <f t="shared" si="63"/>
        <v>0</v>
      </c>
      <c r="AM23" s="259">
        <f t="shared" si="64"/>
        <v>0</v>
      </c>
      <c r="AN23" s="259">
        <f t="shared" si="65"/>
        <v>0</v>
      </c>
      <c r="AO23" s="257"/>
      <c r="AP23" s="259">
        <f t="shared" si="35"/>
        <v>200000</v>
      </c>
      <c r="AQ23" s="259">
        <f t="shared" si="35"/>
        <v>0</v>
      </c>
      <c r="AR23" s="259">
        <f t="shared" si="35"/>
        <v>0</v>
      </c>
      <c r="AS23" s="259">
        <f t="shared" si="35"/>
        <v>0</v>
      </c>
      <c r="AT23" s="259">
        <f t="shared" si="35"/>
        <v>0</v>
      </c>
      <c r="AU23" s="259">
        <f t="shared" si="35"/>
        <v>0</v>
      </c>
      <c r="AV23" s="259">
        <f t="shared" si="35"/>
        <v>0</v>
      </c>
      <c r="AW23" s="259">
        <f t="shared" si="35"/>
        <v>0</v>
      </c>
      <c r="AX23" s="259">
        <f t="shared" si="35"/>
        <v>0</v>
      </c>
      <c r="AY23" s="259">
        <f t="shared" si="35"/>
        <v>0</v>
      </c>
      <c r="AZ23" s="259">
        <f t="shared" si="35"/>
        <v>0</v>
      </c>
      <c r="BA23" s="259">
        <f t="shared" si="35"/>
        <v>0</v>
      </c>
      <c r="BB23" s="259">
        <f t="shared" si="35"/>
        <v>0</v>
      </c>
      <c r="BC23" s="259">
        <f t="shared" si="35"/>
        <v>0</v>
      </c>
      <c r="BD23" s="259">
        <f t="shared" si="35"/>
        <v>0</v>
      </c>
      <c r="BF23" s="252">
        <f t="shared" si="18"/>
        <v>0</v>
      </c>
    </row>
    <row r="24" spans="1:58" x14ac:dyDescent="0.25">
      <c r="A24" t="s">
        <v>183</v>
      </c>
      <c r="B24" s="292"/>
      <c r="C24" s="276"/>
      <c r="D24" s="262">
        <v>400000</v>
      </c>
      <c r="E24" s="305"/>
      <c r="F24" s="262"/>
      <c r="G24" t="s">
        <v>211</v>
      </c>
      <c r="J24" s="249">
        <v>0.25</v>
      </c>
      <c r="K24" s="249">
        <v>0.25</v>
      </c>
      <c r="L24" s="249">
        <v>0.25</v>
      </c>
      <c r="M24" s="249">
        <v>0.25</v>
      </c>
      <c r="X24" s="269">
        <f>+D24</f>
        <v>400000</v>
      </c>
      <c r="Y24" s="269">
        <f>+X24+X23</f>
        <v>600000</v>
      </c>
      <c r="Z24" s="259">
        <f t="shared" si="51"/>
        <v>0</v>
      </c>
      <c r="AA24" s="259">
        <f t="shared" si="52"/>
        <v>0</v>
      </c>
      <c r="AB24" s="259">
        <f t="shared" si="53"/>
        <v>100000</v>
      </c>
      <c r="AC24" s="259">
        <f t="shared" si="54"/>
        <v>100000</v>
      </c>
      <c r="AD24" s="259">
        <f t="shared" si="55"/>
        <v>100000</v>
      </c>
      <c r="AE24" s="259">
        <f t="shared" si="56"/>
        <v>100000</v>
      </c>
      <c r="AF24" s="259">
        <f t="shared" si="57"/>
        <v>0</v>
      </c>
      <c r="AG24" s="259">
        <f t="shared" si="58"/>
        <v>0</v>
      </c>
      <c r="AH24" s="259">
        <f t="shared" si="59"/>
        <v>0</v>
      </c>
      <c r="AI24" s="259">
        <f t="shared" si="60"/>
        <v>0</v>
      </c>
      <c r="AJ24" s="259">
        <f t="shared" si="61"/>
        <v>0</v>
      </c>
      <c r="AK24" s="259">
        <f t="shared" si="62"/>
        <v>0</v>
      </c>
      <c r="AL24" s="259">
        <f t="shared" si="63"/>
        <v>0</v>
      </c>
      <c r="AM24" s="259">
        <f t="shared" si="64"/>
        <v>0</v>
      </c>
      <c r="AN24" s="259">
        <f t="shared" si="65"/>
        <v>0</v>
      </c>
      <c r="AO24" s="257"/>
      <c r="AP24" s="259">
        <f t="shared" ref="AP24:BD31" si="66">IF(AP$3=$G24,$D24,0)</f>
        <v>0</v>
      </c>
      <c r="AQ24" s="259">
        <f t="shared" si="66"/>
        <v>0</v>
      </c>
      <c r="AR24" s="259">
        <f t="shared" si="66"/>
        <v>400000</v>
      </c>
      <c r="AS24" s="259">
        <f t="shared" si="66"/>
        <v>0</v>
      </c>
      <c r="AT24" s="259">
        <f t="shared" si="66"/>
        <v>0</v>
      </c>
      <c r="AU24" s="259">
        <f t="shared" si="66"/>
        <v>0</v>
      </c>
      <c r="AV24" s="259">
        <f t="shared" si="66"/>
        <v>0</v>
      </c>
      <c r="AW24" s="259">
        <f t="shared" si="66"/>
        <v>0</v>
      </c>
      <c r="AX24" s="259">
        <f t="shared" si="66"/>
        <v>0</v>
      </c>
      <c r="AY24" s="259">
        <f t="shared" si="66"/>
        <v>0</v>
      </c>
      <c r="AZ24" s="259">
        <f t="shared" si="66"/>
        <v>0</v>
      </c>
      <c r="BA24" s="259">
        <f t="shared" si="66"/>
        <v>0</v>
      </c>
      <c r="BB24" s="259">
        <f t="shared" si="66"/>
        <v>0</v>
      </c>
      <c r="BC24" s="259">
        <f t="shared" si="66"/>
        <v>0</v>
      </c>
      <c r="BD24" s="259">
        <f t="shared" si="66"/>
        <v>0</v>
      </c>
      <c r="BF24" s="252">
        <f t="shared" si="18"/>
        <v>0</v>
      </c>
    </row>
    <row r="25" spans="1:58" x14ac:dyDescent="0.25">
      <c r="A25" t="s">
        <v>184</v>
      </c>
      <c r="B25" s="292"/>
      <c r="C25" s="276"/>
      <c r="D25" s="251">
        <v>100000</v>
      </c>
      <c r="E25" s="251"/>
      <c r="F25" s="251"/>
      <c r="G25" t="s">
        <v>211</v>
      </c>
      <c r="K25" s="249">
        <v>0.25</v>
      </c>
      <c r="L25" s="249">
        <v>0.25</v>
      </c>
      <c r="M25" s="249">
        <v>0.25</v>
      </c>
      <c r="N25" s="249">
        <v>0.25</v>
      </c>
      <c r="Z25" s="259">
        <f t="shared" si="51"/>
        <v>0</v>
      </c>
      <c r="AA25" s="259">
        <f t="shared" si="52"/>
        <v>0</v>
      </c>
      <c r="AB25" s="259">
        <f t="shared" si="53"/>
        <v>0</v>
      </c>
      <c r="AC25" s="259">
        <f t="shared" si="54"/>
        <v>25000</v>
      </c>
      <c r="AD25" s="259">
        <f t="shared" si="55"/>
        <v>25000</v>
      </c>
      <c r="AE25" s="259">
        <f t="shared" si="56"/>
        <v>25000</v>
      </c>
      <c r="AF25" s="259">
        <f t="shared" si="57"/>
        <v>25000</v>
      </c>
      <c r="AG25" s="259">
        <f t="shared" si="58"/>
        <v>0</v>
      </c>
      <c r="AH25" s="259">
        <f t="shared" si="59"/>
        <v>0</v>
      </c>
      <c r="AI25" s="259">
        <f t="shared" si="60"/>
        <v>0</v>
      </c>
      <c r="AJ25" s="259">
        <f t="shared" si="61"/>
        <v>0</v>
      </c>
      <c r="AK25" s="259">
        <f t="shared" si="62"/>
        <v>0</v>
      </c>
      <c r="AL25" s="259">
        <f t="shared" si="63"/>
        <v>0</v>
      </c>
      <c r="AM25" s="259">
        <f t="shared" si="64"/>
        <v>0</v>
      </c>
      <c r="AN25" s="259">
        <f t="shared" si="65"/>
        <v>0</v>
      </c>
      <c r="AO25" s="257"/>
      <c r="AP25" s="259">
        <f t="shared" si="66"/>
        <v>0</v>
      </c>
      <c r="AQ25" s="259">
        <f t="shared" si="66"/>
        <v>0</v>
      </c>
      <c r="AR25" s="259">
        <f t="shared" si="66"/>
        <v>100000</v>
      </c>
      <c r="AS25" s="259">
        <f t="shared" si="66"/>
        <v>0</v>
      </c>
      <c r="AT25" s="259">
        <f t="shared" si="66"/>
        <v>0</v>
      </c>
      <c r="AU25" s="259">
        <f t="shared" si="66"/>
        <v>0</v>
      </c>
      <c r="AV25" s="259">
        <f t="shared" si="66"/>
        <v>0</v>
      </c>
      <c r="AW25" s="259">
        <f t="shared" si="66"/>
        <v>0</v>
      </c>
      <c r="AX25" s="259">
        <f t="shared" si="66"/>
        <v>0</v>
      </c>
      <c r="AY25" s="259">
        <f t="shared" si="66"/>
        <v>0</v>
      </c>
      <c r="AZ25" s="259">
        <f t="shared" si="66"/>
        <v>0</v>
      </c>
      <c r="BA25" s="259">
        <f t="shared" si="66"/>
        <v>0</v>
      </c>
      <c r="BB25" s="259">
        <f t="shared" si="66"/>
        <v>0</v>
      </c>
      <c r="BC25" s="259">
        <f t="shared" si="66"/>
        <v>0</v>
      </c>
      <c r="BD25" s="259">
        <f t="shared" si="66"/>
        <v>0</v>
      </c>
      <c r="BF25" s="252">
        <f t="shared" si="18"/>
        <v>0</v>
      </c>
    </row>
    <row r="26" spans="1:58" x14ac:dyDescent="0.25">
      <c r="A26" t="s">
        <v>185</v>
      </c>
      <c r="B26" s="292"/>
      <c r="C26" s="276"/>
      <c r="D26" s="251">
        <v>100000</v>
      </c>
      <c r="E26" s="251"/>
      <c r="F26" s="251"/>
      <c r="G26" t="s">
        <v>213</v>
      </c>
      <c r="N26" s="249">
        <v>0.25</v>
      </c>
      <c r="O26" s="249">
        <v>0.25</v>
      </c>
      <c r="P26" s="249">
        <v>0.25</v>
      </c>
      <c r="Q26" s="249">
        <v>0.25</v>
      </c>
      <c r="Z26" s="259">
        <f t="shared" si="51"/>
        <v>0</v>
      </c>
      <c r="AA26" s="259">
        <f t="shared" si="52"/>
        <v>0</v>
      </c>
      <c r="AB26" s="259">
        <f t="shared" si="53"/>
        <v>0</v>
      </c>
      <c r="AC26" s="259">
        <f t="shared" si="54"/>
        <v>0</v>
      </c>
      <c r="AD26" s="259">
        <f t="shared" si="55"/>
        <v>0</v>
      </c>
      <c r="AE26" s="259">
        <f t="shared" si="56"/>
        <v>0</v>
      </c>
      <c r="AF26" s="259">
        <f t="shared" si="57"/>
        <v>25000</v>
      </c>
      <c r="AG26" s="259">
        <f t="shared" si="58"/>
        <v>25000</v>
      </c>
      <c r="AH26" s="259">
        <f t="shared" si="59"/>
        <v>25000</v>
      </c>
      <c r="AI26" s="259">
        <f t="shared" si="60"/>
        <v>25000</v>
      </c>
      <c r="AJ26" s="259">
        <f t="shared" si="61"/>
        <v>0</v>
      </c>
      <c r="AK26" s="259">
        <f t="shared" si="62"/>
        <v>0</v>
      </c>
      <c r="AL26" s="259">
        <f t="shared" si="63"/>
        <v>0</v>
      </c>
      <c r="AM26" s="259">
        <f t="shared" si="64"/>
        <v>0</v>
      </c>
      <c r="AN26" s="259">
        <f t="shared" si="65"/>
        <v>0</v>
      </c>
      <c r="AO26" s="257"/>
      <c r="AP26" s="259">
        <f t="shared" si="66"/>
        <v>0</v>
      </c>
      <c r="AQ26" s="259">
        <f t="shared" si="66"/>
        <v>0</v>
      </c>
      <c r="AR26" s="259">
        <f t="shared" si="66"/>
        <v>0</v>
      </c>
      <c r="AS26" s="259">
        <f t="shared" si="66"/>
        <v>0</v>
      </c>
      <c r="AT26" s="259">
        <f t="shared" si="66"/>
        <v>0</v>
      </c>
      <c r="AU26" s="259">
        <f t="shared" si="66"/>
        <v>0</v>
      </c>
      <c r="AV26" s="259">
        <f t="shared" si="66"/>
        <v>100000</v>
      </c>
      <c r="AW26" s="259">
        <f t="shared" si="66"/>
        <v>0</v>
      </c>
      <c r="AX26" s="259">
        <f t="shared" si="66"/>
        <v>0</v>
      </c>
      <c r="AY26" s="259">
        <f t="shared" si="66"/>
        <v>0</v>
      </c>
      <c r="AZ26" s="259">
        <f t="shared" si="66"/>
        <v>0</v>
      </c>
      <c r="BA26" s="259">
        <f t="shared" si="66"/>
        <v>0</v>
      </c>
      <c r="BB26" s="259">
        <f t="shared" si="66"/>
        <v>0</v>
      </c>
      <c r="BC26" s="259">
        <f t="shared" si="66"/>
        <v>0</v>
      </c>
      <c r="BD26" s="259">
        <f t="shared" si="66"/>
        <v>0</v>
      </c>
      <c r="BF26" s="252">
        <f t="shared" si="18"/>
        <v>0</v>
      </c>
    </row>
    <row r="27" spans="1:58" x14ac:dyDescent="0.25">
      <c r="A27" t="s">
        <v>183</v>
      </c>
      <c r="B27" s="292"/>
      <c r="C27" s="276"/>
      <c r="D27" s="262">
        <v>500000</v>
      </c>
      <c r="E27" s="305"/>
      <c r="F27" s="262"/>
      <c r="G27" t="s">
        <v>257</v>
      </c>
      <c r="S27" s="249">
        <v>0.25</v>
      </c>
      <c r="T27" s="249">
        <v>0.25</v>
      </c>
      <c r="U27" s="249">
        <v>0.25</v>
      </c>
      <c r="V27" s="249">
        <v>0.25</v>
      </c>
      <c r="Z27" s="259">
        <f t="shared" si="51"/>
        <v>0</v>
      </c>
      <c r="AA27" s="259">
        <f t="shared" si="52"/>
        <v>0</v>
      </c>
      <c r="AB27" s="259">
        <f t="shared" si="53"/>
        <v>0</v>
      </c>
      <c r="AC27" s="259">
        <f t="shared" si="54"/>
        <v>0</v>
      </c>
      <c r="AD27" s="259">
        <f t="shared" si="55"/>
        <v>0</v>
      </c>
      <c r="AE27" s="259">
        <f t="shared" si="56"/>
        <v>0</v>
      </c>
      <c r="AF27" s="259">
        <f t="shared" si="57"/>
        <v>0</v>
      </c>
      <c r="AG27" s="259">
        <f t="shared" si="58"/>
        <v>0</v>
      </c>
      <c r="AH27" s="259">
        <f t="shared" si="59"/>
        <v>0</v>
      </c>
      <c r="AI27" s="259">
        <f t="shared" si="60"/>
        <v>0</v>
      </c>
      <c r="AJ27" s="259">
        <f t="shared" si="61"/>
        <v>0</v>
      </c>
      <c r="AK27" s="259">
        <f t="shared" si="62"/>
        <v>125000</v>
      </c>
      <c r="AL27" s="259">
        <f t="shared" si="63"/>
        <v>125000</v>
      </c>
      <c r="AM27" s="259">
        <f t="shared" si="64"/>
        <v>125000</v>
      </c>
      <c r="AN27" s="259">
        <f t="shared" si="65"/>
        <v>125000</v>
      </c>
      <c r="AO27" s="257"/>
      <c r="AP27" s="259">
        <f t="shared" si="66"/>
        <v>0</v>
      </c>
      <c r="AQ27" s="259">
        <f t="shared" si="66"/>
        <v>0</v>
      </c>
      <c r="AR27" s="259">
        <f t="shared" si="66"/>
        <v>0</v>
      </c>
      <c r="AS27" s="259">
        <f t="shared" si="66"/>
        <v>0</v>
      </c>
      <c r="AT27" s="259">
        <f t="shared" si="66"/>
        <v>0</v>
      </c>
      <c r="AU27" s="259">
        <f t="shared" si="66"/>
        <v>0</v>
      </c>
      <c r="AV27" s="259">
        <f t="shared" si="66"/>
        <v>0</v>
      </c>
      <c r="AW27" s="259">
        <f t="shared" si="66"/>
        <v>0</v>
      </c>
      <c r="AX27" s="259">
        <f t="shared" si="66"/>
        <v>0</v>
      </c>
      <c r="AY27" s="259">
        <f t="shared" si="66"/>
        <v>0</v>
      </c>
      <c r="AZ27" s="259">
        <f t="shared" si="66"/>
        <v>0</v>
      </c>
      <c r="BA27" s="259">
        <f t="shared" si="66"/>
        <v>0</v>
      </c>
      <c r="BB27" s="259">
        <f t="shared" si="66"/>
        <v>0</v>
      </c>
      <c r="BC27" s="259">
        <f t="shared" si="66"/>
        <v>0</v>
      </c>
      <c r="BD27" s="259">
        <f t="shared" si="66"/>
        <v>500000</v>
      </c>
      <c r="BF27" s="252">
        <f t="shared" si="18"/>
        <v>0</v>
      </c>
    </row>
    <row r="28" spans="1:58" x14ac:dyDescent="0.25">
      <c r="A28" t="s">
        <v>184</v>
      </c>
      <c r="B28" s="292"/>
      <c r="C28" s="276"/>
      <c r="D28" s="251">
        <v>200000</v>
      </c>
      <c r="E28" s="251"/>
      <c r="F28" s="251"/>
      <c r="G28" t="s">
        <v>257</v>
      </c>
      <c r="S28" s="249">
        <v>0.25</v>
      </c>
      <c r="T28" s="249">
        <v>0.25</v>
      </c>
      <c r="U28" s="249">
        <v>0.25</v>
      </c>
      <c r="V28" s="249">
        <v>0.25</v>
      </c>
      <c r="Z28" s="259">
        <f t="shared" si="51"/>
        <v>0</v>
      </c>
      <c r="AA28" s="259">
        <f t="shared" si="52"/>
        <v>0</v>
      </c>
      <c r="AB28" s="259">
        <f t="shared" si="53"/>
        <v>0</v>
      </c>
      <c r="AC28" s="259">
        <f t="shared" si="54"/>
        <v>0</v>
      </c>
      <c r="AD28" s="259">
        <f t="shared" si="55"/>
        <v>0</v>
      </c>
      <c r="AE28" s="259">
        <f t="shared" si="56"/>
        <v>0</v>
      </c>
      <c r="AF28" s="259">
        <f t="shared" si="57"/>
        <v>0</v>
      </c>
      <c r="AG28" s="259">
        <f t="shared" si="58"/>
        <v>0</v>
      </c>
      <c r="AH28" s="259">
        <f t="shared" si="59"/>
        <v>0</v>
      </c>
      <c r="AI28" s="259">
        <f t="shared" si="60"/>
        <v>0</v>
      </c>
      <c r="AJ28" s="259">
        <f t="shared" si="61"/>
        <v>0</v>
      </c>
      <c r="AK28" s="259">
        <f t="shared" si="62"/>
        <v>50000</v>
      </c>
      <c r="AL28" s="259">
        <f t="shared" si="63"/>
        <v>50000</v>
      </c>
      <c r="AM28" s="259">
        <f t="shared" si="64"/>
        <v>50000</v>
      </c>
      <c r="AN28" s="259">
        <f t="shared" si="65"/>
        <v>50000</v>
      </c>
      <c r="AO28" s="257"/>
      <c r="AP28" s="259">
        <f t="shared" si="66"/>
        <v>0</v>
      </c>
      <c r="AQ28" s="259">
        <f t="shared" si="66"/>
        <v>0</v>
      </c>
      <c r="AR28" s="259">
        <f t="shared" si="66"/>
        <v>0</v>
      </c>
      <c r="AS28" s="259">
        <f t="shared" si="66"/>
        <v>0</v>
      </c>
      <c r="AT28" s="259">
        <f t="shared" si="66"/>
        <v>0</v>
      </c>
      <c r="AU28" s="259">
        <f t="shared" si="66"/>
        <v>0</v>
      </c>
      <c r="AV28" s="259">
        <f t="shared" si="66"/>
        <v>0</v>
      </c>
      <c r="AW28" s="259">
        <f t="shared" si="66"/>
        <v>0</v>
      </c>
      <c r="AX28" s="259">
        <f t="shared" si="66"/>
        <v>0</v>
      </c>
      <c r="AY28" s="259">
        <f t="shared" si="66"/>
        <v>0</v>
      </c>
      <c r="AZ28" s="259">
        <f t="shared" si="66"/>
        <v>0</v>
      </c>
      <c r="BA28" s="259">
        <f t="shared" si="66"/>
        <v>0</v>
      </c>
      <c r="BB28" s="259">
        <f t="shared" si="66"/>
        <v>0</v>
      </c>
      <c r="BC28" s="259">
        <f t="shared" si="66"/>
        <v>0</v>
      </c>
      <c r="BD28" s="259">
        <f t="shared" si="66"/>
        <v>200000</v>
      </c>
      <c r="BF28" s="252">
        <f t="shared" si="18"/>
        <v>0</v>
      </c>
    </row>
    <row r="29" spans="1:58" x14ac:dyDescent="0.25">
      <c r="A29" t="s">
        <v>185</v>
      </c>
      <c r="B29" s="292"/>
      <c r="C29" s="276"/>
      <c r="D29" s="251">
        <v>200000</v>
      </c>
      <c r="E29" s="251"/>
      <c r="F29" s="251"/>
      <c r="G29" t="s">
        <v>257</v>
      </c>
      <c r="S29" s="249">
        <v>0.25</v>
      </c>
      <c r="T29" s="249">
        <v>0.25</v>
      </c>
      <c r="U29" s="249">
        <v>0.25</v>
      </c>
      <c r="V29" s="249">
        <v>0.25</v>
      </c>
      <c r="Z29" s="259">
        <f t="shared" si="51"/>
        <v>0</v>
      </c>
      <c r="AA29" s="259">
        <f t="shared" si="52"/>
        <v>0</v>
      </c>
      <c r="AB29" s="259">
        <f t="shared" si="53"/>
        <v>0</v>
      </c>
      <c r="AC29" s="259">
        <f t="shared" si="54"/>
        <v>0</v>
      </c>
      <c r="AD29" s="259">
        <f t="shared" si="55"/>
        <v>0</v>
      </c>
      <c r="AE29" s="259">
        <f t="shared" si="56"/>
        <v>0</v>
      </c>
      <c r="AF29" s="259">
        <f t="shared" si="57"/>
        <v>0</v>
      </c>
      <c r="AG29" s="259">
        <f t="shared" si="58"/>
        <v>0</v>
      </c>
      <c r="AH29" s="259">
        <f t="shared" si="59"/>
        <v>0</v>
      </c>
      <c r="AI29" s="259">
        <f t="shared" si="60"/>
        <v>0</v>
      </c>
      <c r="AJ29" s="259">
        <f t="shared" si="61"/>
        <v>0</v>
      </c>
      <c r="AK29" s="259">
        <f t="shared" si="62"/>
        <v>50000</v>
      </c>
      <c r="AL29" s="259">
        <f t="shared" si="63"/>
        <v>50000</v>
      </c>
      <c r="AM29" s="259">
        <f t="shared" si="64"/>
        <v>50000</v>
      </c>
      <c r="AN29" s="259">
        <f t="shared" si="65"/>
        <v>50000</v>
      </c>
      <c r="AO29" s="257"/>
      <c r="AP29" s="259">
        <f t="shared" si="66"/>
        <v>0</v>
      </c>
      <c r="AQ29" s="259">
        <f t="shared" si="66"/>
        <v>0</v>
      </c>
      <c r="AR29" s="259">
        <f t="shared" si="66"/>
        <v>0</v>
      </c>
      <c r="AS29" s="259">
        <f t="shared" si="66"/>
        <v>0</v>
      </c>
      <c r="AT29" s="259">
        <f t="shared" si="66"/>
        <v>0</v>
      </c>
      <c r="AU29" s="259">
        <f t="shared" si="66"/>
        <v>0</v>
      </c>
      <c r="AV29" s="259">
        <f t="shared" si="66"/>
        <v>0</v>
      </c>
      <c r="AW29" s="259">
        <f t="shared" si="66"/>
        <v>0</v>
      </c>
      <c r="AX29" s="259">
        <f t="shared" si="66"/>
        <v>0</v>
      </c>
      <c r="AY29" s="259">
        <f t="shared" si="66"/>
        <v>0</v>
      </c>
      <c r="AZ29" s="259">
        <f t="shared" si="66"/>
        <v>0</v>
      </c>
      <c r="BA29" s="259">
        <f t="shared" si="66"/>
        <v>0</v>
      </c>
      <c r="BB29" s="259">
        <f t="shared" si="66"/>
        <v>0</v>
      </c>
      <c r="BC29" s="259">
        <f t="shared" si="66"/>
        <v>0</v>
      </c>
      <c r="BD29" s="259">
        <f t="shared" si="66"/>
        <v>200000</v>
      </c>
      <c r="BF29" s="252">
        <f t="shared" si="18"/>
        <v>0</v>
      </c>
    </row>
    <row r="30" spans="1:58" x14ac:dyDescent="0.25">
      <c r="A30" t="s">
        <v>186</v>
      </c>
      <c r="B30" s="292"/>
      <c r="C30" s="276"/>
      <c r="D30" s="251">
        <v>200000</v>
      </c>
      <c r="E30" s="251"/>
      <c r="F30" s="251"/>
      <c r="G30" t="s">
        <v>257</v>
      </c>
      <c r="S30" s="249">
        <v>0.25</v>
      </c>
      <c r="T30" s="249">
        <v>0.25</v>
      </c>
      <c r="U30" s="249">
        <v>0.25</v>
      </c>
      <c r="V30" s="249">
        <v>0.25</v>
      </c>
      <c r="Z30" s="259">
        <f t="shared" si="51"/>
        <v>0</v>
      </c>
      <c r="AA30" s="259">
        <f t="shared" si="52"/>
        <v>0</v>
      </c>
      <c r="AB30" s="259">
        <f t="shared" si="53"/>
        <v>0</v>
      </c>
      <c r="AC30" s="259">
        <f t="shared" si="54"/>
        <v>0</v>
      </c>
      <c r="AD30" s="259">
        <f t="shared" si="55"/>
        <v>0</v>
      </c>
      <c r="AE30" s="259">
        <f t="shared" si="56"/>
        <v>0</v>
      </c>
      <c r="AF30" s="259">
        <f t="shared" si="57"/>
        <v>0</v>
      </c>
      <c r="AG30" s="259">
        <f t="shared" si="58"/>
        <v>0</v>
      </c>
      <c r="AH30" s="259">
        <f t="shared" si="59"/>
        <v>0</v>
      </c>
      <c r="AI30" s="259">
        <f t="shared" si="60"/>
        <v>0</v>
      </c>
      <c r="AJ30" s="259">
        <f t="shared" si="61"/>
        <v>0</v>
      </c>
      <c r="AK30" s="259">
        <f t="shared" si="62"/>
        <v>50000</v>
      </c>
      <c r="AL30" s="259">
        <f t="shared" si="63"/>
        <v>50000</v>
      </c>
      <c r="AM30" s="259">
        <f t="shared" si="64"/>
        <v>50000</v>
      </c>
      <c r="AN30" s="259">
        <f t="shared" si="65"/>
        <v>50000</v>
      </c>
      <c r="AO30" s="257"/>
      <c r="AP30" s="259">
        <f t="shared" si="66"/>
        <v>0</v>
      </c>
      <c r="AQ30" s="259">
        <f t="shared" si="66"/>
        <v>0</v>
      </c>
      <c r="AR30" s="259">
        <f t="shared" si="66"/>
        <v>0</v>
      </c>
      <c r="AS30" s="259">
        <f t="shared" si="66"/>
        <v>0</v>
      </c>
      <c r="AT30" s="259">
        <f t="shared" si="66"/>
        <v>0</v>
      </c>
      <c r="AU30" s="259">
        <f t="shared" si="66"/>
        <v>0</v>
      </c>
      <c r="AV30" s="259">
        <f t="shared" si="66"/>
        <v>0</v>
      </c>
      <c r="AW30" s="259">
        <f t="shared" si="66"/>
        <v>0</v>
      </c>
      <c r="AX30" s="259">
        <f t="shared" si="66"/>
        <v>0</v>
      </c>
      <c r="AY30" s="259">
        <f t="shared" si="66"/>
        <v>0</v>
      </c>
      <c r="AZ30" s="259">
        <f t="shared" si="66"/>
        <v>0</v>
      </c>
      <c r="BA30" s="259">
        <f t="shared" si="66"/>
        <v>0</v>
      </c>
      <c r="BB30" s="259">
        <f t="shared" si="66"/>
        <v>0</v>
      </c>
      <c r="BC30" s="259">
        <f t="shared" si="66"/>
        <v>0</v>
      </c>
      <c r="BD30" s="259">
        <f t="shared" si="66"/>
        <v>200000</v>
      </c>
      <c r="BF30" s="252">
        <f t="shared" si="18"/>
        <v>0</v>
      </c>
    </row>
    <row r="31" spans="1:58" x14ac:dyDescent="0.25">
      <c r="B31" s="254"/>
      <c r="D31" s="251"/>
      <c r="E31" s="251"/>
      <c r="F31" s="251"/>
      <c r="Z31" s="259">
        <f t="shared" si="51"/>
        <v>0</v>
      </c>
      <c r="AA31" s="259">
        <f t="shared" si="52"/>
        <v>0</v>
      </c>
      <c r="AB31" s="259">
        <f t="shared" si="53"/>
        <v>0</v>
      </c>
      <c r="AC31" s="259">
        <f t="shared" si="54"/>
        <v>0</v>
      </c>
      <c r="AD31" s="259">
        <f t="shared" si="55"/>
        <v>0</v>
      </c>
      <c r="AE31" s="259">
        <f t="shared" si="56"/>
        <v>0</v>
      </c>
      <c r="AF31" s="259">
        <f t="shared" si="57"/>
        <v>0</v>
      </c>
      <c r="AG31" s="259">
        <f t="shared" si="58"/>
        <v>0</v>
      </c>
      <c r="AH31" s="259">
        <f t="shared" si="59"/>
        <v>0</v>
      </c>
      <c r="AI31" s="259">
        <f t="shared" si="60"/>
        <v>0</v>
      </c>
      <c r="AJ31" s="259">
        <f t="shared" si="61"/>
        <v>0</v>
      </c>
      <c r="AK31" s="259">
        <f t="shared" si="62"/>
        <v>0</v>
      </c>
      <c r="AL31" s="259">
        <f t="shared" si="63"/>
        <v>0</v>
      </c>
      <c r="AM31" s="259">
        <f t="shared" si="64"/>
        <v>0</v>
      </c>
      <c r="AN31" s="259">
        <f t="shared" si="65"/>
        <v>0</v>
      </c>
      <c r="AO31" s="257"/>
      <c r="AP31" s="259">
        <f t="shared" si="66"/>
        <v>0</v>
      </c>
      <c r="AQ31" s="259">
        <f t="shared" si="66"/>
        <v>0</v>
      </c>
      <c r="AR31" s="259">
        <f t="shared" si="66"/>
        <v>0</v>
      </c>
      <c r="AS31" s="259">
        <f t="shared" si="66"/>
        <v>0</v>
      </c>
      <c r="AT31" s="259">
        <f t="shared" si="66"/>
        <v>0</v>
      </c>
      <c r="AU31" s="259">
        <f t="shared" si="66"/>
        <v>0</v>
      </c>
      <c r="AV31" s="259">
        <f t="shared" si="66"/>
        <v>0</v>
      </c>
      <c r="AW31" s="259">
        <f t="shared" si="66"/>
        <v>0</v>
      </c>
      <c r="AX31" s="259">
        <f t="shared" si="66"/>
        <v>0</v>
      </c>
      <c r="AY31" s="259">
        <f t="shared" si="66"/>
        <v>0</v>
      </c>
      <c r="AZ31" s="259">
        <f t="shared" si="66"/>
        <v>0</v>
      </c>
      <c r="BA31" s="259">
        <f t="shared" si="66"/>
        <v>0</v>
      </c>
      <c r="BB31" s="259">
        <f t="shared" si="66"/>
        <v>0</v>
      </c>
      <c r="BC31" s="259">
        <f t="shared" si="66"/>
        <v>0</v>
      </c>
      <c r="BD31" s="259">
        <f t="shared" si="66"/>
        <v>0</v>
      </c>
      <c r="BF31" s="252">
        <f t="shared" si="18"/>
        <v>0</v>
      </c>
    </row>
    <row r="32" spans="1:58" x14ac:dyDescent="0.25">
      <c r="D32" t="s">
        <v>209</v>
      </c>
      <c r="H32" t="s">
        <v>192</v>
      </c>
      <c r="I32" t="s">
        <v>196</v>
      </c>
      <c r="J32" t="s">
        <v>197</v>
      </c>
      <c r="K32" t="s">
        <v>198</v>
      </c>
      <c r="L32" t="s">
        <v>199</v>
      </c>
      <c r="M32" t="s">
        <v>200</v>
      </c>
      <c r="N32" t="s">
        <v>201</v>
      </c>
      <c r="O32" t="s">
        <v>202</v>
      </c>
      <c r="P32" t="s">
        <v>203</v>
      </c>
      <c r="Q32" t="s">
        <v>204</v>
      </c>
      <c r="R32" t="s">
        <v>205</v>
      </c>
      <c r="S32" t="s">
        <v>206</v>
      </c>
      <c r="T32" t="s">
        <v>207</v>
      </c>
      <c r="U32" t="s">
        <v>208</v>
      </c>
      <c r="V32" t="s">
        <v>210</v>
      </c>
      <c r="W32" t="s">
        <v>209</v>
      </c>
      <c r="Z32" s="259"/>
      <c r="AA32" s="259"/>
      <c r="AB32" s="259"/>
      <c r="AC32" s="259"/>
      <c r="AD32" s="259"/>
      <c r="AE32" s="259"/>
      <c r="AF32" s="259"/>
      <c r="AG32" s="259"/>
      <c r="AH32" s="259"/>
      <c r="AI32" s="259"/>
      <c r="AJ32" s="259"/>
      <c r="AK32" s="259"/>
      <c r="AL32" s="259"/>
      <c r="AM32" s="259"/>
      <c r="AN32" s="259"/>
      <c r="AO32" s="257"/>
      <c r="AP32" s="257"/>
      <c r="AQ32" s="257"/>
      <c r="AR32" s="257"/>
      <c r="AS32" s="257"/>
      <c r="AT32" s="257"/>
      <c r="AU32" s="257"/>
      <c r="AV32" s="257"/>
      <c r="AW32" s="257"/>
      <c r="AX32" s="257"/>
      <c r="AY32" s="257"/>
      <c r="AZ32" s="257"/>
      <c r="BA32" s="257"/>
      <c r="BB32" s="257"/>
      <c r="BC32" s="257"/>
      <c r="BD32" s="257"/>
      <c r="BF32" s="252">
        <f t="shared" si="18"/>
        <v>0</v>
      </c>
    </row>
    <row r="33" spans="1:58" x14ac:dyDescent="0.25">
      <c r="A33" s="253" t="s">
        <v>215</v>
      </c>
      <c r="B33" s="253"/>
      <c r="D33" s="251"/>
      <c r="E33" s="251"/>
      <c r="F33" s="251"/>
      <c r="Z33" s="283"/>
      <c r="AA33" s="259"/>
      <c r="AB33" s="259"/>
      <c r="AC33" s="259"/>
      <c r="AD33" s="259"/>
      <c r="AE33" s="259"/>
      <c r="AF33" s="259"/>
      <c r="AG33" s="259"/>
      <c r="AH33" s="259"/>
      <c r="AI33" s="259"/>
      <c r="AJ33" s="259"/>
      <c r="AK33" s="259"/>
      <c r="AL33" s="259"/>
      <c r="AM33" s="259"/>
      <c r="AN33" s="259"/>
      <c r="AO33" s="257"/>
      <c r="AP33" s="256" t="s">
        <v>192</v>
      </c>
      <c r="AQ33" s="256" t="s">
        <v>196</v>
      </c>
      <c r="AR33" s="256" t="s">
        <v>197</v>
      </c>
      <c r="AS33" s="256" t="s">
        <v>198</v>
      </c>
      <c r="AT33" s="256" t="s">
        <v>192</v>
      </c>
      <c r="AU33" s="256" t="s">
        <v>196</v>
      </c>
      <c r="AV33" s="256" t="s">
        <v>197</v>
      </c>
      <c r="AW33" s="256" t="s">
        <v>198</v>
      </c>
      <c r="AX33" s="256" t="s">
        <v>192</v>
      </c>
      <c r="AY33" s="256" t="s">
        <v>196</v>
      </c>
      <c r="AZ33" s="256" t="s">
        <v>197</v>
      </c>
      <c r="BA33" s="256" t="s">
        <v>198</v>
      </c>
      <c r="BB33" s="256" t="s">
        <v>192</v>
      </c>
      <c r="BC33" s="256" t="s">
        <v>196</v>
      </c>
      <c r="BD33" s="256" t="s">
        <v>197</v>
      </c>
      <c r="BF33" s="252">
        <f t="shared" si="18"/>
        <v>0</v>
      </c>
    </row>
    <row r="34" spans="1:58" x14ac:dyDescent="0.25">
      <c r="A34" t="s">
        <v>177</v>
      </c>
      <c r="B34" s="265"/>
      <c r="D34" s="251">
        <f t="shared" ref="D34:D40" si="67">SUM(H34:V34)</f>
        <v>210000</v>
      </c>
      <c r="E34" s="251"/>
      <c r="F34" s="251"/>
      <c r="G34" t="s">
        <v>218</v>
      </c>
      <c r="I34">
        <v>15000</v>
      </c>
      <c r="J34">
        <v>15000</v>
      </c>
      <c r="K34">
        <v>15000</v>
      </c>
      <c r="L34">
        <v>15000</v>
      </c>
      <c r="M34">
        <v>15000</v>
      </c>
      <c r="N34">
        <v>15000</v>
      </c>
      <c r="O34">
        <v>15000</v>
      </c>
      <c r="P34">
        <v>15000</v>
      </c>
      <c r="Q34">
        <v>15000</v>
      </c>
      <c r="R34">
        <v>15000</v>
      </c>
      <c r="S34">
        <v>15000</v>
      </c>
      <c r="T34">
        <v>15000</v>
      </c>
      <c r="U34">
        <v>15000</v>
      </c>
      <c r="V34">
        <v>15000</v>
      </c>
      <c r="W34" s="296">
        <f>SUM(H34:V34)</f>
        <v>210000</v>
      </c>
      <c r="X34" s="267">
        <f t="shared" ref="X34:X41" si="68">+W34</f>
        <v>210000</v>
      </c>
      <c r="Z34" s="283">
        <f t="shared" ref="Z34:Z41" si="69">H34</f>
        <v>0</v>
      </c>
      <c r="AA34" s="259">
        <f t="shared" ref="AA34:AN41" si="70">I34</f>
        <v>15000</v>
      </c>
      <c r="AB34" s="259">
        <f t="shared" si="70"/>
        <v>15000</v>
      </c>
      <c r="AC34" s="259">
        <f t="shared" si="70"/>
        <v>15000</v>
      </c>
      <c r="AD34" s="259">
        <f t="shared" si="70"/>
        <v>15000</v>
      </c>
      <c r="AE34" s="259">
        <f t="shared" si="70"/>
        <v>15000</v>
      </c>
      <c r="AF34" s="259">
        <f t="shared" si="70"/>
        <v>15000</v>
      </c>
      <c r="AG34" s="259">
        <f t="shared" si="70"/>
        <v>15000</v>
      </c>
      <c r="AH34" s="259">
        <f t="shared" si="70"/>
        <v>15000</v>
      </c>
      <c r="AI34" s="259">
        <f t="shared" si="70"/>
        <v>15000</v>
      </c>
      <c r="AJ34" s="259">
        <f t="shared" si="70"/>
        <v>15000</v>
      </c>
      <c r="AK34" s="259">
        <f t="shared" si="70"/>
        <v>15000</v>
      </c>
      <c r="AL34" s="259">
        <f t="shared" si="70"/>
        <v>15000</v>
      </c>
      <c r="AM34" s="259">
        <f t="shared" si="70"/>
        <v>15000</v>
      </c>
      <c r="AN34" s="259">
        <f t="shared" si="70"/>
        <v>15000</v>
      </c>
      <c r="AO34" s="257"/>
      <c r="AP34" s="259">
        <f>IF(AP$33=$G34,SUM(Z34:AC34),0)</f>
        <v>0</v>
      </c>
      <c r="AQ34" s="259">
        <f t="shared" ref="AQ34:BA41" si="71">IF(AQ$33=$G34,SUM(AA34:AD34),0)</f>
        <v>60000</v>
      </c>
      <c r="AR34" s="259">
        <f t="shared" si="71"/>
        <v>0</v>
      </c>
      <c r="AS34" s="259">
        <f t="shared" si="71"/>
        <v>0</v>
      </c>
      <c r="AT34" s="259">
        <f t="shared" si="71"/>
        <v>0</v>
      </c>
      <c r="AU34" s="259">
        <f t="shared" si="71"/>
        <v>60000</v>
      </c>
      <c r="AV34" s="259">
        <f t="shared" si="71"/>
        <v>0</v>
      </c>
      <c r="AW34" s="259">
        <f t="shared" si="71"/>
        <v>0</v>
      </c>
      <c r="AX34" s="259">
        <f t="shared" si="71"/>
        <v>0</v>
      </c>
      <c r="AY34" s="259">
        <f t="shared" si="71"/>
        <v>60000</v>
      </c>
      <c r="AZ34" s="259">
        <f t="shared" si="71"/>
        <v>0</v>
      </c>
      <c r="BA34" s="259">
        <f t="shared" si="71"/>
        <v>0</v>
      </c>
      <c r="BB34" s="259">
        <f>IF(BB$33=$G34,SUM(AL34:$AN34),0)</f>
        <v>0</v>
      </c>
      <c r="BC34" s="259">
        <f>IF(BC$33=$G34,SUM(AM34:$AN34),0)</f>
        <v>30000</v>
      </c>
      <c r="BD34" s="259">
        <f>IF(BD$33=$G34,SUM(AN34:$AN34),0)</f>
        <v>0</v>
      </c>
      <c r="BF34" s="252">
        <f t="shared" si="18"/>
        <v>0</v>
      </c>
    </row>
    <row r="35" spans="1:58" x14ac:dyDescent="0.25">
      <c r="A35" t="s">
        <v>177</v>
      </c>
      <c r="B35" s="265"/>
      <c r="D35" s="251">
        <f t="shared" si="67"/>
        <v>84000</v>
      </c>
      <c r="E35" s="251"/>
      <c r="F35" s="251"/>
      <c r="G35" t="s">
        <v>218</v>
      </c>
      <c r="I35">
        <v>6000</v>
      </c>
      <c r="J35">
        <v>6000</v>
      </c>
      <c r="K35">
        <v>6000</v>
      </c>
      <c r="L35">
        <v>6000</v>
      </c>
      <c r="M35">
        <v>6000</v>
      </c>
      <c r="N35">
        <v>6000</v>
      </c>
      <c r="O35">
        <v>6000</v>
      </c>
      <c r="P35">
        <v>6000</v>
      </c>
      <c r="Q35">
        <v>6000</v>
      </c>
      <c r="R35">
        <v>6000</v>
      </c>
      <c r="S35">
        <v>6000</v>
      </c>
      <c r="T35">
        <v>6000</v>
      </c>
      <c r="U35">
        <v>6000</v>
      </c>
      <c r="V35">
        <v>6000</v>
      </c>
      <c r="W35">
        <f t="shared" ref="W35:W45" si="72">SUM(H35:V35)</f>
        <v>84000</v>
      </c>
      <c r="X35" s="267">
        <f t="shared" si="68"/>
        <v>84000</v>
      </c>
      <c r="Y35" s="264" t="s">
        <v>233</v>
      </c>
      <c r="Z35" s="283">
        <f t="shared" si="69"/>
        <v>0</v>
      </c>
      <c r="AA35" s="259">
        <f t="shared" si="70"/>
        <v>6000</v>
      </c>
      <c r="AB35" s="259">
        <f t="shared" si="70"/>
        <v>6000</v>
      </c>
      <c r="AC35" s="259">
        <f t="shared" si="70"/>
        <v>6000</v>
      </c>
      <c r="AD35" s="259">
        <f t="shared" si="70"/>
        <v>6000</v>
      </c>
      <c r="AE35" s="259">
        <f t="shared" si="70"/>
        <v>6000</v>
      </c>
      <c r="AF35" s="259">
        <f t="shared" si="70"/>
        <v>6000</v>
      </c>
      <c r="AG35" s="259">
        <f t="shared" si="70"/>
        <v>6000</v>
      </c>
      <c r="AH35" s="259">
        <f t="shared" si="70"/>
        <v>6000</v>
      </c>
      <c r="AI35" s="259">
        <f t="shared" si="70"/>
        <v>6000</v>
      </c>
      <c r="AJ35" s="259">
        <f t="shared" si="70"/>
        <v>6000</v>
      </c>
      <c r="AK35" s="259">
        <f t="shared" si="70"/>
        <v>6000</v>
      </c>
      <c r="AL35" s="259">
        <f t="shared" si="70"/>
        <v>6000</v>
      </c>
      <c r="AM35" s="259">
        <f t="shared" si="70"/>
        <v>6000</v>
      </c>
      <c r="AN35" s="259">
        <f t="shared" si="70"/>
        <v>6000</v>
      </c>
      <c r="AO35" s="257"/>
      <c r="AP35" s="259">
        <f t="shared" ref="AP35:AP41" si="73">IF(AP$33=$G35,SUM(Z35:AC35),0)</f>
        <v>0</v>
      </c>
      <c r="AQ35" s="259">
        <f t="shared" si="71"/>
        <v>24000</v>
      </c>
      <c r="AR35" s="259">
        <f t="shared" si="71"/>
        <v>0</v>
      </c>
      <c r="AS35" s="259">
        <f t="shared" si="71"/>
        <v>0</v>
      </c>
      <c r="AT35" s="259">
        <f t="shared" si="71"/>
        <v>0</v>
      </c>
      <c r="AU35" s="259">
        <f t="shared" si="71"/>
        <v>24000</v>
      </c>
      <c r="AV35" s="259">
        <f t="shared" si="71"/>
        <v>0</v>
      </c>
      <c r="AW35" s="259">
        <f t="shared" si="71"/>
        <v>0</v>
      </c>
      <c r="AX35" s="259">
        <f t="shared" si="71"/>
        <v>0</v>
      </c>
      <c r="AY35" s="259">
        <f t="shared" si="71"/>
        <v>24000</v>
      </c>
      <c r="AZ35" s="259">
        <f t="shared" si="71"/>
        <v>0</v>
      </c>
      <c r="BA35" s="259">
        <f t="shared" si="71"/>
        <v>0</v>
      </c>
      <c r="BB35" s="259">
        <f>IF(BB$33=$G35,SUM(AL35:$AN35),0)</f>
        <v>0</v>
      </c>
      <c r="BC35" s="259">
        <f>IF(BC$33=$G35,SUM(AM35:$AN35),0)</f>
        <v>12000</v>
      </c>
      <c r="BD35" s="259">
        <f>IF(BD$33=$G35,SUM(AN35:$AN35),0)</f>
        <v>0</v>
      </c>
      <c r="BF35" s="252">
        <f t="shared" si="18"/>
        <v>0</v>
      </c>
    </row>
    <row r="36" spans="1:58" x14ac:dyDescent="0.25">
      <c r="A36" t="s">
        <v>187</v>
      </c>
      <c r="B36" s="292"/>
      <c r="D36" s="251">
        <f t="shared" si="67"/>
        <v>182000</v>
      </c>
      <c r="E36" s="305" t="s">
        <v>247</v>
      </c>
      <c r="F36" s="262">
        <v>6000</v>
      </c>
      <c r="G36" t="s">
        <v>220</v>
      </c>
      <c r="H36" s="274">
        <f>J36*2/3+3000</f>
        <v>11000</v>
      </c>
      <c r="I36" s="274">
        <f>12000+F36/2</f>
        <v>15000</v>
      </c>
      <c r="J36">
        <v>12000</v>
      </c>
      <c r="K36">
        <v>12000</v>
      </c>
      <c r="L36">
        <v>12000</v>
      </c>
      <c r="M36">
        <v>12000</v>
      </c>
      <c r="N36">
        <v>12000</v>
      </c>
      <c r="O36">
        <v>12000</v>
      </c>
      <c r="P36">
        <v>12000</v>
      </c>
      <c r="Q36">
        <v>12000</v>
      </c>
      <c r="R36">
        <v>12000</v>
      </c>
      <c r="S36">
        <v>12000</v>
      </c>
      <c r="T36">
        <v>12000</v>
      </c>
      <c r="U36">
        <v>12000</v>
      </c>
      <c r="V36">
        <v>12000</v>
      </c>
      <c r="W36" s="296">
        <f t="shared" si="72"/>
        <v>182000</v>
      </c>
      <c r="X36" s="294">
        <f t="shared" si="68"/>
        <v>182000</v>
      </c>
      <c r="Z36" s="283">
        <f t="shared" si="69"/>
        <v>11000</v>
      </c>
      <c r="AA36" s="259">
        <f t="shared" si="70"/>
        <v>15000</v>
      </c>
      <c r="AB36" s="259">
        <f t="shared" si="70"/>
        <v>12000</v>
      </c>
      <c r="AC36" s="259">
        <f t="shared" si="70"/>
        <v>12000</v>
      </c>
      <c r="AD36" s="259">
        <f t="shared" si="70"/>
        <v>12000</v>
      </c>
      <c r="AE36" s="259">
        <f t="shared" si="70"/>
        <v>12000</v>
      </c>
      <c r="AF36" s="259">
        <f t="shared" si="70"/>
        <v>12000</v>
      </c>
      <c r="AG36" s="259">
        <f t="shared" si="70"/>
        <v>12000</v>
      </c>
      <c r="AH36" s="259">
        <f t="shared" si="70"/>
        <v>12000</v>
      </c>
      <c r="AI36" s="259">
        <f t="shared" si="70"/>
        <v>12000</v>
      </c>
      <c r="AJ36" s="259">
        <f t="shared" si="70"/>
        <v>12000</v>
      </c>
      <c r="AK36" s="259">
        <f t="shared" si="70"/>
        <v>12000</v>
      </c>
      <c r="AL36" s="259">
        <f t="shared" si="70"/>
        <v>12000</v>
      </c>
      <c r="AM36" s="259">
        <f t="shared" si="70"/>
        <v>12000</v>
      </c>
      <c r="AN36" s="259">
        <f t="shared" si="70"/>
        <v>12000</v>
      </c>
      <c r="AO36" s="257"/>
      <c r="AP36" s="259">
        <f t="shared" si="73"/>
        <v>50000</v>
      </c>
      <c r="AQ36" s="259">
        <f t="shared" si="71"/>
        <v>0</v>
      </c>
      <c r="AR36" s="259">
        <f t="shared" si="71"/>
        <v>0</v>
      </c>
      <c r="AS36" s="259">
        <f t="shared" si="71"/>
        <v>0</v>
      </c>
      <c r="AT36" s="259">
        <f t="shared" si="71"/>
        <v>48000</v>
      </c>
      <c r="AU36" s="259">
        <f t="shared" si="71"/>
        <v>0</v>
      </c>
      <c r="AV36" s="259">
        <f t="shared" si="71"/>
        <v>0</v>
      </c>
      <c r="AW36" s="259">
        <f t="shared" si="71"/>
        <v>0</v>
      </c>
      <c r="AX36" s="259">
        <f t="shared" si="71"/>
        <v>48000</v>
      </c>
      <c r="AY36" s="259">
        <f t="shared" si="71"/>
        <v>0</v>
      </c>
      <c r="AZ36" s="259">
        <f t="shared" si="71"/>
        <v>0</v>
      </c>
      <c r="BA36" s="259">
        <f t="shared" si="71"/>
        <v>0</v>
      </c>
      <c r="BB36" s="259">
        <f>IF(BB$33=$G36,SUM(AL36:$AN36),0)</f>
        <v>36000</v>
      </c>
      <c r="BC36" s="259">
        <f>IF(BC$33=$G36,SUM(AM36:$AN36),0)</f>
        <v>0</v>
      </c>
      <c r="BD36" s="259">
        <f>IF(BD$33=$G36,SUM(AN36:$AN36),0)</f>
        <v>0</v>
      </c>
      <c r="BF36" s="252">
        <f t="shared" si="18"/>
        <v>0</v>
      </c>
    </row>
    <row r="37" spans="1:58" x14ac:dyDescent="0.25">
      <c r="A37" t="s">
        <v>187</v>
      </c>
      <c r="B37" s="292"/>
      <c r="D37" s="251">
        <f t="shared" si="67"/>
        <v>105000</v>
      </c>
      <c r="E37" s="251"/>
      <c r="F37" s="251"/>
      <c r="G37" t="s">
        <v>218</v>
      </c>
      <c r="I37">
        <v>7500</v>
      </c>
      <c r="J37">
        <v>7500</v>
      </c>
      <c r="K37">
        <v>7500</v>
      </c>
      <c r="L37">
        <v>7500</v>
      </c>
      <c r="M37">
        <v>7500</v>
      </c>
      <c r="N37">
        <v>7500</v>
      </c>
      <c r="O37">
        <v>7500</v>
      </c>
      <c r="P37">
        <v>7500</v>
      </c>
      <c r="Q37">
        <v>7500</v>
      </c>
      <c r="R37">
        <v>7500</v>
      </c>
      <c r="S37">
        <v>7500</v>
      </c>
      <c r="T37">
        <v>7500</v>
      </c>
      <c r="U37">
        <v>7500</v>
      </c>
      <c r="V37">
        <v>7500</v>
      </c>
      <c r="W37" s="296">
        <f t="shared" si="72"/>
        <v>105000</v>
      </c>
      <c r="X37" s="294">
        <f t="shared" si="68"/>
        <v>105000</v>
      </c>
      <c r="Z37" s="283">
        <f t="shared" si="69"/>
        <v>0</v>
      </c>
      <c r="AA37" s="259">
        <f t="shared" si="70"/>
        <v>7500</v>
      </c>
      <c r="AB37" s="259">
        <f t="shared" si="70"/>
        <v>7500</v>
      </c>
      <c r="AC37" s="259">
        <f t="shared" si="70"/>
        <v>7500</v>
      </c>
      <c r="AD37" s="259">
        <f t="shared" si="70"/>
        <v>7500</v>
      </c>
      <c r="AE37" s="259">
        <f t="shared" si="70"/>
        <v>7500</v>
      </c>
      <c r="AF37" s="259">
        <f t="shared" si="70"/>
        <v>7500</v>
      </c>
      <c r="AG37" s="259">
        <f t="shared" si="70"/>
        <v>7500</v>
      </c>
      <c r="AH37" s="259">
        <f t="shared" si="70"/>
        <v>7500</v>
      </c>
      <c r="AI37" s="259">
        <f t="shared" si="70"/>
        <v>7500</v>
      </c>
      <c r="AJ37" s="259">
        <f t="shared" si="70"/>
        <v>7500</v>
      </c>
      <c r="AK37" s="259">
        <f t="shared" si="70"/>
        <v>7500</v>
      </c>
      <c r="AL37" s="259">
        <f t="shared" si="70"/>
        <v>7500</v>
      </c>
      <c r="AM37" s="259">
        <f t="shared" si="70"/>
        <v>7500</v>
      </c>
      <c r="AN37" s="259">
        <f t="shared" si="70"/>
        <v>7500</v>
      </c>
      <c r="AO37" s="257"/>
      <c r="AP37" s="259">
        <f t="shared" si="73"/>
        <v>0</v>
      </c>
      <c r="AQ37" s="259">
        <f t="shared" si="71"/>
        <v>30000</v>
      </c>
      <c r="AR37" s="259">
        <f t="shared" si="71"/>
        <v>0</v>
      </c>
      <c r="AS37" s="259">
        <f t="shared" si="71"/>
        <v>0</v>
      </c>
      <c r="AT37" s="259">
        <f t="shared" si="71"/>
        <v>0</v>
      </c>
      <c r="AU37" s="259">
        <f t="shared" si="71"/>
        <v>30000</v>
      </c>
      <c r="AV37" s="259">
        <f t="shared" si="71"/>
        <v>0</v>
      </c>
      <c r="AW37" s="259">
        <f t="shared" si="71"/>
        <v>0</v>
      </c>
      <c r="AX37" s="259">
        <f t="shared" si="71"/>
        <v>0</v>
      </c>
      <c r="AY37" s="259">
        <f t="shared" si="71"/>
        <v>30000</v>
      </c>
      <c r="AZ37" s="259">
        <f t="shared" si="71"/>
        <v>0</v>
      </c>
      <c r="BA37" s="259">
        <f t="shared" si="71"/>
        <v>0</v>
      </c>
      <c r="BB37" s="259">
        <f>IF(BB$33=$G37,SUM(AL37:$AN37),0)</f>
        <v>0</v>
      </c>
      <c r="BC37" s="259">
        <f>IF(BC$33=$G37,SUM(AM37:$AN37),0)</f>
        <v>15000</v>
      </c>
      <c r="BD37" s="259">
        <f>IF(BD$33=$G37,SUM(AN37:$AN37),0)</f>
        <v>0</v>
      </c>
      <c r="BF37" s="252">
        <f t="shared" si="18"/>
        <v>0</v>
      </c>
    </row>
    <row r="38" spans="1:58" x14ac:dyDescent="0.25">
      <c r="A38" t="s">
        <v>187</v>
      </c>
      <c r="B38" s="292"/>
      <c r="D38" s="251">
        <f t="shared" si="67"/>
        <v>147000</v>
      </c>
      <c r="E38" s="251"/>
      <c r="F38" s="251"/>
      <c r="G38" t="s">
        <v>220</v>
      </c>
      <c r="I38">
        <v>10500</v>
      </c>
      <c r="J38">
        <v>10500</v>
      </c>
      <c r="K38">
        <v>10500</v>
      </c>
      <c r="L38">
        <v>10500</v>
      </c>
      <c r="M38">
        <v>10500</v>
      </c>
      <c r="N38">
        <v>10500</v>
      </c>
      <c r="O38">
        <v>10500</v>
      </c>
      <c r="P38">
        <v>10500</v>
      </c>
      <c r="Q38">
        <v>10500</v>
      </c>
      <c r="R38">
        <v>10500</v>
      </c>
      <c r="S38">
        <v>10500</v>
      </c>
      <c r="T38">
        <v>10500</v>
      </c>
      <c r="U38">
        <v>10500</v>
      </c>
      <c r="V38">
        <v>10500</v>
      </c>
      <c r="W38" s="296">
        <f t="shared" si="72"/>
        <v>147000</v>
      </c>
      <c r="X38" s="294">
        <f t="shared" si="68"/>
        <v>147000</v>
      </c>
      <c r="Z38" s="283">
        <f t="shared" si="69"/>
        <v>0</v>
      </c>
      <c r="AA38" s="259">
        <f t="shared" si="70"/>
        <v>10500</v>
      </c>
      <c r="AB38" s="259">
        <f t="shared" si="70"/>
        <v>10500</v>
      </c>
      <c r="AC38" s="259">
        <f t="shared" si="70"/>
        <v>10500</v>
      </c>
      <c r="AD38" s="259">
        <f t="shared" si="70"/>
        <v>10500</v>
      </c>
      <c r="AE38" s="259">
        <f t="shared" si="70"/>
        <v>10500</v>
      </c>
      <c r="AF38" s="259">
        <f t="shared" si="70"/>
        <v>10500</v>
      </c>
      <c r="AG38" s="259">
        <f t="shared" si="70"/>
        <v>10500</v>
      </c>
      <c r="AH38" s="259">
        <f t="shared" si="70"/>
        <v>10500</v>
      </c>
      <c r="AI38" s="259">
        <f t="shared" si="70"/>
        <v>10500</v>
      </c>
      <c r="AJ38" s="259">
        <f t="shared" si="70"/>
        <v>10500</v>
      </c>
      <c r="AK38" s="259">
        <f t="shared" si="70"/>
        <v>10500</v>
      </c>
      <c r="AL38" s="259">
        <f t="shared" si="70"/>
        <v>10500</v>
      </c>
      <c r="AM38" s="259">
        <f t="shared" si="70"/>
        <v>10500</v>
      </c>
      <c r="AN38" s="259">
        <f t="shared" si="70"/>
        <v>10500</v>
      </c>
      <c r="AO38" s="257"/>
      <c r="AP38" s="259">
        <f t="shared" si="73"/>
        <v>31500</v>
      </c>
      <c r="AQ38" s="259">
        <f t="shared" si="71"/>
        <v>0</v>
      </c>
      <c r="AR38" s="259">
        <f t="shared" si="71"/>
        <v>0</v>
      </c>
      <c r="AS38" s="259">
        <f t="shared" si="71"/>
        <v>0</v>
      </c>
      <c r="AT38" s="259">
        <f t="shared" si="71"/>
        <v>42000</v>
      </c>
      <c r="AU38" s="259">
        <f t="shared" si="71"/>
        <v>0</v>
      </c>
      <c r="AV38" s="259">
        <f t="shared" si="71"/>
        <v>0</v>
      </c>
      <c r="AW38" s="259">
        <f t="shared" si="71"/>
        <v>0</v>
      </c>
      <c r="AX38" s="259">
        <f t="shared" si="71"/>
        <v>42000</v>
      </c>
      <c r="AY38" s="259">
        <f t="shared" si="71"/>
        <v>0</v>
      </c>
      <c r="AZ38" s="259">
        <f t="shared" si="71"/>
        <v>0</v>
      </c>
      <c r="BA38" s="259">
        <f t="shared" si="71"/>
        <v>0</v>
      </c>
      <c r="BB38" s="259">
        <f>IF(BB$33=$G38,SUM(AL38:$AN38),0)</f>
        <v>31500</v>
      </c>
      <c r="BC38" s="259">
        <f>IF(BC$33=$G38,SUM(AM38:$AN38),0)</f>
        <v>0</v>
      </c>
      <c r="BD38" s="259">
        <f>IF(BD$33=$G38,SUM(AN38:$AN38),0)</f>
        <v>0</v>
      </c>
      <c r="BF38" s="252">
        <f t="shared" si="18"/>
        <v>0</v>
      </c>
    </row>
    <row r="39" spans="1:58" x14ac:dyDescent="0.25">
      <c r="A39" t="s">
        <v>187</v>
      </c>
      <c r="B39" s="292"/>
      <c r="D39" s="251">
        <f t="shared" si="67"/>
        <v>84000</v>
      </c>
      <c r="E39" s="251"/>
      <c r="F39" s="251"/>
      <c r="G39" t="s">
        <v>218</v>
      </c>
      <c r="I39">
        <v>6000</v>
      </c>
      <c r="J39">
        <v>6000</v>
      </c>
      <c r="K39">
        <v>6000</v>
      </c>
      <c r="L39">
        <v>6000</v>
      </c>
      <c r="M39">
        <v>6000</v>
      </c>
      <c r="N39">
        <v>6000</v>
      </c>
      <c r="O39">
        <v>6000</v>
      </c>
      <c r="P39">
        <v>6000</v>
      </c>
      <c r="Q39">
        <v>6000</v>
      </c>
      <c r="R39">
        <v>6000</v>
      </c>
      <c r="S39">
        <v>6000</v>
      </c>
      <c r="T39">
        <v>6000</v>
      </c>
      <c r="U39">
        <v>6000</v>
      </c>
      <c r="V39">
        <v>6000</v>
      </c>
      <c r="W39" s="296">
        <f t="shared" si="72"/>
        <v>84000</v>
      </c>
      <c r="X39" s="294">
        <f t="shared" si="68"/>
        <v>84000</v>
      </c>
      <c r="Z39" s="283">
        <f t="shared" si="69"/>
        <v>0</v>
      </c>
      <c r="AA39" s="259">
        <f t="shared" si="70"/>
        <v>6000</v>
      </c>
      <c r="AB39" s="259">
        <f t="shared" si="70"/>
        <v>6000</v>
      </c>
      <c r="AC39" s="259">
        <f t="shared" si="70"/>
        <v>6000</v>
      </c>
      <c r="AD39" s="259">
        <f t="shared" si="70"/>
        <v>6000</v>
      </c>
      <c r="AE39" s="259">
        <f t="shared" si="70"/>
        <v>6000</v>
      </c>
      <c r="AF39" s="259">
        <f t="shared" si="70"/>
        <v>6000</v>
      </c>
      <c r="AG39" s="259">
        <f t="shared" si="70"/>
        <v>6000</v>
      </c>
      <c r="AH39" s="259">
        <f t="shared" si="70"/>
        <v>6000</v>
      </c>
      <c r="AI39" s="259">
        <f t="shared" si="70"/>
        <v>6000</v>
      </c>
      <c r="AJ39" s="259">
        <f t="shared" si="70"/>
        <v>6000</v>
      </c>
      <c r="AK39" s="259">
        <f t="shared" si="70"/>
        <v>6000</v>
      </c>
      <c r="AL39" s="259">
        <f t="shared" si="70"/>
        <v>6000</v>
      </c>
      <c r="AM39" s="259">
        <f t="shared" si="70"/>
        <v>6000</v>
      </c>
      <c r="AN39" s="259">
        <f t="shared" si="70"/>
        <v>6000</v>
      </c>
      <c r="AO39" s="257"/>
      <c r="AP39" s="259">
        <f t="shared" si="73"/>
        <v>0</v>
      </c>
      <c r="AQ39" s="259">
        <f t="shared" si="71"/>
        <v>24000</v>
      </c>
      <c r="AR39" s="259">
        <f t="shared" si="71"/>
        <v>0</v>
      </c>
      <c r="AS39" s="259">
        <f t="shared" si="71"/>
        <v>0</v>
      </c>
      <c r="AT39" s="259">
        <f t="shared" si="71"/>
        <v>0</v>
      </c>
      <c r="AU39" s="259">
        <f t="shared" si="71"/>
        <v>24000</v>
      </c>
      <c r="AV39" s="259">
        <f t="shared" si="71"/>
        <v>0</v>
      </c>
      <c r="AW39" s="259">
        <f t="shared" si="71"/>
        <v>0</v>
      </c>
      <c r="AX39" s="259">
        <f t="shared" si="71"/>
        <v>0</v>
      </c>
      <c r="AY39" s="259">
        <f t="shared" si="71"/>
        <v>24000</v>
      </c>
      <c r="AZ39" s="259">
        <f t="shared" si="71"/>
        <v>0</v>
      </c>
      <c r="BA39" s="259">
        <f t="shared" si="71"/>
        <v>0</v>
      </c>
      <c r="BB39" s="259">
        <f>IF(BB$33=$G39,SUM(AL39:$AN39),0)</f>
        <v>0</v>
      </c>
      <c r="BC39" s="259">
        <f>IF(BC$33=$G39,SUM(AM39:$AN39),0)</f>
        <v>12000</v>
      </c>
      <c r="BD39" s="259">
        <f>IF(BD$33=$G39,SUM(AN39:$AN39),0)</f>
        <v>0</v>
      </c>
      <c r="BF39" s="252">
        <f t="shared" si="18"/>
        <v>0</v>
      </c>
    </row>
    <row r="40" spans="1:58" x14ac:dyDescent="0.25">
      <c r="A40" t="s">
        <v>187</v>
      </c>
      <c r="B40" s="292"/>
      <c r="D40" s="251">
        <f t="shared" si="67"/>
        <v>84000</v>
      </c>
      <c r="E40" s="251"/>
      <c r="F40" s="251"/>
      <c r="G40" t="s">
        <v>218</v>
      </c>
      <c r="I40">
        <v>6000</v>
      </c>
      <c r="J40">
        <v>6000</v>
      </c>
      <c r="K40">
        <v>6000</v>
      </c>
      <c r="L40">
        <v>6000</v>
      </c>
      <c r="M40">
        <v>6000</v>
      </c>
      <c r="N40">
        <v>6000</v>
      </c>
      <c r="O40">
        <v>6000</v>
      </c>
      <c r="P40">
        <v>6000</v>
      </c>
      <c r="Q40">
        <v>6000</v>
      </c>
      <c r="R40">
        <v>6000</v>
      </c>
      <c r="S40">
        <v>6000</v>
      </c>
      <c r="T40">
        <v>6000</v>
      </c>
      <c r="U40">
        <v>6000</v>
      </c>
      <c r="V40">
        <v>6000</v>
      </c>
      <c r="W40" s="296">
        <f t="shared" si="72"/>
        <v>84000</v>
      </c>
      <c r="X40" s="294">
        <f t="shared" si="68"/>
        <v>84000</v>
      </c>
      <c r="Z40" s="283">
        <f t="shared" si="69"/>
        <v>0</v>
      </c>
      <c r="AA40" s="259">
        <f t="shared" si="70"/>
        <v>6000</v>
      </c>
      <c r="AB40" s="259">
        <f t="shared" si="70"/>
        <v>6000</v>
      </c>
      <c r="AC40" s="259">
        <f t="shared" si="70"/>
        <v>6000</v>
      </c>
      <c r="AD40" s="259">
        <f t="shared" si="70"/>
        <v>6000</v>
      </c>
      <c r="AE40" s="259">
        <f t="shared" si="70"/>
        <v>6000</v>
      </c>
      <c r="AF40" s="259">
        <f t="shared" si="70"/>
        <v>6000</v>
      </c>
      <c r="AG40" s="259">
        <f t="shared" si="70"/>
        <v>6000</v>
      </c>
      <c r="AH40" s="259">
        <f t="shared" si="70"/>
        <v>6000</v>
      </c>
      <c r="AI40" s="259">
        <f t="shared" si="70"/>
        <v>6000</v>
      </c>
      <c r="AJ40" s="259">
        <f t="shared" si="70"/>
        <v>6000</v>
      </c>
      <c r="AK40" s="259">
        <f t="shared" si="70"/>
        <v>6000</v>
      </c>
      <c r="AL40" s="259">
        <f t="shared" si="70"/>
        <v>6000</v>
      </c>
      <c r="AM40" s="259">
        <f t="shared" si="70"/>
        <v>6000</v>
      </c>
      <c r="AN40" s="259">
        <f t="shared" si="70"/>
        <v>6000</v>
      </c>
      <c r="AO40" s="257"/>
      <c r="AP40" s="259">
        <f t="shared" si="73"/>
        <v>0</v>
      </c>
      <c r="AQ40" s="259">
        <f t="shared" si="71"/>
        <v>24000</v>
      </c>
      <c r="AR40" s="259">
        <f t="shared" si="71"/>
        <v>0</v>
      </c>
      <c r="AS40" s="259">
        <f t="shared" si="71"/>
        <v>0</v>
      </c>
      <c r="AT40" s="259">
        <f t="shared" si="71"/>
        <v>0</v>
      </c>
      <c r="AU40" s="259">
        <f t="shared" si="71"/>
        <v>24000</v>
      </c>
      <c r="AV40" s="259">
        <f t="shared" si="71"/>
        <v>0</v>
      </c>
      <c r="AW40" s="259">
        <f t="shared" si="71"/>
        <v>0</v>
      </c>
      <c r="AX40" s="259">
        <f t="shared" si="71"/>
        <v>0</v>
      </c>
      <c r="AY40" s="259">
        <f t="shared" si="71"/>
        <v>24000</v>
      </c>
      <c r="AZ40" s="259">
        <f t="shared" si="71"/>
        <v>0</v>
      </c>
      <c r="BA40" s="259">
        <f t="shared" si="71"/>
        <v>0</v>
      </c>
      <c r="BB40" s="259">
        <f>IF(BB$33=$G40,SUM(AL40:$AN40),0)</f>
        <v>0</v>
      </c>
      <c r="BC40" s="259">
        <f>IF(BC$33=$G40,SUM(AM40:$AN40),0)</f>
        <v>12000</v>
      </c>
      <c r="BD40" s="259">
        <f>IF(BD$33=$G40,SUM(AN40:$AN40),0)</f>
        <v>0</v>
      </c>
      <c r="BF40" s="252">
        <f t="shared" si="18"/>
        <v>0</v>
      </c>
    </row>
    <row r="41" spans="1:58" x14ac:dyDescent="0.25">
      <c r="A41" t="s">
        <v>175</v>
      </c>
      <c r="B41" s="265"/>
      <c r="D41" s="251">
        <f t="shared" ref="D41" si="74">SUM(H41:V41)</f>
        <v>168000</v>
      </c>
      <c r="E41" s="251"/>
      <c r="F41" s="251"/>
      <c r="G41" t="s">
        <v>218</v>
      </c>
      <c r="I41">
        <v>12000</v>
      </c>
      <c r="J41">
        <v>12000</v>
      </c>
      <c r="K41">
        <v>12000</v>
      </c>
      <c r="L41">
        <v>12000</v>
      </c>
      <c r="M41">
        <v>12000</v>
      </c>
      <c r="N41">
        <v>12000</v>
      </c>
      <c r="O41">
        <v>12000</v>
      </c>
      <c r="P41">
        <v>12000</v>
      </c>
      <c r="Q41">
        <v>12000</v>
      </c>
      <c r="R41">
        <v>12000</v>
      </c>
      <c r="S41">
        <v>12000</v>
      </c>
      <c r="T41">
        <v>12000</v>
      </c>
      <c r="U41">
        <v>12000</v>
      </c>
      <c r="V41">
        <v>12000</v>
      </c>
      <c r="W41" s="296">
        <f t="shared" si="72"/>
        <v>168000</v>
      </c>
      <c r="X41" s="267">
        <f t="shared" si="68"/>
        <v>168000</v>
      </c>
      <c r="Y41" s="267">
        <f>+X4+X5+X6+X7+X22+X34+X35+X41</f>
        <v>19162000</v>
      </c>
      <c r="Z41" s="283">
        <f t="shared" si="69"/>
        <v>0</v>
      </c>
      <c r="AA41" s="259">
        <f t="shared" si="70"/>
        <v>12000</v>
      </c>
      <c r="AB41" s="259">
        <f t="shared" si="70"/>
        <v>12000</v>
      </c>
      <c r="AC41" s="259">
        <f t="shared" si="70"/>
        <v>12000</v>
      </c>
      <c r="AD41" s="259">
        <f t="shared" si="70"/>
        <v>12000</v>
      </c>
      <c r="AE41" s="259">
        <f t="shared" si="70"/>
        <v>12000</v>
      </c>
      <c r="AF41" s="259">
        <f t="shared" si="70"/>
        <v>12000</v>
      </c>
      <c r="AG41" s="259">
        <f t="shared" si="70"/>
        <v>12000</v>
      </c>
      <c r="AH41" s="259">
        <f t="shared" si="70"/>
        <v>12000</v>
      </c>
      <c r="AI41" s="259">
        <f t="shared" si="70"/>
        <v>12000</v>
      </c>
      <c r="AJ41" s="259">
        <f t="shared" si="70"/>
        <v>12000</v>
      </c>
      <c r="AK41" s="259">
        <f t="shared" si="70"/>
        <v>12000</v>
      </c>
      <c r="AL41" s="259">
        <f t="shared" si="70"/>
        <v>12000</v>
      </c>
      <c r="AM41" s="259">
        <f t="shared" si="70"/>
        <v>12000</v>
      </c>
      <c r="AN41" s="259">
        <f t="shared" si="70"/>
        <v>12000</v>
      </c>
      <c r="AO41" s="257"/>
      <c r="AP41" s="259">
        <f t="shared" si="73"/>
        <v>0</v>
      </c>
      <c r="AQ41" s="259">
        <f t="shared" si="71"/>
        <v>48000</v>
      </c>
      <c r="AR41" s="259">
        <f t="shared" si="71"/>
        <v>0</v>
      </c>
      <c r="AS41" s="259">
        <f t="shared" si="71"/>
        <v>0</v>
      </c>
      <c r="AT41" s="259">
        <f t="shared" si="71"/>
        <v>0</v>
      </c>
      <c r="AU41" s="259">
        <f t="shared" si="71"/>
        <v>48000</v>
      </c>
      <c r="AV41" s="259">
        <f t="shared" si="71"/>
        <v>0</v>
      </c>
      <c r="AW41" s="259">
        <f t="shared" si="71"/>
        <v>0</v>
      </c>
      <c r="AX41" s="259">
        <f t="shared" si="71"/>
        <v>0</v>
      </c>
      <c r="AY41" s="259">
        <f t="shared" si="71"/>
        <v>48000</v>
      </c>
      <c r="AZ41" s="259">
        <f t="shared" si="71"/>
        <v>0</v>
      </c>
      <c r="BA41" s="259">
        <f t="shared" si="71"/>
        <v>0</v>
      </c>
      <c r="BB41" s="259">
        <f>IF(BB$33=$G41,SUM(AL41:$AN41),0)</f>
        <v>0</v>
      </c>
      <c r="BC41" s="259">
        <f>IF(BC$33=$G41,SUM(AM41:$AN41),0)</f>
        <v>24000</v>
      </c>
      <c r="BD41" s="259">
        <f>IF(BD$33=$G41,SUM(AN41:$AN41),0)</f>
        <v>0</v>
      </c>
      <c r="BF41" s="252">
        <f t="shared" si="18"/>
        <v>0</v>
      </c>
    </row>
    <row r="42" spans="1:58" x14ac:dyDescent="0.25">
      <c r="W42" s="296">
        <f t="shared" si="72"/>
        <v>0</v>
      </c>
      <c r="Z42" s="256"/>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F42" s="252">
        <f t="shared" si="18"/>
        <v>0</v>
      </c>
    </row>
    <row r="43" spans="1:58" x14ac:dyDescent="0.25">
      <c r="A43" s="253" t="s">
        <v>214</v>
      </c>
      <c r="B43" s="253"/>
      <c r="C43" s="253"/>
      <c r="D43" s="253"/>
      <c r="E43" s="253"/>
      <c r="F43" s="253"/>
      <c r="G43" s="253"/>
      <c r="W43" s="296">
        <f t="shared" si="72"/>
        <v>0</v>
      </c>
      <c r="Z43" s="256"/>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F43" s="252">
        <f t="shared" si="18"/>
        <v>0</v>
      </c>
    </row>
    <row r="44" spans="1:58" x14ac:dyDescent="0.25">
      <c r="A44" t="s">
        <v>190</v>
      </c>
      <c r="B44" s="292"/>
      <c r="D44" s="251">
        <f>SUM(H44:V44)</f>
        <v>33000</v>
      </c>
      <c r="E44" s="305" t="s">
        <v>248</v>
      </c>
      <c r="F44" s="262">
        <v>-6000</v>
      </c>
      <c r="H44" s="275">
        <v>1000</v>
      </c>
      <c r="I44" s="275">
        <v>1000</v>
      </c>
      <c r="J44" s="275">
        <v>1000</v>
      </c>
      <c r="K44" s="275">
        <v>2500</v>
      </c>
      <c r="L44" s="275">
        <v>2500</v>
      </c>
      <c r="M44" s="275">
        <v>2500</v>
      </c>
      <c r="N44" s="275">
        <v>2500</v>
      </c>
      <c r="O44" s="275">
        <v>2500</v>
      </c>
      <c r="P44" s="275">
        <v>2500</v>
      </c>
      <c r="Q44" s="275">
        <v>2500</v>
      </c>
      <c r="R44" s="275">
        <v>2500</v>
      </c>
      <c r="S44" s="275">
        <v>2500</v>
      </c>
      <c r="T44" s="275">
        <v>2500</v>
      </c>
      <c r="U44" s="275">
        <v>2500</v>
      </c>
      <c r="V44" s="275">
        <v>2500</v>
      </c>
      <c r="W44" s="296">
        <f t="shared" si="72"/>
        <v>33000</v>
      </c>
      <c r="X44" s="294">
        <f>+W44</f>
        <v>33000</v>
      </c>
      <c r="Z44" s="283">
        <f t="shared" ref="Z44:Z45" si="75">H44</f>
        <v>1000</v>
      </c>
      <c r="AA44" s="259">
        <f t="shared" ref="AA44:AA45" si="76">I44</f>
        <v>1000</v>
      </c>
      <c r="AB44" s="259">
        <f t="shared" ref="AB44:AB45" si="77">J44</f>
        <v>1000</v>
      </c>
      <c r="AC44" s="259">
        <f t="shared" ref="AC44:AC45" si="78">K44</f>
        <v>2500</v>
      </c>
      <c r="AD44" s="259">
        <f t="shared" ref="AD44:AD45" si="79">L44</f>
        <v>2500</v>
      </c>
      <c r="AE44" s="259">
        <f t="shared" ref="AE44:AE45" si="80">M44</f>
        <v>2500</v>
      </c>
      <c r="AF44" s="259">
        <f t="shared" ref="AF44:AF45" si="81">N44</f>
        <v>2500</v>
      </c>
      <c r="AG44" s="259">
        <f t="shared" ref="AG44:AG45" si="82">O44</f>
        <v>2500</v>
      </c>
      <c r="AH44" s="259">
        <f t="shared" ref="AH44:AH45" si="83">P44</f>
        <v>2500</v>
      </c>
      <c r="AI44" s="259">
        <f t="shared" ref="AI44:AI45" si="84">Q44</f>
        <v>2500</v>
      </c>
      <c r="AJ44" s="259">
        <f t="shared" ref="AJ44:AJ45" si="85">R44</f>
        <v>2500</v>
      </c>
      <c r="AK44" s="259">
        <f t="shared" ref="AK44:AK45" si="86">S44</f>
        <v>2500</v>
      </c>
      <c r="AL44" s="259">
        <f t="shared" ref="AL44:AL45" si="87">T44</f>
        <v>2500</v>
      </c>
      <c r="AM44" s="259">
        <f t="shared" ref="AM44:AM45" si="88">U44</f>
        <v>2500</v>
      </c>
      <c r="AN44" s="259">
        <f t="shared" ref="AN44:AN45" si="89">V44</f>
        <v>2500</v>
      </c>
      <c r="AO44" s="257"/>
      <c r="AP44" s="259">
        <f>Z44</f>
        <v>1000</v>
      </c>
      <c r="AQ44" s="259">
        <f t="shared" ref="AQ44:BD45" si="90">AA44</f>
        <v>1000</v>
      </c>
      <c r="AR44" s="259">
        <f t="shared" si="90"/>
        <v>1000</v>
      </c>
      <c r="AS44" s="259">
        <f t="shared" si="90"/>
        <v>2500</v>
      </c>
      <c r="AT44" s="259">
        <f t="shared" si="90"/>
        <v>2500</v>
      </c>
      <c r="AU44" s="259">
        <f t="shared" si="90"/>
        <v>2500</v>
      </c>
      <c r="AV44" s="259">
        <f t="shared" si="90"/>
        <v>2500</v>
      </c>
      <c r="AW44" s="259">
        <f t="shared" si="90"/>
        <v>2500</v>
      </c>
      <c r="AX44" s="259">
        <f t="shared" si="90"/>
        <v>2500</v>
      </c>
      <c r="AY44" s="259">
        <f t="shared" si="90"/>
        <v>2500</v>
      </c>
      <c r="AZ44" s="259">
        <f t="shared" si="90"/>
        <v>2500</v>
      </c>
      <c r="BA44" s="259">
        <f t="shared" si="90"/>
        <v>2500</v>
      </c>
      <c r="BB44" s="259">
        <f t="shared" si="90"/>
        <v>2500</v>
      </c>
      <c r="BC44" s="259">
        <f t="shared" si="90"/>
        <v>2500</v>
      </c>
      <c r="BD44" s="259">
        <f t="shared" si="90"/>
        <v>2500</v>
      </c>
      <c r="BF44" s="252">
        <f t="shared" si="18"/>
        <v>0</v>
      </c>
    </row>
    <row r="45" spans="1:58" x14ac:dyDescent="0.25">
      <c r="A45" t="s">
        <v>188</v>
      </c>
      <c r="B45" s="292"/>
      <c r="D45" s="251">
        <f>SUM(H45:V45)</f>
        <v>54000</v>
      </c>
      <c r="E45" s="251"/>
      <c r="F45" s="251"/>
      <c r="H45" s="275">
        <v>2000</v>
      </c>
      <c r="I45" s="275">
        <v>2000</v>
      </c>
      <c r="J45" s="275">
        <v>2000</v>
      </c>
      <c r="K45">
        <v>4000</v>
      </c>
      <c r="L45">
        <v>4000</v>
      </c>
      <c r="M45">
        <v>4000</v>
      </c>
      <c r="N45">
        <v>4000</v>
      </c>
      <c r="O45">
        <v>4000</v>
      </c>
      <c r="P45">
        <v>4000</v>
      </c>
      <c r="Q45">
        <v>4000</v>
      </c>
      <c r="R45">
        <v>4000</v>
      </c>
      <c r="S45">
        <v>4000</v>
      </c>
      <c r="T45">
        <v>4000</v>
      </c>
      <c r="U45">
        <v>4000</v>
      </c>
      <c r="V45">
        <v>4000</v>
      </c>
      <c r="W45" s="296">
        <f t="shared" si="72"/>
        <v>54000</v>
      </c>
      <c r="X45" s="294">
        <f>+W45</f>
        <v>54000</v>
      </c>
      <c r="Y45" s="295">
        <f>+X18+X19+X36+X37+X38+X39+X40+X44+X45</f>
        <v>796500</v>
      </c>
      <c r="Z45" s="283">
        <f t="shared" si="75"/>
        <v>2000</v>
      </c>
      <c r="AA45" s="259">
        <f t="shared" si="76"/>
        <v>2000</v>
      </c>
      <c r="AB45" s="259">
        <f t="shared" si="77"/>
        <v>2000</v>
      </c>
      <c r="AC45" s="259">
        <f t="shared" si="78"/>
        <v>4000</v>
      </c>
      <c r="AD45" s="259">
        <f t="shared" si="79"/>
        <v>4000</v>
      </c>
      <c r="AE45" s="259">
        <f t="shared" si="80"/>
        <v>4000</v>
      </c>
      <c r="AF45" s="259">
        <f t="shared" si="81"/>
        <v>4000</v>
      </c>
      <c r="AG45" s="259">
        <f t="shared" si="82"/>
        <v>4000</v>
      </c>
      <c r="AH45" s="259">
        <f t="shared" si="83"/>
        <v>4000</v>
      </c>
      <c r="AI45" s="259">
        <f t="shared" si="84"/>
        <v>4000</v>
      </c>
      <c r="AJ45" s="259">
        <f t="shared" si="85"/>
        <v>4000</v>
      </c>
      <c r="AK45" s="259">
        <f t="shared" si="86"/>
        <v>4000</v>
      </c>
      <c r="AL45" s="259">
        <f t="shared" si="87"/>
        <v>4000</v>
      </c>
      <c r="AM45" s="259">
        <f t="shared" si="88"/>
        <v>4000</v>
      </c>
      <c r="AN45" s="259">
        <f t="shared" si="89"/>
        <v>4000</v>
      </c>
      <c r="AO45" s="257"/>
      <c r="AP45" s="259">
        <f>Z45</f>
        <v>2000</v>
      </c>
      <c r="AQ45" s="259">
        <f t="shared" si="90"/>
        <v>2000</v>
      </c>
      <c r="AR45" s="259">
        <f t="shared" si="90"/>
        <v>2000</v>
      </c>
      <c r="AS45" s="259">
        <f t="shared" si="90"/>
        <v>4000</v>
      </c>
      <c r="AT45" s="259">
        <f t="shared" si="90"/>
        <v>4000</v>
      </c>
      <c r="AU45" s="259">
        <f t="shared" si="90"/>
        <v>4000</v>
      </c>
      <c r="AV45" s="259">
        <f t="shared" si="90"/>
        <v>4000</v>
      </c>
      <c r="AW45" s="259">
        <f t="shared" si="90"/>
        <v>4000</v>
      </c>
      <c r="AX45" s="259">
        <f t="shared" si="90"/>
        <v>4000</v>
      </c>
      <c r="AY45" s="259">
        <f t="shared" si="90"/>
        <v>4000</v>
      </c>
      <c r="AZ45" s="259">
        <f t="shared" si="90"/>
        <v>4000</v>
      </c>
      <c r="BA45" s="259">
        <f t="shared" si="90"/>
        <v>4000</v>
      </c>
      <c r="BB45" s="259">
        <f t="shared" si="90"/>
        <v>4000</v>
      </c>
      <c r="BC45" s="259">
        <f t="shared" si="90"/>
        <v>4000</v>
      </c>
      <c r="BD45" s="259">
        <f t="shared" si="90"/>
        <v>4000</v>
      </c>
      <c r="BF45" s="252">
        <f t="shared" si="18"/>
        <v>0</v>
      </c>
    </row>
    <row r="46" spans="1:58" x14ac:dyDescent="0.25">
      <c r="B46" s="254"/>
      <c r="D46" s="251"/>
      <c r="E46" s="251"/>
      <c r="F46" s="251"/>
      <c r="H46" s="280"/>
      <c r="I46" s="280"/>
      <c r="J46" s="280"/>
      <c r="W46" s="296"/>
      <c r="X46" s="282"/>
      <c r="Y46" s="297"/>
      <c r="Z46" s="283"/>
      <c r="AA46" s="259"/>
      <c r="AB46" s="259"/>
      <c r="AC46" s="259"/>
      <c r="AD46" s="259"/>
      <c r="AE46" s="259"/>
      <c r="AF46" s="259"/>
      <c r="AG46" s="259"/>
      <c r="AH46" s="259"/>
      <c r="AI46" s="259"/>
      <c r="AJ46" s="259"/>
      <c r="AK46" s="259"/>
      <c r="AL46" s="259"/>
      <c r="AM46" s="259"/>
      <c r="AN46" s="259"/>
      <c r="AO46" s="257"/>
      <c r="AP46" s="259"/>
      <c r="AQ46" s="259"/>
      <c r="AR46" s="259"/>
      <c r="AS46" s="259"/>
      <c r="AT46" s="259"/>
      <c r="AU46" s="259"/>
      <c r="AV46" s="259"/>
      <c r="AW46" s="259"/>
      <c r="AX46" s="259"/>
      <c r="AY46" s="259"/>
      <c r="AZ46" s="259"/>
      <c r="BA46" s="259"/>
      <c r="BB46" s="259"/>
      <c r="BC46" s="259"/>
      <c r="BD46" s="259"/>
      <c r="BF46" s="252"/>
    </row>
    <row r="47" spans="1:58" x14ac:dyDescent="0.25">
      <c r="A47" s="272" t="s">
        <v>237</v>
      </c>
      <c r="B47" s="272"/>
      <c r="C47" s="272"/>
      <c r="D47" s="279">
        <v>1700000</v>
      </c>
      <c r="E47" s="305" t="s">
        <v>249</v>
      </c>
      <c r="F47" s="262">
        <v>1700000</v>
      </c>
      <c r="W47" s="282" t="s">
        <v>146</v>
      </c>
      <c r="X47" s="271">
        <v>1700000</v>
      </c>
      <c r="Y47" s="271">
        <f>+X47</f>
        <v>1700000</v>
      </c>
      <c r="Z47" s="252">
        <f>SUM(Z4:Z45)-'DFP-CASH'!H54</f>
        <v>-2000</v>
      </c>
      <c r="AA47" s="252">
        <f>SUM(AA4:AA45)-'DFP-CASH'!I54</f>
        <v>0</v>
      </c>
      <c r="AB47" s="252">
        <f>SUM(AB4:AB45)-'DFP-CASH'!J54</f>
        <v>0</v>
      </c>
      <c r="AC47" s="252">
        <f>SUM(AC4:AC45)-'DFP-CASH'!K54</f>
        <v>0</v>
      </c>
      <c r="AD47" s="252">
        <f>SUM(AD4:AD45)-'DFP-CASH'!L54</f>
        <v>0</v>
      </c>
      <c r="AE47" s="252">
        <f>SUM(AE4:AE45)-'DFP-CASH'!M54</f>
        <v>0</v>
      </c>
      <c r="AF47" s="252">
        <f>SUM(AF4:AF45)-'DFP-CASH'!N54</f>
        <v>0</v>
      </c>
      <c r="AG47" s="252">
        <f>SUM(AG4:AG45)-'DFP-CASH'!O54</f>
        <v>0</v>
      </c>
      <c r="AH47" s="252">
        <f>SUM(AH4:AH45)-'DFP-CASH'!P54</f>
        <v>0</v>
      </c>
      <c r="AI47" s="252">
        <f>SUM(AI4:AI45)-'DFP-CASH'!Q54</f>
        <v>0</v>
      </c>
      <c r="AJ47" s="252">
        <f>SUM(AJ4:AJ45)-'DFP-CASH'!R54</f>
        <v>0</v>
      </c>
      <c r="AK47" s="252">
        <f>SUM(AK4:AK45)-'DFP-CASH'!S54</f>
        <v>50000</v>
      </c>
      <c r="AL47" s="252">
        <f>SUM(AL4:AL45)-'DFP-CASH'!T54</f>
        <v>50000</v>
      </c>
      <c r="AM47" s="252">
        <f>SUM(AM4:AM45)-'DFP-CASH'!U54</f>
        <v>50000</v>
      </c>
      <c r="AN47" s="252">
        <f>SUM(AN4:AN45)-'DFP-CASH'!V54</f>
        <v>50000</v>
      </c>
    </row>
    <row r="48" spans="1:58" s="276" customFormat="1" x14ac:dyDescent="0.25">
      <c r="A48" s="280"/>
      <c r="D48" s="281"/>
      <c r="E48" s="281"/>
      <c r="W48" s="282"/>
      <c r="Y48" s="282"/>
      <c r="Z48" s="263"/>
      <c r="AA48" s="263"/>
      <c r="AB48" s="263"/>
      <c r="AC48" s="263"/>
      <c r="AD48" s="263"/>
      <c r="AE48" s="263"/>
      <c r="AF48" s="263"/>
      <c r="AG48" s="263"/>
      <c r="AH48" s="263"/>
      <c r="AI48" s="263"/>
      <c r="AJ48" s="263"/>
      <c r="AK48" s="263"/>
      <c r="AL48" s="263"/>
      <c r="AM48" s="263"/>
      <c r="AN48" s="263"/>
    </row>
    <row r="49" spans="1:42" x14ac:dyDescent="0.25">
      <c r="A49" t="s">
        <v>209</v>
      </c>
      <c r="D49" s="283">
        <f>SUM(D4:D47)</f>
        <v>26278500</v>
      </c>
      <c r="E49" s="283"/>
      <c r="F49" s="256"/>
      <c r="G49" s="256"/>
      <c r="H49" s="256"/>
      <c r="I49" s="256"/>
      <c r="J49" s="256"/>
      <c r="K49" s="256"/>
      <c r="L49" s="256"/>
      <c r="M49" s="256"/>
      <c r="N49" s="256"/>
      <c r="O49" s="256"/>
      <c r="P49" s="256"/>
      <c r="Q49" s="256"/>
      <c r="R49" s="256"/>
      <c r="S49" s="256"/>
      <c r="T49" s="256"/>
      <c r="U49" s="256" t="s">
        <v>242</v>
      </c>
      <c r="V49" s="256"/>
      <c r="W49" s="256"/>
      <c r="X49" s="256"/>
      <c r="Y49" s="283">
        <f>+Y47+Y45+Y41+Y24+Y21</f>
        <v>25378500</v>
      </c>
      <c r="Z49" s="252" t="s">
        <v>146</v>
      </c>
    </row>
    <row r="50" spans="1:42" x14ac:dyDescent="0.25">
      <c r="D50" s="289"/>
      <c r="E50" s="289"/>
      <c r="F50" s="290"/>
      <c r="G50" s="290"/>
      <c r="H50" s="290"/>
      <c r="I50" s="290"/>
      <c r="J50" s="290"/>
      <c r="K50" s="290"/>
      <c r="L50" s="290"/>
      <c r="M50" s="290"/>
      <c r="N50" s="290"/>
      <c r="O50" s="290"/>
      <c r="P50" s="290"/>
      <c r="Q50" s="290"/>
      <c r="R50" s="290"/>
      <c r="S50" s="290"/>
      <c r="T50" s="290"/>
      <c r="U50" s="290"/>
      <c r="V50" s="290"/>
      <c r="W50" s="290"/>
      <c r="X50" s="290"/>
      <c r="Y50" s="291">
        <f>4400000-Y21</f>
        <v>1280000</v>
      </c>
      <c r="Z50" s="252"/>
    </row>
    <row r="51" spans="1:42" x14ac:dyDescent="0.25">
      <c r="U51" t="s">
        <v>236</v>
      </c>
      <c r="Y51" s="270">
        <f>19300000-Y41</f>
        <v>138000</v>
      </c>
    </row>
    <row r="52" spans="1:42" x14ac:dyDescent="0.25">
      <c r="A52" t="s">
        <v>146</v>
      </c>
      <c r="U52" t="s">
        <v>238</v>
      </c>
      <c r="Y52" s="273">
        <f>+Y45-800000</f>
        <v>-3500</v>
      </c>
    </row>
    <row r="53" spans="1:42" x14ac:dyDescent="0.25">
      <c r="A53" s="371" t="s">
        <v>239</v>
      </c>
      <c r="B53" s="371"/>
      <c r="H53" s="301">
        <f>SUM(H33:H49)</f>
        <v>14000</v>
      </c>
      <c r="U53" t="s">
        <v>240</v>
      </c>
      <c r="Y53" s="283">
        <f>+Y50+Y51+Y52</f>
        <v>1414500</v>
      </c>
      <c r="Z53" s="302">
        <f>SUM(Z4:Z45)</f>
        <v>14000</v>
      </c>
      <c r="AP53" s="303">
        <f>SUM(AP4:AP52)</f>
        <v>934500</v>
      </c>
    </row>
    <row r="55" spans="1:42" x14ac:dyDescent="0.25">
      <c r="U55" t="s">
        <v>241</v>
      </c>
      <c r="Y55" s="283">
        <f>+Y53+Y49</f>
        <v>26793000</v>
      </c>
    </row>
    <row r="56" spans="1:42" x14ac:dyDescent="0.25">
      <c r="A56" s="305" t="s">
        <v>243</v>
      </c>
      <c r="B56" s="306" t="s">
        <v>250</v>
      </c>
    </row>
    <row r="57" spans="1:42" x14ac:dyDescent="0.25">
      <c r="A57" s="305" t="s">
        <v>244</v>
      </c>
      <c r="B57" s="306" t="s">
        <v>256</v>
      </c>
    </row>
    <row r="58" spans="1:42" x14ac:dyDescent="0.25">
      <c r="A58" s="305" t="s">
        <v>245</v>
      </c>
      <c r="B58" s="306" t="s">
        <v>255</v>
      </c>
    </row>
    <row r="59" spans="1:42" x14ac:dyDescent="0.25">
      <c r="A59" s="305" t="s">
        <v>246</v>
      </c>
      <c r="B59" s="306" t="s">
        <v>251</v>
      </c>
    </row>
    <row r="60" spans="1:42" x14ac:dyDescent="0.25">
      <c r="A60" s="305" t="s">
        <v>247</v>
      </c>
      <c r="B60" s="306" t="s">
        <v>254</v>
      </c>
      <c r="Y60" s="252"/>
    </row>
    <row r="61" spans="1:42" x14ac:dyDescent="0.25">
      <c r="A61" s="305" t="s">
        <v>248</v>
      </c>
      <c r="B61" s="306" t="s">
        <v>253</v>
      </c>
    </row>
    <row r="62" spans="1:42" x14ac:dyDescent="0.25">
      <c r="A62" s="305" t="s">
        <v>249</v>
      </c>
      <c r="B62" s="306" t="s">
        <v>252</v>
      </c>
    </row>
  </sheetData>
  <mergeCells count="1">
    <mergeCell ref="A53:B53"/>
  </mergeCells>
  <pageMargins left="0.7" right="0.7" top="0.75" bottom="0.75" header="0.3" footer="0.3"/>
  <pageSetup orientation="portrait" r:id="rId1"/>
  <ignoredErrors>
    <ignoredError sqref="E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DFP-Com</vt:lpstr>
      <vt:lpstr>DFP-CASH</vt:lpstr>
      <vt:lpstr>QFR - A</vt:lpstr>
      <vt:lpstr>QFR - B</vt:lpstr>
      <vt:lpstr>THP DR</vt:lpstr>
      <vt:lpstr>Contract level</vt:lpstr>
    </vt:vector>
  </TitlesOfParts>
  <Company>MCC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Wingle, John F (DPE/POL-CPI)</dc:creator>
  <cp:lastModifiedBy>Josué Ricart</cp:lastModifiedBy>
  <dcterms:created xsi:type="dcterms:W3CDTF">2016-05-12T16:21:20Z</dcterms:created>
  <dcterms:modified xsi:type="dcterms:W3CDTF">2021-12-21T03:36:22Z</dcterms:modified>
</cp:coreProperties>
</file>