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17 desembolso\QDRP Q17 OOC\"/>
    </mc:Choice>
  </mc:AlternateContent>
  <bookViews>
    <workbookView xWindow="-21720" yWindow="-120" windowWidth="21840" windowHeight="7770" firstSheet="2" activeTab="3"/>
  </bookViews>
  <sheets>
    <sheet name="DFP-Com" sheetId="1" state="hidden" r:id="rId1"/>
    <sheet name="DFP-CASH" sheetId="2" state="hidden" r:id="rId2"/>
    <sheet name="QFR - A" sheetId="3" r:id="rId3"/>
    <sheet name="QFR - B" sheetId="4" r:id="rId4"/>
    <sheet name="THP DR" sheetId="5" state="hidden" r:id="rId5"/>
    <sheet name="Contract level" sheetId="6" state="hidden" r:id="rId6"/>
    <sheet name="Error checks" sheetId="7" state="hidden" r:id="rId7"/>
    <sheet name="Historico" sheetId="9" state="hidden" r:id="rId8"/>
  </sheets>
  <externalReferences>
    <externalReference r:id="rId9"/>
  </externalReferences>
  <definedNames>
    <definedName name="_xlnm._FilterDatabase" localSheetId="5" hidden="1">'Contract level'!$A$3:$BR$197</definedName>
    <definedName name="_xlnm._FilterDatabase" localSheetId="1" hidden="1">'DFP-CASH'!$C$1:$E$85</definedName>
    <definedName name="_xlnm._FilterDatabase" localSheetId="7" hidden="1">Historico!$A$3:$BD$38</definedName>
    <definedName name="_xlnm.Print_Area" localSheetId="1">'DFP-CASH'!$B$11:$N$54</definedName>
    <definedName name="_xlnm.Print_Area" localSheetId="0">'DFP-Com'!$B$9:$FC$52</definedName>
    <definedName name="ScheduleA" localSheetId="7">#REF!</definedName>
    <definedName name="ScheduleA">#REF!</definedName>
    <definedName name="ScheduleB" localSheetId="7">#REF!</definedName>
    <definedName name="ScheduleB">#REF!</definedName>
    <definedName name="ScheduleF" localSheetId="7">#REF!</definedName>
    <definedName name="ScheduleF">#REF!</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51" i="2" l="1"/>
  <c r="D20" i="1" l="1"/>
  <c r="D22" i="2"/>
  <c r="BQ33" i="6"/>
  <c r="BP33" i="6"/>
  <c r="BO33" i="6"/>
  <c r="BN33" i="6"/>
  <c r="BM33" i="6"/>
  <c r="BL33" i="6"/>
  <c r="BK33" i="6"/>
  <c r="BJ33" i="6"/>
  <c r="BI33" i="6"/>
  <c r="BH33" i="6"/>
  <c r="BG33" i="6"/>
  <c r="BF33" i="6"/>
  <c r="BE33" i="6"/>
  <c r="BD33" i="6"/>
  <c r="BA33" i="6"/>
  <c r="AZ33" i="6"/>
  <c r="AY33" i="6"/>
  <c r="AX33" i="6"/>
  <c r="AU33" i="6"/>
  <c r="AT33" i="6"/>
  <c r="AS33" i="6"/>
  <c r="AR33" i="6"/>
  <c r="AQ33" i="6"/>
  <c r="AP33" i="6"/>
  <c r="AO33" i="6"/>
  <c r="AN33" i="6"/>
  <c r="AM33" i="6"/>
  <c r="AL33" i="6"/>
  <c r="AK33" i="6"/>
  <c r="AJ33" i="6"/>
  <c r="AI33" i="6"/>
  <c r="AH33" i="6"/>
  <c r="AG33" i="6"/>
  <c r="AF33" i="6"/>
  <c r="AE33" i="6"/>
  <c r="AD33" i="6"/>
  <c r="AC33" i="6"/>
  <c r="Z33" i="6"/>
  <c r="B33" i="6"/>
  <c r="BT33" i="6" l="1"/>
  <c r="BS33" i="6"/>
  <c r="BR33" i="6"/>
  <c r="BQ30" i="6" l="1"/>
  <c r="BP30" i="6"/>
  <c r="BO30" i="6"/>
  <c r="BN30" i="6"/>
  <c r="BM30" i="6"/>
  <c r="BL30" i="6"/>
  <c r="BK30" i="6"/>
  <c r="BJ30" i="6"/>
  <c r="BI30" i="6"/>
  <c r="BH30" i="6"/>
  <c r="BG30" i="6"/>
  <c r="BF30" i="6"/>
  <c r="BE30" i="6"/>
  <c r="BD30" i="6"/>
  <c r="BC30" i="6"/>
  <c r="BB30" i="6"/>
  <c r="BA30" i="6"/>
  <c r="AZ30" i="6"/>
  <c r="AY30" i="6"/>
  <c r="AX30" i="6"/>
  <c r="AT30" i="6"/>
  <c r="AR30" i="6"/>
  <c r="AQ30" i="6"/>
  <c r="AP30" i="6"/>
  <c r="AO30" i="6"/>
  <c r="AN30" i="6"/>
  <c r="AM30" i="6"/>
  <c r="AL30" i="6"/>
  <c r="AK30" i="6"/>
  <c r="AJ30" i="6"/>
  <c r="AI30" i="6"/>
  <c r="AH30" i="6"/>
  <c r="AG30" i="6"/>
  <c r="AF30" i="6"/>
  <c r="AE30" i="6"/>
  <c r="AD30" i="6"/>
  <c r="AC30" i="6"/>
  <c r="AS30" i="6"/>
  <c r="BS30" i="6" l="1"/>
  <c r="AU30" i="6"/>
  <c r="BT30" i="6" s="1"/>
  <c r="Z30" i="6" l="1"/>
  <c r="BR30" i="6"/>
  <c r="BQ60" i="6" l="1"/>
  <c r="BP60" i="6"/>
  <c r="BO60" i="6"/>
  <c r="BN60" i="6"/>
  <c r="BM60" i="6"/>
  <c r="BL60" i="6"/>
  <c r="BK60" i="6"/>
  <c r="BJ60" i="6"/>
  <c r="BI60" i="6"/>
  <c r="BH60" i="6"/>
  <c r="BG60" i="6"/>
  <c r="BF60" i="6"/>
  <c r="BE60" i="6"/>
  <c r="BD60" i="6"/>
  <c r="BC60" i="6"/>
  <c r="BB60" i="6"/>
  <c r="BA60" i="6"/>
  <c r="AZ60" i="6"/>
  <c r="AY60" i="6"/>
  <c r="AX60" i="6"/>
  <c r="AU60" i="6"/>
  <c r="AT60" i="6"/>
  <c r="AS60" i="6"/>
  <c r="AR60" i="6"/>
  <c r="AQ60" i="6"/>
  <c r="AP60" i="6"/>
  <c r="AO60" i="6"/>
  <c r="AN60" i="6"/>
  <c r="AM60" i="6"/>
  <c r="AL60" i="6"/>
  <c r="AK60" i="6"/>
  <c r="AJ60" i="6"/>
  <c r="AI60" i="6"/>
  <c r="AH60" i="6"/>
  <c r="AG60" i="6"/>
  <c r="AF60" i="6"/>
  <c r="AE60" i="6"/>
  <c r="AD60" i="6"/>
  <c r="AC60" i="6"/>
  <c r="Z60" i="6"/>
  <c r="B60" i="6"/>
  <c r="BT60" i="6" l="1"/>
  <c r="BS60" i="6"/>
  <c r="BR60" i="6"/>
  <c r="I28" i="7" l="1"/>
  <c r="I29" i="7"/>
  <c r="I37" i="7"/>
  <c r="I38" i="7"/>
  <c r="I45" i="7"/>
  <c r="I46" i="7"/>
  <c r="I53" i="7"/>
  <c r="H28" i="7"/>
  <c r="J28" i="7"/>
  <c r="H29" i="7"/>
  <c r="J29" i="7"/>
  <c r="H37" i="7"/>
  <c r="J37" i="7"/>
  <c r="H38" i="7"/>
  <c r="J38" i="7"/>
  <c r="H45" i="7"/>
  <c r="J45" i="7"/>
  <c r="H46" i="7"/>
  <c r="J46" i="7"/>
  <c r="H53" i="7"/>
  <c r="J53" i="7"/>
  <c r="BL171" i="6" l="1"/>
  <c r="B146" i="6" l="1"/>
  <c r="B128" i="6"/>
  <c r="AP102" i="6" l="1"/>
  <c r="BQ102" i="6"/>
  <c r="BP102" i="6"/>
  <c r="BO102" i="6"/>
  <c r="BN102" i="6"/>
  <c r="BM102" i="6"/>
  <c r="BL102" i="6"/>
  <c r="BK102" i="6"/>
  <c r="BJ102" i="6"/>
  <c r="BI102" i="6"/>
  <c r="BH102" i="6"/>
  <c r="BG102" i="6"/>
  <c r="BF102" i="6"/>
  <c r="BE102" i="6"/>
  <c r="BD102" i="6"/>
  <c r="BC102" i="6"/>
  <c r="BB102" i="6"/>
  <c r="BA102" i="6"/>
  <c r="AZ102" i="6"/>
  <c r="AY102" i="6"/>
  <c r="AX102" i="6"/>
  <c r="AQ102" i="6"/>
  <c r="AI102" i="6"/>
  <c r="Z102" i="6"/>
  <c r="B102" i="6"/>
  <c r="BQ108" i="6"/>
  <c r="BP108" i="6"/>
  <c r="BO108" i="6"/>
  <c r="BN108" i="6"/>
  <c r="BM108" i="6"/>
  <c r="BL108" i="6"/>
  <c r="BK108" i="6"/>
  <c r="BJ108" i="6"/>
  <c r="BI108" i="6"/>
  <c r="BH108" i="6"/>
  <c r="BG108" i="6"/>
  <c r="BF108" i="6"/>
  <c r="BE108" i="6"/>
  <c r="BD108" i="6"/>
  <c r="BC108" i="6"/>
  <c r="BB108" i="6"/>
  <c r="BA108" i="6"/>
  <c r="AZ108" i="6"/>
  <c r="AY108" i="6"/>
  <c r="AX108" i="6"/>
  <c r="AU108" i="6"/>
  <c r="AT108" i="6"/>
  <c r="AS108" i="6"/>
  <c r="AR108" i="6"/>
  <c r="AQ108" i="6"/>
  <c r="AP108" i="6"/>
  <c r="AO108" i="6"/>
  <c r="AN108" i="6"/>
  <c r="AM108" i="6"/>
  <c r="AL108" i="6"/>
  <c r="AK108" i="6"/>
  <c r="AJ108" i="6"/>
  <c r="AI108" i="6"/>
  <c r="AH108" i="6"/>
  <c r="AG108" i="6"/>
  <c r="AF108" i="6"/>
  <c r="AE108" i="6"/>
  <c r="AD108" i="6"/>
  <c r="AC108" i="6"/>
  <c r="Z108" i="6"/>
  <c r="B108" i="6"/>
  <c r="AC102" i="6" l="1"/>
  <c r="AS102" i="6"/>
  <c r="AD102" i="6"/>
  <c r="AL102" i="6"/>
  <c r="AT102" i="6"/>
  <c r="AK102" i="6"/>
  <c r="AE102" i="6"/>
  <c r="AM102" i="6"/>
  <c r="AU102" i="6"/>
  <c r="AJ102" i="6"/>
  <c r="AF102" i="6"/>
  <c r="AN102" i="6"/>
  <c r="AG102" i="6"/>
  <c r="AO102" i="6"/>
  <c r="AR102" i="6"/>
  <c r="BS102" i="6"/>
  <c r="AH102" i="6"/>
  <c r="BT108" i="6"/>
  <c r="BR108" i="6"/>
  <c r="BS108" i="6"/>
  <c r="BR102" i="6" l="1"/>
  <c r="BT102" i="6"/>
  <c r="D155" i="6"/>
  <c r="AQ162" i="6"/>
  <c r="AR162" i="6"/>
  <c r="AS162" i="6"/>
  <c r="AT162" i="6"/>
  <c r="AU162" i="6"/>
  <c r="AR155" i="6"/>
  <c r="AP158" i="6"/>
  <c r="AQ158" i="6"/>
  <c r="AR158" i="6"/>
  <c r="AS158" i="6"/>
  <c r="AT158" i="6"/>
  <c r="AU158" i="6"/>
  <c r="BN113" i="6" l="1"/>
  <c r="BO113" i="6"/>
  <c r="BN114" i="6"/>
  <c r="BO114" i="6"/>
  <c r="BO112" i="6"/>
  <c r="X152" i="6" l="1"/>
  <c r="BP152" i="6"/>
  <c r="AD152" i="6" l="1"/>
  <c r="AE152" i="6"/>
  <c r="AF152" i="6"/>
  <c r="AG152" i="6"/>
  <c r="AH152" i="6"/>
  <c r="AI152" i="6"/>
  <c r="AJ152" i="6"/>
  <c r="AK152" i="6"/>
  <c r="AL152" i="6"/>
  <c r="AM152" i="6"/>
  <c r="AN152" i="6"/>
  <c r="AO152" i="6"/>
  <c r="AP152" i="6"/>
  <c r="AQ152" i="6"/>
  <c r="AR152" i="6"/>
  <c r="AS152" i="6"/>
  <c r="AT152" i="6"/>
  <c r="AU152" i="6"/>
  <c r="BS148" i="6"/>
  <c r="BT148" i="6"/>
  <c r="BS149" i="6"/>
  <c r="BT149" i="6"/>
  <c r="BS168" i="6"/>
  <c r="BT168" i="6"/>
  <c r="BS169" i="6"/>
  <c r="BT169" i="6"/>
  <c r="BS174" i="6"/>
  <c r="BT174" i="6"/>
  <c r="BS176" i="6"/>
  <c r="BT176" i="6"/>
  <c r="BS198" i="6"/>
  <c r="BT198" i="6"/>
  <c r="B18" i="6" l="1"/>
  <c r="Z18" i="6"/>
  <c r="AC18" i="6"/>
  <c r="AD18" i="6"/>
  <c r="AE18" i="6"/>
  <c r="AF18" i="6"/>
  <c r="AG18" i="6"/>
  <c r="AH18" i="6"/>
  <c r="AI18" i="6"/>
  <c r="AJ18" i="6"/>
  <c r="AK18" i="6"/>
  <c r="AL18" i="6"/>
  <c r="AM18" i="6"/>
  <c r="AN18" i="6"/>
  <c r="AO18" i="6"/>
  <c r="AP18" i="6"/>
  <c r="AQ18" i="6"/>
  <c r="AR18" i="6"/>
  <c r="AS18" i="6"/>
  <c r="AT18" i="6"/>
  <c r="AU18" i="6"/>
  <c r="AX18" i="6"/>
  <c r="AY18" i="6"/>
  <c r="AZ18" i="6"/>
  <c r="BA18" i="6"/>
  <c r="BB18" i="6"/>
  <c r="BC18" i="6"/>
  <c r="BD18" i="6"/>
  <c r="BE18" i="6"/>
  <c r="BF18" i="6"/>
  <c r="BG18" i="6"/>
  <c r="BH18" i="6"/>
  <c r="BI18" i="6"/>
  <c r="BM18" i="6"/>
  <c r="BN18" i="6"/>
  <c r="BO18" i="6"/>
  <c r="BP18" i="6"/>
  <c r="BQ18" i="6"/>
  <c r="BS18" i="6" l="1"/>
  <c r="BT18" i="6"/>
  <c r="BR18" i="6"/>
  <c r="D21" i="2" l="1"/>
  <c r="BL167" i="6" l="1"/>
  <c r="BQ20" i="6" l="1"/>
  <c r="BP20" i="6"/>
  <c r="BO20" i="6"/>
  <c r="BN20" i="6"/>
  <c r="BM20" i="6"/>
  <c r="BL20" i="6"/>
  <c r="BI20" i="6"/>
  <c r="BH20" i="6"/>
  <c r="BG20" i="6"/>
  <c r="BF20" i="6"/>
  <c r="BE20" i="6"/>
  <c r="BD20" i="6"/>
  <c r="BC20" i="6"/>
  <c r="BB20" i="6"/>
  <c r="BA20" i="6"/>
  <c r="AZ20" i="6"/>
  <c r="AY20" i="6"/>
  <c r="AX20" i="6"/>
  <c r="AU20" i="6"/>
  <c r="AT20" i="6"/>
  <c r="AS20" i="6"/>
  <c r="AR20" i="6"/>
  <c r="AQ20" i="6"/>
  <c r="AP20" i="6"/>
  <c r="AO20" i="6"/>
  <c r="AN20" i="6"/>
  <c r="AM20" i="6"/>
  <c r="AL20" i="6"/>
  <c r="AK20" i="6"/>
  <c r="AJ20" i="6"/>
  <c r="AI20" i="6"/>
  <c r="AH20" i="6"/>
  <c r="AG20" i="6"/>
  <c r="AF20" i="6"/>
  <c r="AE20" i="6"/>
  <c r="AD20" i="6"/>
  <c r="AC20" i="6"/>
  <c r="Z20" i="6"/>
  <c r="BQ11" i="6"/>
  <c r="BP11" i="6"/>
  <c r="BO11" i="6"/>
  <c r="BN11" i="6"/>
  <c r="BM11" i="6"/>
  <c r="BL11" i="6"/>
  <c r="BK11" i="6"/>
  <c r="BJ11" i="6"/>
  <c r="BI11" i="6"/>
  <c r="BH11" i="6"/>
  <c r="BG11" i="6"/>
  <c r="BF11" i="6"/>
  <c r="BE11" i="6"/>
  <c r="BD11" i="6"/>
  <c r="BC11" i="6"/>
  <c r="BB11" i="6"/>
  <c r="BA11" i="6"/>
  <c r="AZ11" i="6"/>
  <c r="AY11" i="6"/>
  <c r="AX11" i="6"/>
  <c r="AU11" i="6"/>
  <c r="AT11" i="6"/>
  <c r="AS11" i="6"/>
  <c r="AR11" i="6"/>
  <c r="AQ11" i="6"/>
  <c r="AP11" i="6"/>
  <c r="AO11" i="6"/>
  <c r="AN11" i="6"/>
  <c r="AM11" i="6"/>
  <c r="AL11" i="6"/>
  <c r="AK11" i="6"/>
  <c r="AJ11" i="6"/>
  <c r="AI11" i="6"/>
  <c r="AH11" i="6"/>
  <c r="AG11" i="6"/>
  <c r="AF11" i="6"/>
  <c r="AE11" i="6"/>
  <c r="AD11" i="6"/>
  <c r="AC11" i="6"/>
  <c r="Z11" i="6"/>
  <c r="Z12" i="6"/>
  <c r="AC12" i="6"/>
  <c r="AD12" i="6"/>
  <c r="AE12" i="6"/>
  <c r="AF12" i="6"/>
  <c r="AG12" i="6"/>
  <c r="AH12" i="6"/>
  <c r="AI12" i="6"/>
  <c r="AJ12" i="6"/>
  <c r="AK12" i="6"/>
  <c r="AL12" i="6"/>
  <c r="AM12" i="6"/>
  <c r="AN12" i="6"/>
  <c r="AO12" i="6"/>
  <c r="AP12" i="6"/>
  <c r="AQ12" i="6"/>
  <c r="AR12" i="6"/>
  <c r="AS12" i="6"/>
  <c r="AT12" i="6"/>
  <c r="AU12" i="6"/>
  <c r="AX12" i="6"/>
  <c r="AY12" i="6"/>
  <c r="AZ12" i="6"/>
  <c r="BA12" i="6"/>
  <c r="BB12" i="6"/>
  <c r="BC12" i="6"/>
  <c r="BD12" i="6"/>
  <c r="BE12" i="6"/>
  <c r="BF12" i="6"/>
  <c r="BG12" i="6"/>
  <c r="BH12" i="6"/>
  <c r="BI12" i="6"/>
  <c r="BJ12" i="6"/>
  <c r="BK12" i="6"/>
  <c r="BL12" i="6"/>
  <c r="BM12" i="6"/>
  <c r="BN12" i="6"/>
  <c r="BO12" i="6"/>
  <c r="BP12" i="6"/>
  <c r="BQ12" i="6"/>
  <c r="D26" i="6"/>
  <c r="AC26" i="6" s="1"/>
  <c r="Z26" i="6"/>
  <c r="AX26" i="6"/>
  <c r="AY26" i="6"/>
  <c r="AZ26" i="6"/>
  <c r="BA26" i="6"/>
  <c r="BB26" i="6"/>
  <c r="BC26" i="6"/>
  <c r="BD26" i="6"/>
  <c r="BE26" i="6"/>
  <c r="BF26" i="6"/>
  <c r="BG26" i="6"/>
  <c r="BH26" i="6"/>
  <c r="BI26" i="6"/>
  <c r="BJ26" i="6"/>
  <c r="BK26" i="6"/>
  <c r="BL26" i="6"/>
  <c r="BN26" i="6"/>
  <c r="BO26" i="6"/>
  <c r="BP26" i="6"/>
  <c r="BQ26" i="6"/>
  <c r="BQ8" i="6"/>
  <c r="BP8" i="6"/>
  <c r="BO8" i="6"/>
  <c r="BN8" i="6"/>
  <c r="BM8" i="6"/>
  <c r="BL8" i="6"/>
  <c r="BK8" i="6"/>
  <c r="BJ8" i="6"/>
  <c r="BI8" i="6"/>
  <c r="BH8" i="6"/>
  <c r="BG8" i="6"/>
  <c r="BF8" i="6"/>
  <c r="BE8" i="6"/>
  <c r="BD8" i="6"/>
  <c r="BC8" i="6"/>
  <c r="BB8" i="6"/>
  <c r="BA8" i="6"/>
  <c r="AZ8" i="6"/>
  <c r="AY8" i="6"/>
  <c r="AX8" i="6"/>
  <c r="AU8" i="6"/>
  <c r="AT8" i="6"/>
  <c r="AS8" i="6"/>
  <c r="AR8" i="6"/>
  <c r="AQ8" i="6"/>
  <c r="AP8" i="6"/>
  <c r="AO8" i="6"/>
  <c r="AN8" i="6"/>
  <c r="AM8" i="6"/>
  <c r="AL8" i="6"/>
  <c r="AK8" i="6"/>
  <c r="AJ8" i="6"/>
  <c r="AI8" i="6"/>
  <c r="AG8" i="6"/>
  <c r="AF8" i="6"/>
  <c r="AE8" i="6"/>
  <c r="AD8" i="6"/>
  <c r="AC8" i="6"/>
  <c r="Z8" i="6"/>
  <c r="BT8" i="6" l="1"/>
  <c r="BS8" i="6"/>
  <c r="BT12" i="6"/>
  <c r="BT11" i="6"/>
  <c r="BT20" i="6"/>
  <c r="BS12" i="6"/>
  <c r="BS11" i="6"/>
  <c r="BS20" i="6"/>
  <c r="BR20" i="6"/>
  <c r="BR11" i="6"/>
  <c r="AR26" i="6"/>
  <c r="AJ26" i="6"/>
  <c r="AQ26" i="6"/>
  <c r="BR12" i="6"/>
  <c r="AP26" i="6"/>
  <c r="AG26" i="6"/>
  <c r="AN26" i="6"/>
  <c r="AF26" i="6"/>
  <c r="AI26" i="6"/>
  <c r="AH26" i="6"/>
  <c r="AO26" i="6"/>
  <c r="BM26" i="6"/>
  <c r="BS26" i="6" s="1"/>
  <c r="AU26" i="6"/>
  <c r="AM26" i="6"/>
  <c r="AE26" i="6"/>
  <c r="AT26" i="6"/>
  <c r="AL26" i="6"/>
  <c r="AD26" i="6"/>
  <c r="AS26" i="6"/>
  <c r="AK26" i="6"/>
  <c r="BR8" i="6"/>
  <c r="BT26" i="6" l="1"/>
  <c r="BR26" i="6"/>
  <c r="I19" i="4" l="1"/>
  <c r="I26" i="4"/>
  <c r="I14" i="4"/>
  <c r="J15" i="4"/>
  <c r="J16" i="4"/>
  <c r="J17" i="4"/>
  <c r="J18" i="4"/>
  <c r="J19" i="4"/>
  <c r="J20" i="4"/>
  <c r="J21" i="4"/>
  <c r="J22" i="4"/>
  <c r="J23" i="4"/>
  <c r="J24" i="4"/>
  <c r="J25" i="4"/>
  <c r="J26" i="4"/>
  <c r="J27" i="4"/>
  <c r="J28" i="4"/>
  <c r="J29" i="4"/>
  <c r="J30" i="4"/>
  <c r="J31" i="4"/>
  <c r="J32" i="4"/>
  <c r="J33" i="4"/>
  <c r="J34" i="4"/>
  <c r="J35" i="4"/>
  <c r="J36" i="4"/>
  <c r="J37" i="4"/>
  <c r="J14" i="4"/>
  <c r="X170" i="6" l="1"/>
  <c r="AQ161" i="6" l="1"/>
  <c r="BQ145" i="6"/>
  <c r="BP145" i="6"/>
  <c r="BO145" i="6"/>
  <c r="BN145" i="6"/>
  <c r="BM145" i="6"/>
  <c r="BL145" i="6"/>
  <c r="BK145" i="6"/>
  <c r="BJ145" i="6"/>
  <c r="BI145" i="6"/>
  <c r="BH145" i="6"/>
  <c r="BG145" i="6"/>
  <c r="BF145" i="6"/>
  <c r="BE145" i="6"/>
  <c r="BD145" i="6"/>
  <c r="BC145" i="6"/>
  <c r="BB145" i="6"/>
  <c r="BA145" i="6"/>
  <c r="AZ145" i="6"/>
  <c r="AY145" i="6"/>
  <c r="AX145" i="6"/>
  <c r="AV145" i="6"/>
  <c r="AU145" i="6"/>
  <c r="AT145" i="6"/>
  <c r="AS145" i="6"/>
  <c r="AR145" i="6"/>
  <c r="AQ145" i="6"/>
  <c r="AP145" i="6"/>
  <c r="AO145" i="6"/>
  <c r="AN145" i="6"/>
  <c r="AM145" i="6"/>
  <c r="AL145" i="6"/>
  <c r="AK145" i="6"/>
  <c r="AJ145" i="6"/>
  <c r="AI145" i="6"/>
  <c r="AH145" i="6"/>
  <c r="AG145" i="6"/>
  <c r="AF145" i="6"/>
  <c r="AE145" i="6"/>
  <c r="AD145" i="6"/>
  <c r="AC145" i="6"/>
  <c r="Z145" i="6"/>
  <c r="B145" i="6"/>
  <c r="BS145" i="6" l="1"/>
  <c r="BT145" i="6"/>
  <c r="BR145" i="6"/>
  <c r="BL146" i="6" l="1"/>
  <c r="D22" i="7" l="1"/>
  <c r="E22" i="7"/>
  <c r="F22" i="7"/>
  <c r="G22" i="7"/>
  <c r="AT114" i="6" l="1"/>
  <c r="AS114" i="6"/>
  <c r="BS114" i="6"/>
  <c r="BT114" i="6" l="1"/>
  <c r="BS113" i="6"/>
  <c r="AT113" i="6"/>
  <c r="AS113" i="6"/>
  <c r="BT113" i="6" l="1"/>
  <c r="D18" i="7"/>
  <c r="E18" i="7"/>
  <c r="F18" i="7"/>
  <c r="G18" i="7"/>
  <c r="D19" i="7"/>
  <c r="E19" i="7"/>
  <c r="F19" i="7"/>
  <c r="G19" i="7"/>
  <c r="D20" i="7"/>
  <c r="E20" i="7"/>
  <c r="F20" i="7"/>
  <c r="G20" i="7"/>
  <c r="D24" i="7"/>
  <c r="E24" i="7"/>
  <c r="F24" i="7"/>
  <c r="G24" i="7"/>
  <c r="D25" i="7"/>
  <c r="E25" i="7"/>
  <c r="F25" i="7"/>
  <c r="G25" i="7"/>
  <c r="D26" i="7"/>
  <c r="E26" i="7"/>
  <c r="F26" i="7"/>
  <c r="G26" i="7"/>
  <c r="D28" i="7"/>
  <c r="E28" i="7"/>
  <c r="F28" i="7"/>
  <c r="G28" i="7"/>
  <c r="D29" i="7"/>
  <c r="E29" i="7"/>
  <c r="F29" i="7"/>
  <c r="G29" i="7"/>
  <c r="D31" i="7"/>
  <c r="E31" i="7"/>
  <c r="F31" i="7"/>
  <c r="G31" i="7"/>
  <c r="D33" i="7"/>
  <c r="E33" i="7"/>
  <c r="F33" i="7"/>
  <c r="G33" i="7"/>
  <c r="D34" i="7"/>
  <c r="E34" i="7"/>
  <c r="F34" i="7"/>
  <c r="G34" i="7"/>
  <c r="D35" i="7"/>
  <c r="E35" i="7"/>
  <c r="F35" i="7"/>
  <c r="G35" i="7"/>
  <c r="D37" i="7"/>
  <c r="E37" i="7"/>
  <c r="F37" i="7"/>
  <c r="G37" i="7"/>
  <c r="D38" i="7"/>
  <c r="E38" i="7"/>
  <c r="F38" i="7"/>
  <c r="G38" i="7"/>
  <c r="D41" i="7"/>
  <c r="E41" i="7"/>
  <c r="F41" i="7"/>
  <c r="G41" i="7"/>
  <c r="D42" i="7"/>
  <c r="E42" i="7"/>
  <c r="F42" i="7"/>
  <c r="G42" i="7"/>
  <c r="D45" i="7"/>
  <c r="E45" i="7"/>
  <c r="F45" i="7"/>
  <c r="G45" i="7"/>
  <c r="D46" i="7"/>
  <c r="E46" i="7"/>
  <c r="F46" i="7"/>
  <c r="G46" i="7"/>
  <c r="D48" i="7"/>
  <c r="E48" i="7"/>
  <c r="F48" i="7"/>
  <c r="G48" i="7"/>
  <c r="D49" i="7"/>
  <c r="E49" i="7"/>
  <c r="G49" i="7"/>
  <c r="D50" i="7"/>
  <c r="E50" i="7"/>
  <c r="F50" i="7"/>
  <c r="G50" i="7"/>
  <c r="D51" i="7"/>
  <c r="E51" i="7"/>
  <c r="F51" i="7"/>
  <c r="G51" i="7"/>
  <c r="D53" i="7"/>
  <c r="E53" i="7"/>
  <c r="F53" i="7"/>
  <c r="G53" i="7"/>
  <c r="BQ171" i="6"/>
  <c r="BP171" i="6"/>
  <c r="BO171" i="6"/>
  <c r="BN171" i="6"/>
  <c r="BM171" i="6"/>
  <c r="BK171" i="6"/>
  <c r="BJ171" i="6"/>
  <c r="BI171" i="6"/>
  <c r="BH171" i="6"/>
  <c r="BG171" i="6"/>
  <c r="BF171" i="6"/>
  <c r="BE171" i="6"/>
  <c r="BD171" i="6"/>
  <c r="BC171" i="6"/>
  <c r="BB171" i="6"/>
  <c r="BA171" i="6"/>
  <c r="AZ171" i="6"/>
  <c r="AY171" i="6"/>
  <c r="AX171" i="6"/>
  <c r="AU171" i="6"/>
  <c r="AT171" i="6"/>
  <c r="AS171" i="6"/>
  <c r="AR171" i="6"/>
  <c r="AQ171" i="6"/>
  <c r="AP171" i="6"/>
  <c r="AO171" i="6"/>
  <c r="AN171" i="6"/>
  <c r="AM171" i="6"/>
  <c r="AL171" i="6"/>
  <c r="AK171" i="6"/>
  <c r="AJ171" i="6"/>
  <c r="AI171" i="6"/>
  <c r="AH171" i="6"/>
  <c r="AG171" i="6"/>
  <c r="AF171" i="6"/>
  <c r="AE171" i="6"/>
  <c r="AD171" i="6"/>
  <c r="AC171" i="6"/>
  <c r="Z171" i="6"/>
  <c r="B171" i="6"/>
  <c r="S173" i="6"/>
  <c r="BT171" i="6" l="1"/>
  <c r="BS171" i="6"/>
  <c r="BR171" i="6"/>
  <c r="BK173" i="6" l="1"/>
  <c r="X173" i="6"/>
  <c r="AU173" i="6" s="1"/>
  <c r="AP173" i="6"/>
  <c r="AF173" i="6"/>
  <c r="AG173" i="6"/>
  <c r="AH173" i="6"/>
  <c r="AI173" i="6"/>
  <c r="AJ173" i="6"/>
  <c r="AK173" i="6"/>
  <c r="AL173" i="6"/>
  <c r="AM173" i="6"/>
  <c r="AN173" i="6"/>
  <c r="AO173" i="6"/>
  <c r="AQ173" i="6"/>
  <c r="AR173" i="6"/>
  <c r="AS173" i="6"/>
  <c r="AT173" i="6"/>
  <c r="AD158" i="6"/>
  <c r="AE158" i="6"/>
  <c r="AF158" i="6"/>
  <c r="AG158" i="6"/>
  <c r="AH158" i="6"/>
  <c r="AI158" i="6"/>
  <c r="AJ158" i="6"/>
  <c r="AK158" i="6"/>
  <c r="AL158" i="6"/>
  <c r="AM158" i="6"/>
  <c r="AN158" i="6"/>
  <c r="AO158" i="6"/>
  <c r="AV158" i="6"/>
  <c r="AC158" i="6"/>
  <c r="AD135" i="6"/>
  <c r="AE135" i="6"/>
  <c r="AF135" i="6"/>
  <c r="AG135" i="6"/>
  <c r="AH135" i="6"/>
  <c r="AI135" i="6"/>
  <c r="AJ135" i="6"/>
  <c r="AK135" i="6"/>
  <c r="AL135" i="6"/>
  <c r="AM135" i="6"/>
  <c r="AN135" i="6"/>
  <c r="AO135" i="6"/>
  <c r="AP135" i="6"/>
  <c r="AQ135" i="6"/>
  <c r="AR135" i="6"/>
  <c r="AS135" i="6"/>
  <c r="AT135" i="6"/>
  <c r="AU135" i="6"/>
  <c r="AC135" i="6"/>
  <c r="AC141" i="6"/>
  <c r="D135" i="6"/>
  <c r="AS207" i="6" l="1"/>
  <c r="BS135" i="6"/>
  <c r="AQ159" i="6"/>
  <c r="BQ155" i="6" l="1"/>
  <c r="BI155" i="6"/>
  <c r="BE155" i="6"/>
  <c r="BD155" i="6"/>
  <c r="BC155" i="6"/>
  <c r="BB155" i="6"/>
  <c r="BA155" i="6"/>
  <c r="AZ155" i="6"/>
  <c r="AY155" i="6"/>
  <c r="AV155" i="6"/>
  <c r="AU155" i="6"/>
  <c r="AT155" i="6"/>
  <c r="AS155" i="6"/>
  <c r="AQ155" i="6"/>
  <c r="AP155" i="6"/>
  <c r="AO155" i="6"/>
  <c r="AN155" i="6"/>
  <c r="AM155" i="6"/>
  <c r="AL155" i="6"/>
  <c r="AK155" i="6"/>
  <c r="AJ155" i="6"/>
  <c r="AI155" i="6"/>
  <c r="AH155" i="6"/>
  <c r="AG155" i="6"/>
  <c r="AF155" i="6"/>
  <c r="AE155" i="6"/>
  <c r="AD155" i="6"/>
  <c r="AC155" i="6"/>
  <c r="Z155" i="6"/>
  <c r="B155" i="6"/>
  <c r="BT155" i="6" l="1"/>
  <c r="AX155" i="6"/>
  <c r="BR155" i="6" l="1"/>
  <c r="BS155" i="6"/>
  <c r="D43" i="7"/>
  <c r="E43" i="7"/>
  <c r="F43" i="7"/>
  <c r="G43" i="7"/>
  <c r="F40" i="7"/>
  <c r="G40" i="7"/>
  <c r="E40" i="7"/>
  <c r="D40" i="7"/>
  <c r="BQ103" i="6"/>
  <c r="BP103" i="6"/>
  <c r="BO103" i="6"/>
  <c r="BN103" i="6"/>
  <c r="BM103" i="6"/>
  <c r="BL103" i="6"/>
  <c r="BK103" i="6"/>
  <c r="BJ103" i="6"/>
  <c r="BI103" i="6"/>
  <c r="BH103" i="6"/>
  <c r="BG103" i="6"/>
  <c r="BF103" i="6"/>
  <c r="BE103" i="6"/>
  <c r="BD103" i="6"/>
  <c r="BC103" i="6"/>
  <c r="BB103" i="6"/>
  <c r="BA103" i="6"/>
  <c r="AZ103" i="6"/>
  <c r="AY103" i="6"/>
  <c r="AX103" i="6"/>
  <c r="AU103" i="6"/>
  <c r="AT103" i="6"/>
  <c r="AS103" i="6"/>
  <c r="AR103" i="6"/>
  <c r="AQ103" i="6"/>
  <c r="AP103" i="6"/>
  <c r="AO103" i="6"/>
  <c r="AN103" i="6"/>
  <c r="AM103" i="6"/>
  <c r="AL103" i="6"/>
  <c r="AK103" i="6"/>
  <c r="AJ103" i="6"/>
  <c r="AI103" i="6"/>
  <c r="AH103" i="6"/>
  <c r="AG103" i="6"/>
  <c r="AF103" i="6"/>
  <c r="AE103" i="6"/>
  <c r="AD103" i="6"/>
  <c r="AC103" i="6"/>
  <c r="Z103" i="6"/>
  <c r="BB84" i="6"/>
  <c r="BS103" i="6" l="1"/>
  <c r="BT103" i="6"/>
  <c r="BR103" i="6"/>
  <c r="BQ97" i="6" l="1"/>
  <c r="BP97" i="6"/>
  <c r="BO97" i="6"/>
  <c r="BN97" i="6"/>
  <c r="BM97" i="6"/>
  <c r="BL97" i="6"/>
  <c r="BK97" i="6"/>
  <c r="BJ97" i="6"/>
  <c r="BI97" i="6"/>
  <c r="BH97" i="6"/>
  <c r="BG97" i="6"/>
  <c r="BE97" i="6"/>
  <c r="BD97" i="6"/>
  <c r="BC97" i="6"/>
  <c r="BB97" i="6"/>
  <c r="BA97" i="6"/>
  <c r="AZ97" i="6"/>
  <c r="AY97" i="6"/>
  <c r="AX97" i="6"/>
  <c r="AS97" i="6"/>
  <c r="AK97" i="6"/>
  <c r="AH97" i="6"/>
  <c r="AF97" i="6"/>
  <c r="AD97" i="6"/>
  <c r="AC97" i="6"/>
  <c r="Z97" i="6"/>
  <c r="AR97" i="6"/>
  <c r="D96" i="6"/>
  <c r="AT97" i="6" l="1"/>
  <c r="AL97" i="6"/>
  <c r="AE97" i="6"/>
  <c r="AM97" i="6"/>
  <c r="AU97" i="6"/>
  <c r="BF97" i="6"/>
  <c r="BS97" i="6" s="1"/>
  <c r="AN97" i="6"/>
  <c r="AG97" i="6"/>
  <c r="AO97" i="6"/>
  <c r="AP97" i="6"/>
  <c r="AI97" i="6"/>
  <c r="AQ97" i="6"/>
  <c r="AJ97" i="6"/>
  <c r="BT97" i="6" l="1"/>
  <c r="BR97" i="6"/>
  <c r="BQ118" i="6"/>
  <c r="BP118" i="6"/>
  <c r="BO118" i="6"/>
  <c r="BN118" i="6"/>
  <c r="BM118" i="6"/>
  <c r="BL118" i="6"/>
  <c r="BK118" i="6"/>
  <c r="BJ118" i="6"/>
  <c r="BI118" i="6"/>
  <c r="BH118" i="6"/>
  <c r="BG118" i="6"/>
  <c r="BF118" i="6"/>
  <c r="BE118" i="6"/>
  <c r="BD118" i="6"/>
  <c r="BC118" i="6"/>
  <c r="BB118" i="6"/>
  <c r="BA118" i="6"/>
  <c r="AZ118" i="6"/>
  <c r="AY118" i="6"/>
  <c r="AX118" i="6"/>
  <c r="AU118" i="6"/>
  <c r="AS118" i="6"/>
  <c r="AR118" i="6"/>
  <c r="AQ118" i="6"/>
  <c r="AP118" i="6"/>
  <c r="AO118" i="6"/>
  <c r="AN118" i="6"/>
  <c r="AM118" i="6"/>
  <c r="AL118" i="6"/>
  <c r="AK118" i="6"/>
  <c r="AJ118" i="6"/>
  <c r="AI118" i="6"/>
  <c r="AH118" i="6"/>
  <c r="AG118" i="6"/>
  <c r="AF118" i="6"/>
  <c r="AE118" i="6"/>
  <c r="AD118" i="6"/>
  <c r="AC118" i="6"/>
  <c r="Z118" i="6"/>
  <c r="BQ112" i="6"/>
  <c r="BP112" i="6"/>
  <c r="BN112" i="6"/>
  <c r="BM112" i="6"/>
  <c r="BL112" i="6"/>
  <c r="BK112" i="6"/>
  <c r="BJ112" i="6"/>
  <c r="BI112" i="6"/>
  <c r="BH112" i="6"/>
  <c r="BG112" i="6"/>
  <c r="BF112" i="6"/>
  <c r="BE112" i="6"/>
  <c r="BD112" i="6"/>
  <c r="BC112" i="6"/>
  <c r="BB112" i="6"/>
  <c r="BA112" i="6"/>
  <c r="AZ112" i="6"/>
  <c r="AY112" i="6"/>
  <c r="AX112" i="6"/>
  <c r="AU112" i="6"/>
  <c r="AT112" i="6"/>
  <c r="AS112" i="6"/>
  <c r="AR112" i="6"/>
  <c r="AQ112" i="6"/>
  <c r="AP112" i="6"/>
  <c r="AO112" i="6"/>
  <c r="AN112" i="6"/>
  <c r="AM112" i="6"/>
  <c r="AL112" i="6"/>
  <c r="AK112" i="6"/>
  <c r="AJ112" i="6"/>
  <c r="AI112" i="6"/>
  <c r="AH112" i="6"/>
  <c r="AG112" i="6"/>
  <c r="AF112" i="6"/>
  <c r="AE112" i="6"/>
  <c r="AD112" i="6"/>
  <c r="AC112" i="6"/>
  <c r="Z112" i="6"/>
  <c r="B112" i="6"/>
  <c r="BT112" i="6" l="1"/>
  <c r="BS118" i="6"/>
  <c r="BS112" i="6"/>
  <c r="AT118" i="6"/>
  <c r="BR118" i="6" s="1"/>
  <c r="BR112" i="6"/>
  <c r="Z64" i="6"/>
  <c r="BT118" i="6" l="1"/>
  <c r="BD39" i="6"/>
  <c r="BK39" i="6"/>
  <c r="BQ21" i="6" l="1"/>
  <c r="BP21" i="6"/>
  <c r="BO21" i="6"/>
  <c r="BN21" i="6"/>
  <c r="BM21" i="6"/>
  <c r="BL21" i="6"/>
  <c r="BK21" i="6"/>
  <c r="BJ21" i="6"/>
  <c r="BI21" i="6"/>
  <c r="BH21" i="6"/>
  <c r="BG21" i="6"/>
  <c r="BF21" i="6"/>
  <c r="BE21" i="6"/>
  <c r="BD21" i="6"/>
  <c r="BC21" i="6"/>
  <c r="BB21" i="6"/>
  <c r="BA21" i="6"/>
  <c r="AZ21" i="6"/>
  <c r="AY21" i="6"/>
  <c r="AX21" i="6"/>
  <c r="AU21" i="6"/>
  <c r="AT21" i="6"/>
  <c r="AR21" i="6"/>
  <c r="AQ21" i="6"/>
  <c r="AP21" i="6"/>
  <c r="AO21" i="6"/>
  <c r="AN21" i="6"/>
  <c r="AM21" i="6"/>
  <c r="AL21" i="6"/>
  <c r="AK21" i="6"/>
  <c r="AJ21" i="6"/>
  <c r="AI21" i="6"/>
  <c r="AH21" i="6"/>
  <c r="AG21" i="6"/>
  <c r="AF21" i="6"/>
  <c r="AE21" i="6"/>
  <c r="AD21" i="6"/>
  <c r="AC21" i="6"/>
  <c r="Z21" i="6"/>
  <c r="BS21" i="6" l="1"/>
  <c r="AS21" i="6"/>
  <c r="BR21" i="6" s="1"/>
  <c r="BQ64" i="6"/>
  <c r="BP64" i="6"/>
  <c r="BO64" i="6"/>
  <c r="BN64" i="6"/>
  <c r="BM64" i="6"/>
  <c r="BL64" i="6"/>
  <c r="BK64" i="6"/>
  <c r="BJ64" i="6"/>
  <c r="BI64" i="6"/>
  <c r="BH64" i="6"/>
  <c r="BG64" i="6"/>
  <c r="BF64" i="6"/>
  <c r="BE64" i="6"/>
  <c r="BD64" i="6"/>
  <c r="BC64" i="6"/>
  <c r="BB64" i="6"/>
  <c r="BA64" i="6"/>
  <c r="AZ64" i="6"/>
  <c r="AY64" i="6"/>
  <c r="AX64" i="6"/>
  <c r="AU64" i="6"/>
  <c r="AT64" i="6"/>
  <c r="AS64" i="6"/>
  <c r="AR64" i="6"/>
  <c r="AQ64" i="6"/>
  <c r="AP64" i="6"/>
  <c r="AO64" i="6"/>
  <c r="AN64" i="6"/>
  <c r="AM64" i="6"/>
  <c r="AL64" i="6"/>
  <c r="AK64" i="6"/>
  <c r="AJ64" i="6"/>
  <c r="AI64" i="6"/>
  <c r="AH64" i="6"/>
  <c r="AG64" i="6"/>
  <c r="AF64" i="6"/>
  <c r="AE64" i="6"/>
  <c r="AD64" i="6"/>
  <c r="AC64" i="6"/>
  <c r="B64" i="6"/>
  <c r="BQ63" i="6"/>
  <c r="BP63" i="6"/>
  <c r="BO63" i="6"/>
  <c r="BN63" i="6"/>
  <c r="BM63" i="6"/>
  <c r="BL63" i="6"/>
  <c r="BK63" i="6"/>
  <c r="BJ63" i="6"/>
  <c r="BI63" i="6"/>
  <c r="BH63" i="6"/>
  <c r="BG63" i="6"/>
  <c r="BF63" i="6"/>
  <c r="BE63" i="6"/>
  <c r="BD63" i="6"/>
  <c r="BC63" i="6"/>
  <c r="BB63" i="6"/>
  <c r="BA63" i="6"/>
  <c r="AZ63" i="6"/>
  <c r="AY63" i="6"/>
  <c r="AX63" i="6"/>
  <c r="AU63" i="6"/>
  <c r="AT63" i="6"/>
  <c r="AS63" i="6"/>
  <c r="AR63" i="6"/>
  <c r="AQ63" i="6"/>
  <c r="AP63" i="6"/>
  <c r="AO63" i="6"/>
  <c r="AN63" i="6"/>
  <c r="AM63" i="6"/>
  <c r="AL63" i="6"/>
  <c r="AK63" i="6"/>
  <c r="AJ63" i="6"/>
  <c r="AI63" i="6"/>
  <c r="AH63" i="6"/>
  <c r="AG63" i="6"/>
  <c r="AF63" i="6"/>
  <c r="AE63" i="6"/>
  <c r="AD63" i="6"/>
  <c r="AC63" i="6"/>
  <c r="Z63" i="6"/>
  <c r="B63" i="6"/>
  <c r="BQ62" i="6"/>
  <c r="BP62" i="6"/>
  <c r="BO62" i="6"/>
  <c r="BN62" i="6"/>
  <c r="BM62" i="6"/>
  <c r="BL62" i="6"/>
  <c r="BK62" i="6"/>
  <c r="BJ62" i="6"/>
  <c r="BI62" i="6"/>
  <c r="BH62" i="6"/>
  <c r="BG62" i="6"/>
  <c r="BF62" i="6"/>
  <c r="BE62" i="6"/>
  <c r="BD62" i="6"/>
  <c r="BC62" i="6"/>
  <c r="BB62" i="6"/>
  <c r="BA62" i="6"/>
  <c r="AZ62" i="6"/>
  <c r="AY62" i="6"/>
  <c r="AX62" i="6"/>
  <c r="AU62" i="6"/>
  <c r="AT62" i="6"/>
  <c r="AS62" i="6"/>
  <c r="AR62" i="6"/>
  <c r="AQ62" i="6"/>
  <c r="AP62" i="6"/>
  <c r="AO62" i="6"/>
  <c r="AN62" i="6"/>
  <c r="AM62" i="6"/>
  <c r="AL62" i="6"/>
  <c r="AK62" i="6"/>
  <c r="AJ62" i="6"/>
  <c r="AI62" i="6"/>
  <c r="AH62" i="6"/>
  <c r="AG62" i="6"/>
  <c r="AF62" i="6"/>
  <c r="AE62" i="6"/>
  <c r="AD62" i="6"/>
  <c r="AC62" i="6"/>
  <c r="Z62" i="6"/>
  <c r="B62" i="6"/>
  <c r="BQ51" i="6"/>
  <c r="BP51" i="6"/>
  <c r="BO51" i="6"/>
  <c r="BN51" i="6"/>
  <c r="BM51" i="6"/>
  <c r="BL51" i="6"/>
  <c r="BK51" i="6"/>
  <c r="BJ51" i="6"/>
  <c r="BI51" i="6"/>
  <c r="BH51" i="6"/>
  <c r="BG51" i="6"/>
  <c r="BF51" i="6"/>
  <c r="BE51" i="6"/>
  <c r="BD51" i="6"/>
  <c r="BC51" i="6"/>
  <c r="BB51" i="6"/>
  <c r="BA51" i="6"/>
  <c r="AZ51" i="6"/>
  <c r="AY51" i="6"/>
  <c r="AX51" i="6"/>
  <c r="AU51" i="6"/>
  <c r="AT51" i="6"/>
  <c r="AS51" i="6"/>
  <c r="AR51" i="6"/>
  <c r="AQ51" i="6"/>
  <c r="AP51" i="6"/>
  <c r="AO51" i="6"/>
  <c r="AN51" i="6"/>
  <c r="AM51" i="6"/>
  <c r="AL51" i="6"/>
  <c r="AK51" i="6"/>
  <c r="AJ51" i="6"/>
  <c r="AI51" i="6"/>
  <c r="AH51" i="6"/>
  <c r="AG51" i="6"/>
  <c r="AF51" i="6"/>
  <c r="AE51" i="6"/>
  <c r="AD51" i="6"/>
  <c r="AC51" i="6"/>
  <c r="Z51" i="6"/>
  <c r="B51" i="6"/>
  <c r="BQ50" i="6"/>
  <c r="BP50" i="6"/>
  <c r="BO50" i="6"/>
  <c r="BN50" i="6"/>
  <c r="BM50" i="6"/>
  <c r="BL50" i="6"/>
  <c r="BK50" i="6"/>
  <c r="BJ50" i="6"/>
  <c r="BI50" i="6"/>
  <c r="BH50" i="6"/>
  <c r="BG50" i="6"/>
  <c r="BF50" i="6"/>
  <c r="BE50" i="6"/>
  <c r="BD50" i="6"/>
  <c r="BC50" i="6"/>
  <c r="BB50" i="6"/>
  <c r="BA50" i="6"/>
  <c r="AZ50" i="6"/>
  <c r="AY50" i="6"/>
  <c r="AX50" i="6"/>
  <c r="AU50" i="6"/>
  <c r="AT50" i="6"/>
  <c r="AS50" i="6"/>
  <c r="AR50" i="6"/>
  <c r="AQ50" i="6"/>
  <c r="AP50" i="6"/>
  <c r="AO50" i="6"/>
  <c r="AN50" i="6"/>
  <c r="AM50" i="6"/>
  <c r="AL50" i="6"/>
  <c r="AK50" i="6"/>
  <c r="AJ50" i="6"/>
  <c r="AI50" i="6"/>
  <c r="AH50" i="6"/>
  <c r="AG50" i="6"/>
  <c r="AF50" i="6"/>
  <c r="AE50" i="6"/>
  <c r="AD50" i="6"/>
  <c r="AC50" i="6"/>
  <c r="Z50" i="6"/>
  <c r="B50" i="6"/>
  <c r="Z25" i="6"/>
  <c r="AC25" i="6"/>
  <c r="AD25" i="6"/>
  <c r="AE25" i="6"/>
  <c r="AF25" i="6"/>
  <c r="AG25" i="6"/>
  <c r="AH25" i="6"/>
  <c r="AI25" i="6"/>
  <c r="AJ25" i="6"/>
  <c r="AK25" i="6"/>
  <c r="AL25" i="6"/>
  <c r="AM25" i="6"/>
  <c r="AN25" i="6"/>
  <c r="AO25" i="6"/>
  <c r="AP25" i="6"/>
  <c r="AQ25" i="6"/>
  <c r="AR25" i="6"/>
  <c r="AS25" i="6"/>
  <c r="AT25" i="6"/>
  <c r="AU25" i="6"/>
  <c r="AX25" i="6"/>
  <c r="AY25" i="6"/>
  <c r="AZ25" i="6"/>
  <c r="BA25" i="6"/>
  <c r="BB25" i="6"/>
  <c r="BC25" i="6"/>
  <c r="BD25" i="6"/>
  <c r="BE25" i="6"/>
  <c r="BF25" i="6"/>
  <c r="BG25" i="6"/>
  <c r="BH25" i="6"/>
  <c r="BI25" i="6"/>
  <c r="BJ25" i="6"/>
  <c r="BK25" i="6"/>
  <c r="BL25" i="6"/>
  <c r="BM25" i="6"/>
  <c r="BN25" i="6"/>
  <c r="BO25" i="6"/>
  <c r="BP25" i="6"/>
  <c r="BQ25" i="6"/>
  <c r="BS62" i="6" l="1"/>
  <c r="BS63" i="6"/>
  <c r="BS64" i="6"/>
  <c r="BT51" i="6"/>
  <c r="BT50" i="6"/>
  <c r="BT62" i="6"/>
  <c r="BT63" i="6"/>
  <c r="BS50" i="6"/>
  <c r="BS51" i="6"/>
  <c r="BT64" i="6"/>
  <c r="BS25" i="6"/>
  <c r="BT25" i="6"/>
  <c r="BT21" i="6"/>
  <c r="BR64" i="6"/>
  <c r="BR63" i="6"/>
  <c r="BR62" i="6"/>
  <c r="BR50" i="6"/>
  <c r="BR51" i="6"/>
  <c r="BR25" i="6"/>
  <c r="Z57" i="6" l="1"/>
  <c r="B57" i="6"/>
  <c r="AU57" i="6"/>
  <c r="AC57" i="6"/>
  <c r="AD57" i="6"/>
  <c r="AE57" i="6"/>
  <c r="AF57" i="6"/>
  <c r="AG57" i="6"/>
  <c r="AH57" i="6"/>
  <c r="AI57" i="6"/>
  <c r="AJ57" i="6"/>
  <c r="AK57" i="6"/>
  <c r="AL57" i="6"/>
  <c r="AM57" i="6"/>
  <c r="AN57" i="6"/>
  <c r="AO57" i="6"/>
  <c r="AP57" i="6"/>
  <c r="AQ57" i="6"/>
  <c r="AS57" i="6"/>
  <c r="AT57" i="6"/>
  <c r="AX57" i="6"/>
  <c r="AY57" i="6"/>
  <c r="AZ57" i="6"/>
  <c r="BA57" i="6"/>
  <c r="BB57" i="6"/>
  <c r="BC57" i="6"/>
  <c r="BD57" i="6"/>
  <c r="BE57" i="6"/>
  <c r="BF57" i="6"/>
  <c r="BG57" i="6"/>
  <c r="BH57" i="6"/>
  <c r="BI57" i="6"/>
  <c r="BJ57" i="6"/>
  <c r="BK57" i="6"/>
  <c r="BL57" i="6"/>
  <c r="BM57" i="6"/>
  <c r="BN57" i="6"/>
  <c r="BO57" i="6"/>
  <c r="BP57" i="6"/>
  <c r="BQ57" i="6"/>
  <c r="B58" i="6"/>
  <c r="Z58" i="6"/>
  <c r="AC58" i="6"/>
  <c r="AD58" i="6"/>
  <c r="AE58" i="6"/>
  <c r="AF58" i="6"/>
  <c r="AG58" i="6"/>
  <c r="AH58" i="6"/>
  <c r="AI58" i="6"/>
  <c r="AJ58" i="6"/>
  <c r="AK58" i="6"/>
  <c r="AL58" i="6"/>
  <c r="AM58" i="6"/>
  <c r="AN58" i="6"/>
  <c r="AO58" i="6"/>
  <c r="AP58" i="6"/>
  <c r="AQ58" i="6"/>
  <c r="AR58" i="6"/>
  <c r="AS58" i="6"/>
  <c r="AT58" i="6"/>
  <c r="AX58" i="6"/>
  <c r="AY58" i="6"/>
  <c r="AZ58" i="6"/>
  <c r="BA58" i="6"/>
  <c r="BB58" i="6"/>
  <c r="BC58" i="6"/>
  <c r="BD58" i="6"/>
  <c r="BE58" i="6"/>
  <c r="BF58" i="6"/>
  <c r="BG58" i="6"/>
  <c r="BH58" i="6"/>
  <c r="BI58" i="6"/>
  <c r="BJ58" i="6"/>
  <c r="BK58" i="6"/>
  <c r="BL58" i="6"/>
  <c r="BM58" i="6"/>
  <c r="BN58" i="6"/>
  <c r="BO58" i="6"/>
  <c r="BP58" i="6"/>
  <c r="BQ58" i="6"/>
  <c r="B59" i="6"/>
  <c r="Z59" i="6"/>
  <c r="AC59" i="6"/>
  <c r="AD59" i="6"/>
  <c r="AE59" i="6"/>
  <c r="AF59" i="6"/>
  <c r="AG59" i="6"/>
  <c r="AH59" i="6"/>
  <c r="AI59" i="6"/>
  <c r="AJ59" i="6"/>
  <c r="AK59" i="6"/>
  <c r="AL59" i="6"/>
  <c r="AM59" i="6"/>
  <c r="AN59" i="6"/>
  <c r="AO59" i="6"/>
  <c r="AP59" i="6"/>
  <c r="AQ59" i="6"/>
  <c r="AR59" i="6"/>
  <c r="AS59" i="6"/>
  <c r="AT59" i="6"/>
  <c r="AX59" i="6"/>
  <c r="AY59" i="6"/>
  <c r="AZ59" i="6"/>
  <c r="BA59" i="6"/>
  <c r="BB59" i="6"/>
  <c r="BC59" i="6"/>
  <c r="BD59" i="6"/>
  <c r="BE59" i="6"/>
  <c r="BF59" i="6"/>
  <c r="BG59" i="6"/>
  <c r="BH59" i="6"/>
  <c r="BI59" i="6"/>
  <c r="BJ59" i="6"/>
  <c r="BK59" i="6"/>
  <c r="BL59" i="6"/>
  <c r="BM59" i="6"/>
  <c r="BN59" i="6"/>
  <c r="BO59" i="6"/>
  <c r="BP59" i="6"/>
  <c r="BQ59" i="6"/>
  <c r="B61" i="6"/>
  <c r="Z61" i="6"/>
  <c r="AC61" i="6"/>
  <c r="AD61" i="6"/>
  <c r="AE61" i="6"/>
  <c r="AF61" i="6"/>
  <c r="AG61" i="6"/>
  <c r="AH61" i="6"/>
  <c r="AI61" i="6"/>
  <c r="AJ61" i="6"/>
  <c r="AK61" i="6"/>
  <c r="AL61" i="6"/>
  <c r="AM61" i="6"/>
  <c r="AN61" i="6"/>
  <c r="AO61" i="6"/>
  <c r="AP61" i="6"/>
  <c r="AQ61" i="6"/>
  <c r="AR61" i="6"/>
  <c r="AS61" i="6"/>
  <c r="AT61" i="6"/>
  <c r="AX61" i="6"/>
  <c r="AY61" i="6"/>
  <c r="AZ61" i="6"/>
  <c r="BA61" i="6"/>
  <c r="BB61" i="6"/>
  <c r="BC61" i="6"/>
  <c r="BD61" i="6"/>
  <c r="BE61" i="6"/>
  <c r="BF61" i="6"/>
  <c r="BG61" i="6"/>
  <c r="BH61" i="6"/>
  <c r="BI61" i="6"/>
  <c r="BJ61" i="6"/>
  <c r="BK61" i="6"/>
  <c r="BL61" i="6"/>
  <c r="BM61" i="6"/>
  <c r="BN61" i="6"/>
  <c r="BO61" i="6"/>
  <c r="BP61" i="6"/>
  <c r="BQ61" i="6"/>
  <c r="BS59" i="6" l="1"/>
  <c r="BS58" i="6"/>
  <c r="BS57" i="6"/>
  <c r="BS61" i="6"/>
  <c r="AR57" i="6"/>
  <c r="BT57" i="6" s="1"/>
  <c r="AU58" i="6"/>
  <c r="BR58" i="6" s="1"/>
  <c r="AU61" i="6"/>
  <c r="BR61" i="6" s="1"/>
  <c r="AU59" i="6"/>
  <c r="BR59" i="6" s="1"/>
  <c r="BT58" i="6" l="1"/>
  <c r="BT59" i="6"/>
  <c r="BT61" i="6"/>
  <c r="BR57" i="6"/>
  <c r="Z24" i="6"/>
  <c r="AC24" i="6"/>
  <c r="AD24" i="6"/>
  <c r="AE24" i="6"/>
  <c r="AF24" i="6"/>
  <c r="AG24" i="6"/>
  <c r="AH24" i="6"/>
  <c r="AI24" i="6"/>
  <c r="AJ24" i="6"/>
  <c r="AK24" i="6"/>
  <c r="AL24" i="6"/>
  <c r="AM24" i="6"/>
  <c r="AN24" i="6"/>
  <c r="AO24" i="6"/>
  <c r="AP24" i="6"/>
  <c r="AQ24" i="6"/>
  <c r="AR24" i="6"/>
  <c r="AS24" i="6"/>
  <c r="AT24" i="6"/>
  <c r="AU24" i="6"/>
  <c r="AX24" i="6"/>
  <c r="AY24" i="6"/>
  <c r="AZ24" i="6"/>
  <c r="BA24" i="6"/>
  <c r="BB24" i="6"/>
  <c r="BC24" i="6"/>
  <c r="BD24" i="6"/>
  <c r="BE24" i="6"/>
  <c r="BF24" i="6"/>
  <c r="BG24" i="6"/>
  <c r="BH24" i="6"/>
  <c r="BI24" i="6"/>
  <c r="BJ24" i="6"/>
  <c r="BK24" i="6"/>
  <c r="BL24" i="6"/>
  <c r="BM24" i="6"/>
  <c r="BN24" i="6"/>
  <c r="BO24" i="6"/>
  <c r="BP24" i="6"/>
  <c r="BQ24" i="6"/>
  <c r="AS27" i="6"/>
  <c r="Z22" i="6"/>
  <c r="Z23" i="6"/>
  <c r="AC27" i="6"/>
  <c r="AD27" i="6"/>
  <c r="AE27" i="6"/>
  <c r="AF27" i="6"/>
  <c r="AG27" i="6"/>
  <c r="AH27" i="6"/>
  <c r="AI27" i="6"/>
  <c r="AJ27" i="6"/>
  <c r="AK27" i="6"/>
  <c r="AL27" i="6"/>
  <c r="AM27" i="6"/>
  <c r="AN27" i="6"/>
  <c r="AO27" i="6"/>
  <c r="AP27" i="6"/>
  <c r="AQ27" i="6"/>
  <c r="AR27" i="6"/>
  <c r="AT27" i="6"/>
  <c r="AU27" i="6"/>
  <c r="AX27" i="6"/>
  <c r="AY27" i="6"/>
  <c r="AZ27" i="6"/>
  <c r="BA27" i="6"/>
  <c r="BB27" i="6"/>
  <c r="BC27" i="6"/>
  <c r="BD27" i="6"/>
  <c r="BE27" i="6"/>
  <c r="BF27" i="6"/>
  <c r="BG27" i="6"/>
  <c r="BH27" i="6"/>
  <c r="BI27" i="6"/>
  <c r="BJ27" i="6"/>
  <c r="BK27" i="6"/>
  <c r="BL27" i="6"/>
  <c r="BM27" i="6"/>
  <c r="BN27" i="6"/>
  <c r="BO27" i="6"/>
  <c r="BP27" i="6"/>
  <c r="BQ27" i="6"/>
  <c r="AC22" i="6"/>
  <c r="AD22" i="6"/>
  <c r="AE22" i="6"/>
  <c r="AF22" i="6"/>
  <c r="AG22" i="6"/>
  <c r="AH22" i="6"/>
  <c r="AI22" i="6"/>
  <c r="AJ22" i="6"/>
  <c r="AK22" i="6"/>
  <c r="AL22" i="6"/>
  <c r="AM22" i="6"/>
  <c r="AN22" i="6"/>
  <c r="AO22" i="6"/>
  <c r="AP22" i="6"/>
  <c r="AQ22" i="6"/>
  <c r="AR22" i="6"/>
  <c r="AT22" i="6"/>
  <c r="AU22" i="6"/>
  <c r="AX22" i="6"/>
  <c r="AY22" i="6"/>
  <c r="AZ22" i="6"/>
  <c r="BA22" i="6"/>
  <c r="BB22" i="6"/>
  <c r="BC22" i="6"/>
  <c r="BD22" i="6"/>
  <c r="BE22" i="6"/>
  <c r="BF22" i="6"/>
  <c r="BG22" i="6"/>
  <c r="BH22" i="6"/>
  <c r="BI22" i="6"/>
  <c r="BJ22" i="6"/>
  <c r="BK22" i="6"/>
  <c r="BL22" i="6"/>
  <c r="BM22" i="6"/>
  <c r="BN22" i="6"/>
  <c r="BO22" i="6"/>
  <c r="BP22" i="6"/>
  <c r="BQ22" i="6"/>
  <c r="AC23" i="6"/>
  <c r="AD23" i="6"/>
  <c r="AE23" i="6"/>
  <c r="AF23" i="6"/>
  <c r="AG23" i="6"/>
  <c r="AH23" i="6"/>
  <c r="AI23" i="6"/>
  <c r="AJ23" i="6"/>
  <c r="AK23" i="6"/>
  <c r="AL23" i="6"/>
  <c r="AM23" i="6"/>
  <c r="AN23" i="6"/>
  <c r="AO23" i="6"/>
  <c r="AP23" i="6"/>
  <c r="AQ23" i="6"/>
  <c r="AR23" i="6"/>
  <c r="AT23" i="6"/>
  <c r="AU23" i="6"/>
  <c r="AX23" i="6"/>
  <c r="AY23" i="6"/>
  <c r="AZ23" i="6"/>
  <c r="BA23" i="6"/>
  <c r="BB23" i="6"/>
  <c r="BC23" i="6"/>
  <c r="BD23" i="6"/>
  <c r="BE23" i="6"/>
  <c r="BF23" i="6"/>
  <c r="BG23" i="6"/>
  <c r="BH23" i="6"/>
  <c r="BI23" i="6"/>
  <c r="BJ23" i="6"/>
  <c r="BK23" i="6"/>
  <c r="BL23" i="6"/>
  <c r="BM23" i="6"/>
  <c r="BN23" i="6"/>
  <c r="BO23" i="6"/>
  <c r="BP23" i="6"/>
  <c r="BQ23" i="6"/>
  <c r="B160" i="6"/>
  <c r="Z160" i="6"/>
  <c r="AC160" i="6"/>
  <c r="AD160" i="6"/>
  <c r="AF160" i="6"/>
  <c r="AG160" i="6"/>
  <c r="AH160" i="6"/>
  <c r="AI160" i="6"/>
  <c r="AJ160" i="6"/>
  <c r="AK160" i="6"/>
  <c r="AL160" i="6"/>
  <c r="AM160" i="6"/>
  <c r="AN160" i="6"/>
  <c r="AO160" i="6"/>
  <c r="AP160" i="6"/>
  <c r="AQ160" i="6"/>
  <c r="AR160" i="6"/>
  <c r="AS160" i="6"/>
  <c r="AT160" i="6"/>
  <c r="AU160" i="6"/>
  <c r="AV160" i="6"/>
  <c r="AX160" i="6"/>
  <c r="AZ160" i="6"/>
  <c r="BA160" i="6"/>
  <c r="BB160" i="6"/>
  <c r="BE160" i="6"/>
  <c r="BF160" i="6"/>
  <c r="BI160" i="6"/>
  <c r="BI159" i="6"/>
  <c r="BF159" i="6"/>
  <c r="BE159" i="6"/>
  <c r="BD159" i="6"/>
  <c r="BB159" i="6"/>
  <c r="BA159" i="6"/>
  <c r="AZ159" i="6"/>
  <c r="AX159" i="6"/>
  <c r="AV159" i="6"/>
  <c r="AU159" i="6"/>
  <c r="AT159" i="6"/>
  <c r="AS159" i="6"/>
  <c r="AR159" i="6"/>
  <c r="AP159" i="6"/>
  <c r="AO159" i="6"/>
  <c r="AN159" i="6"/>
  <c r="AM159" i="6"/>
  <c r="AL159" i="6"/>
  <c r="AK159" i="6"/>
  <c r="AJ159" i="6"/>
  <c r="AI159" i="6"/>
  <c r="AH159" i="6"/>
  <c r="AG159" i="6"/>
  <c r="AD159" i="6"/>
  <c r="AC159" i="6"/>
  <c r="I159" i="6"/>
  <c r="H159" i="6"/>
  <c r="B159" i="6"/>
  <c r="BS160" i="6" l="1"/>
  <c r="BS24" i="6"/>
  <c r="BS22" i="6"/>
  <c r="BT27" i="6"/>
  <c r="BS23" i="6"/>
  <c r="BT24" i="6"/>
  <c r="BS27" i="6"/>
  <c r="D159" i="6"/>
  <c r="Z159" i="6"/>
  <c r="AE159" i="6"/>
  <c r="AF159" i="6"/>
  <c r="BR24" i="6"/>
  <c r="AS22" i="6"/>
  <c r="BR22" i="6" s="1"/>
  <c r="Z27" i="6"/>
  <c r="BR27" i="6"/>
  <c r="AS23" i="6"/>
  <c r="BR23" i="6" s="1"/>
  <c r="AE160" i="6"/>
  <c r="BR160" i="6" s="1"/>
  <c r="BT160" i="6" l="1"/>
  <c r="BS159" i="6"/>
  <c r="BT159" i="6"/>
  <c r="BT23" i="6"/>
  <c r="BT22" i="6"/>
  <c r="BR159" i="6"/>
  <c r="H26" i="4"/>
  <c r="G23" i="4"/>
  <c r="H23" i="4"/>
  <c r="H19" i="4"/>
  <c r="G14" i="4"/>
  <c r="H14" i="4"/>
  <c r="F14" i="4"/>
  <c r="BQ130" i="6" l="1"/>
  <c r="BP130" i="6"/>
  <c r="BO130" i="6"/>
  <c r="BN130" i="6"/>
  <c r="BM130" i="6"/>
  <c r="BL130" i="6"/>
  <c r="BK130" i="6"/>
  <c r="BJ130" i="6"/>
  <c r="BI130" i="6"/>
  <c r="BH130" i="6"/>
  <c r="BG130" i="6"/>
  <c r="BF130" i="6"/>
  <c r="BE130" i="6"/>
  <c r="BD130" i="6"/>
  <c r="BC130" i="6"/>
  <c r="BB130" i="6"/>
  <c r="BA130" i="6"/>
  <c r="AZ130" i="6"/>
  <c r="AY130" i="6"/>
  <c r="AX130" i="6"/>
  <c r="AV130" i="6"/>
  <c r="AU130" i="6"/>
  <c r="AT130" i="6"/>
  <c r="AS130" i="6"/>
  <c r="AR130" i="6"/>
  <c r="AQ130" i="6"/>
  <c r="AP130" i="6"/>
  <c r="AO130" i="6"/>
  <c r="AN130" i="6"/>
  <c r="AM130" i="6"/>
  <c r="AL130" i="6"/>
  <c r="AK130" i="6"/>
  <c r="AJ130" i="6"/>
  <c r="AI130" i="6"/>
  <c r="AH130" i="6"/>
  <c r="AG130" i="6"/>
  <c r="AF130" i="6"/>
  <c r="AE130" i="6"/>
  <c r="AD130" i="6"/>
  <c r="AC130" i="6"/>
  <c r="Z130" i="6"/>
  <c r="B130" i="6"/>
  <c r="Z173" i="6"/>
  <c r="AQ167" i="6"/>
  <c r="BT130" i="6" l="1"/>
  <c r="BS130" i="6"/>
  <c r="BR130" i="6"/>
  <c r="V29" i="6" l="1"/>
  <c r="AN167" i="6" l="1"/>
  <c r="BQ17" i="6"/>
  <c r="BP17" i="6"/>
  <c r="BO17" i="6"/>
  <c r="BN17" i="6"/>
  <c r="BM17" i="6"/>
  <c r="BL17" i="6"/>
  <c r="BK17" i="6"/>
  <c r="BJ17" i="6"/>
  <c r="BI17" i="6"/>
  <c r="BH17" i="6"/>
  <c r="BG17" i="6"/>
  <c r="BF17" i="6"/>
  <c r="BE17" i="6"/>
  <c r="BD17" i="6"/>
  <c r="BC17" i="6"/>
  <c r="BB17" i="6"/>
  <c r="BA17" i="6"/>
  <c r="AZ17" i="6"/>
  <c r="AY17" i="6"/>
  <c r="AX17" i="6"/>
  <c r="AU17" i="6"/>
  <c r="AT17" i="6"/>
  <c r="AS17" i="6"/>
  <c r="AR17" i="6"/>
  <c r="AQ17" i="6"/>
  <c r="AP17" i="6"/>
  <c r="AO17" i="6"/>
  <c r="AN17" i="6"/>
  <c r="AM17" i="6"/>
  <c r="AL17" i="6"/>
  <c r="AK17" i="6"/>
  <c r="AJ17" i="6"/>
  <c r="AI17" i="6"/>
  <c r="AH17" i="6"/>
  <c r="AG17" i="6"/>
  <c r="AF17" i="6"/>
  <c r="AE17" i="6"/>
  <c r="AD17" i="6"/>
  <c r="AC17" i="6"/>
  <c r="Z17" i="6"/>
  <c r="BT17" i="6" l="1"/>
  <c r="BS17" i="6"/>
  <c r="BR17" i="6"/>
  <c r="Z146" i="6" l="1"/>
  <c r="AC146" i="6"/>
  <c r="AD146" i="6"/>
  <c r="AE146" i="6"/>
  <c r="AF146" i="6"/>
  <c r="AG146" i="6"/>
  <c r="AH146" i="6"/>
  <c r="AI146" i="6"/>
  <c r="AJ146" i="6"/>
  <c r="AK146" i="6"/>
  <c r="AL146" i="6"/>
  <c r="AM146" i="6"/>
  <c r="AN146" i="6"/>
  <c r="AO146" i="6"/>
  <c r="AP146" i="6"/>
  <c r="AQ146" i="6"/>
  <c r="AR146" i="6"/>
  <c r="AS146" i="6"/>
  <c r="AT146" i="6"/>
  <c r="AU146" i="6"/>
  <c r="AV146" i="6"/>
  <c r="AX146" i="6"/>
  <c r="AY146" i="6"/>
  <c r="AZ146" i="6"/>
  <c r="BA146" i="6"/>
  <c r="BB146" i="6"/>
  <c r="BC146" i="6"/>
  <c r="BD146" i="6"/>
  <c r="BE146" i="6"/>
  <c r="BF146" i="6"/>
  <c r="BG146" i="6"/>
  <c r="BH146" i="6"/>
  <c r="BI146" i="6"/>
  <c r="BJ146" i="6"/>
  <c r="BK146" i="6"/>
  <c r="BM146" i="6"/>
  <c r="BN146" i="6"/>
  <c r="BO146" i="6"/>
  <c r="BP146" i="6"/>
  <c r="BQ146" i="6"/>
  <c r="K139" i="6"/>
  <c r="R143" i="6"/>
  <c r="Z158" i="6"/>
  <c r="BS146" i="6" l="1"/>
  <c r="BT146" i="6"/>
  <c r="BR146" i="6"/>
  <c r="BK154" i="6"/>
  <c r="Z56" i="6"/>
  <c r="AU55" i="6"/>
  <c r="AP154" i="6"/>
  <c r="AQ154" i="6"/>
  <c r="B56" i="6"/>
  <c r="AC56" i="6"/>
  <c r="AD56" i="6"/>
  <c r="AE56" i="6"/>
  <c r="AF56" i="6"/>
  <c r="AG56" i="6"/>
  <c r="AH56" i="6"/>
  <c r="AI56" i="6"/>
  <c r="AJ56" i="6"/>
  <c r="AK56" i="6"/>
  <c r="AL56" i="6"/>
  <c r="AM56" i="6"/>
  <c r="AN56" i="6"/>
  <c r="AO56" i="6"/>
  <c r="AP56" i="6"/>
  <c r="AQ56" i="6"/>
  <c r="AR56" i="6"/>
  <c r="AS56" i="6"/>
  <c r="AT56" i="6"/>
  <c r="AX56" i="6"/>
  <c r="AY56" i="6"/>
  <c r="AZ56" i="6"/>
  <c r="BA56" i="6"/>
  <c r="BB56" i="6"/>
  <c r="BC56" i="6"/>
  <c r="BD56" i="6"/>
  <c r="BE56" i="6"/>
  <c r="BF56" i="6"/>
  <c r="BG56" i="6"/>
  <c r="BH56" i="6"/>
  <c r="BI56" i="6"/>
  <c r="BJ56" i="6"/>
  <c r="BK56" i="6"/>
  <c r="BL56" i="6"/>
  <c r="BM56" i="6"/>
  <c r="BN56" i="6"/>
  <c r="BO56" i="6"/>
  <c r="BP56" i="6"/>
  <c r="BQ56" i="6"/>
  <c r="B65" i="6"/>
  <c r="Z65" i="6"/>
  <c r="AC65" i="6"/>
  <c r="AD65" i="6"/>
  <c r="AE65" i="6"/>
  <c r="AF65" i="6"/>
  <c r="AG65" i="6"/>
  <c r="AH65" i="6"/>
  <c r="AI65" i="6"/>
  <c r="AJ65" i="6"/>
  <c r="AK65" i="6"/>
  <c r="AL65" i="6"/>
  <c r="AM65" i="6"/>
  <c r="AN65" i="6"/>
  <c r="AO65" i="6"/>
  <c r="AP65" i="6"/>
  <c r="AQ65" i="6"/>
  <c r="AR65" i="6"/>
  <c r="AS65" i="6"/>
  <c r="AT65" i="6"/>
  <c r="AU65" i="6"/>
  <c r="AX65" i="6"/>
  <c r="AY65" i="6"/>
  <c r="AZ65" i="6"/>
  <c r="BA65" i="6"/>
  <c r="BB65" i="6"/>
  <c r="BC65" i="6"/>
  <c r="BD65" i="6"/>
  <c r="BE65" i="6"/>
  <c r="BF65" i="6"/>
  <c r="BG65" i="6"/>
  <c r="BH65" i="6"/>
  <c r="BI65" i="6"/>
  <c r="BJ65" i="6"/>
  <c r="BK65" i="6"/>
  <c r="BL65" i="6"/>
  <c r="BM65" i="6"/>
  <c r="BN65" i="6"/>
  <c r="BO65" i="6"/>
  <c r="BP65" i="6"/>
  <c r="BQ65" i="6"/>
  <c r="BQ55" i="6"/>
  <c r="BP55" i="6"/>
  <c r="BO55" i="6"/>
  <c r="BN55" i="6"/>
  <c r="BM55" i="6"/>
  <c r="BL55" i="6"/>
  <c r="BK55" i="6"/>
  <c r="BJ55" i="6"/>
  <c r="BI55" i="6"/>
  <c r="BH55" i="6"/>
  <c r="BG55" i="6"/>
  <c r="BF55" i="6"/>
  <c r="BE55" i="6"/>
  <c r="BD55" i="6"/>
  <c r="BC55" i="6"/>
  <c r="BB55" i="6"/>
  <c r="BA55" i="6"/>
  <c r="AZ55" i="6"/>
  <c r="AY55" i="6"/>
  <c r="AX55" i="6"/>
  <c r="AT55" i="6"/>
  <c r="AS55" i="6"/>
  <c r="AR55" i="6"/>
  <c r="AQ55" i="6"/>
  <c r="AP55" i="6"/>
  <c r="AO55" i="6"/>
  <c r="AN55" i="6"/>
  <c r="AM55" i="6"/>
  <c r="AL55" i="6"/>
  <c r="AK55" i="6"/>
  <c r="AJ55" i="6"/>
  <c r="AI55" i="6"/>
  <c r="AH55" i="6"/>
  <c r="AG55" i="6"/>
  <c r="AF55" i="6"/>
  <c r="AE55" i="6"/>
  <c r="AD55" i="6"/>
  <c r="AC55" i="6"/>
  <c r="B55" i="6"/>
  <c r="BT55" i="6" l="1"/>
  <c r="BS65" i="6"/>
  <c r="BS55" i="6"/>
  <c r="BS56" i="6"/>
  <c r="BT65" i="6"/>
  <c r="Z55" i="6"/>
  <c r="AU56" i="6"/>
  <c r="BR56" i="6" s="1"/>
  <c r="BR65" i="6"/>
  <c r="BR55" i="6"/>
  <c r="BT56" i="6" l="1"/>
  <c r="B116" i="6"/>
  <c r="Z116" i="6"/>
  <c r="AC116" i="6"/>
  <c r="AD116" i="6"/>
  <c r="AE116" i="6"/>
  <c r="AF116" i="6"/>
  <c r="AG116" i="6"/>
  <c r="AH116" i="6"/>
  <c r="AI116" i="6"/>
  <c r="AJ116" i="6"/>
  <c r="AK116" i="6"/>
  <c r="AL116" i="6"/>
  <c r="AM116" i="6"/>
  <c r="AN116" i="6"/>
  <c r="AO116" i="6"/>
  <c r="AP116" i="6"/>
  <c r="AQ116" i="6"/>
  <c r="AR116" i="6"/>
  <c r="AS116" i="6"/>
  <c r="AT116" i="6"/>
  <c r="AU116" i="6"/>
  <c r="AX116" i="6"/>
  <c r="AY116" i="6"/>
  <c r="AZ116" i="6"/>
  <c r="BA116" i="6"/>
  <c r="BB116" i="6"/>
  <c r="BC116" i="6"/>
  <c r="BD116" i="6"/>
  <c r="BE116" i="6"/>
  <c r="BF116" i="6"/>
  <c r="BG116" i="6"/>
  <c r="BH116" i="6"/>
  <c r="BI116" i="6"/>
  <c r="BJ116" i="6"/>
  <c r="BK116" i="6"/>
  <c r="BL116" i="6"/>
  <c r="BM116" i="6"/>
  <c r="BN116" i="6"/>
  <c r="BO116" i="6"/>
  <c r="BP116" i="6"/>
  <c r="BQ116" i="6"/>
  <c r="B125" i="6"/>
  <c r="Z125" i="6"/>
  <c r="AC125" i="6"/>
  <c r="AD125" i="6"/>
  <c r="AE125" i="6"/>
  <c r="AF125" i="6"/>
  <c r="AG125" i="6"/>
  <c r="AH125" i="6"/>
  <c r="AI125" i="6"/>
  <c r="AJ125" i="6"/>
  <c r="AK125" i="6"/>
  <c r="AL125" i="6"/>
  <c r="AM125" i="6"/>
  <c r="AN125" i="6"/>
  <c r="AO125" i="6"/>
  <c r="AP125" i="6"/>
  <c r="AQ125" i="6"/>
  <c r="AR125" i="6"/>
  <c r="AS125" i="6"/>
  <c r="AT125" i="6"/>
  <c r="AU125" i="6"/>
  <c r="AX125" i="6"/>
  <c r="AY125" i="6"/>
  <c r="AZ125" i="6"/>
  <c r="BA125" i="6"/>
  <c r="BB125" i="6"/>
  <c r="BC125" i="6"/>
  <c r="BD125" i="6"/>
  <c r="BE125" i="6"/>
  <c r="BF125" i="6"/>
  <c r="BG125" i="6"/>
  <c r="BH125" i="6"/>
  <c r="BI125" i="6"/>
  <c r="BJ125" i="6"/>
  <c r="BK125" i="6"/>
  <c r="BL125" i="6"/>
  <c r="BM125" i="6"/>
  <c r="BN125" i="6"/>
  <c r="BO125" i="6"/>
  <c r="BP125" i="6"/>
  <c r="BQ125" i="6"/>
  <c r="V99" i="6"/>
  <c r="BS116" i="6" l="1"/>
  <c r="BT125" i="6"/>
  <c r="BT116" i="6"/>
  <c r="BS125" i="6"/>
  <c r="BR116" i="6"/>
  <c r="BR125" i="6"/>
  <c r="E39" i="2" l="1"/>
  <c r="K39" i="1" l="1"/>
  <c r="K40" i="1"/>
  <c r="K18" i="2"/>
  <c r="K19" i="2"/>
  <c r="K20" i="2"/>
  <c r="K24" i="2"/>
  <c r="K26" i="2"/>
  <c r="K31" i="2"/>
  <c r="K30" i="2" s="1"/>
  <c r="K33" i="2"/>
  <c r="K34" i="2"/>
  <c r="K35" i="2"/>
  <c r="K40" i="2"/>
  <c r="K41" i="2"/>
  <c r="K42" i="2"/>
  <c r="K43" i="2"/>
  <c r="K49" i="2"/>
  <c r="K32" i="2" l="1"/>
  <c r="K36" i="2" s="1"/>
  <c r="K39" i="2"/>
  <c r="K44" i="2" s="1"/>
  <c r="K17" i="2"/>
  <c r="Z16" i="6" l="1"/>
  <c r="AC16" i="6"/>
  <c r="AD16" i="6"/>
  <c r="AE16" i="6"/>
  <c r="AF16" i="6"/>
  <c r="AG16" i="6"/>
  <c r="AH16" i="6"/>
  <c r="AI16" i="6"/>
  <c r="AJ16" i="6"/>
  <c r="AK16" i="6"/>
  <c r="AL16" i="6"/>
  <c r="AM16" i="6"/>
  <c r="AN16" i="6"/>
  <c r="AO16" i="6"/>
  <c r="AP16" i="6"/>
  <c r="AQ16" i="6"/>
  <c r="AR16" i="6"/>
  <c r="AS16" i="6"/>
  <c r="AT16" i="6"/>
  <c r="AU16" i="6"/>
  <c r="AX16" i="6"/>
  <c r="AY16" i="6"/>
  <c r="AZ16" i="6"/>
  <c r="BA16" i="6"/>
  <c r="BB16" i="6"/>
  <c r="BC16" i="6"/>
  <c r="BD16" i="6"/>
  <c r="BE16" i="6"/>
  <c r="BF16" i="6"/>
  <c r="BG16" i="6"/>
  <c r="BH16" i="6"/>
  <c r="BI16" i="6"/>
  <c r="BL16" i="6"/>
  <c r="BM16" i="6"/>
  <c r="BN16" i="6"/>
  <c r="BO16" i="6"/>
  <c r="BP16" i="6"/>
  <c r="BQ16" i="6"/>
  <c r="BS16" i="6" l="1"/>
  <c r="BT16" i="6"/>
  <c r="BR16" i="6"/>
  <c r="B121" i="6" l="1"/>
  <c r="Z121" i="6"/>
  <c r="AC121" i="6"/>
  <c r="AD121" i="6"/>
  <c r="AE121" i="6"/>
  <c r="AF121" i="6"/>
  <c r="AG121" i="6"/>
  <c r="AH121" i="6"/>
  <c r="AI121" i="6"/>
  <c r="AJ121" i="6"/>
  <c r="AK121" i="6"/>
  <c r="AL121" i="6"/>
  <c r="AM121" i="6"/>
  <c r="AN121" i="6"/>
  <c r="AO121" i="6"/>
  <c r="AP121" i="6"/>
  <c r="AQ121" i="6"/>
  <c r="AR121" i="6"/>
  <c r="AS121" i="6"/>
  <c r="AT121" i="6"/>
  <c r="AU121" i="6"/>
  <c r="AX121" i="6"/>
  <c r="AY121" i="6"/>
  <c r="AZ121" i="6"/>
  <c r="BA121" i="6"/>
  <c r="BB121" i="6"/>
  <c r="BC121" i="6"/>
  <c r="BD121" i="6"/>
  <c r="BE121" i="6"/>
  <c r="BF121" i="6"/>
  <c r="BG121" i="6"/>
  <c r="BH121" i="6"/>
  <c r="BI121" i="6"/>
  <c r="BJ121" i="6"/>
  <c r="BK121" i="6"/>
  <c r="BL121" i="6"/>
  <c r="BM121" i="6"/>
  <c r="BN121" i="6"/>
  <c r="BO121" i="6"/>
  <c r="BP121" i="6"/>
  <c r="BQ121" i="6"/>
  <c r="Z117" i="6"/>
  <c r="Z111" i="6"/>
  <c r="Z104" i="6"/>
  <c r="B111" i="6"/>
  <c r="AC111" i="6"/>
  <c r="AD111" i="6"/>
  <c r="AE111" i="6"/>
  <c r="AF111" i="6"/>
  <c r="AG111" i="6"/>
  <c r="AH111" i="6"/>
  <c r="AI111" i="6"/>
  <c r="AJ111" i="6"/>
  <c r="AK111" i="6"/>
  <c r="AL111" i="6"/>
  <c r="AM111" i="6"/>
  <c r="AN111" i="6"/>
  <c r="AO111" i="6"/>
  <c r="AP111" i="6"/>
  <c r="AQ111" i="6"/>
  <c r="AR111" i="6"/>
  <c r="AS111" i="6"/>
  <c r="AT111" i="6"/>
  <c r="AU111" i="6"/>
  <c r="AX111" i="6"/>
  <c r="AY111" i="6"/>
  <c r="AZ111" i="6"/>
  <c r="BA111" i="6"/>
  <c r="BB111" i="6"/>
  <c r="BC111" i="6"/>
  <c r="BD111" i="6"/>
  <c r="BE111" i="6"/>
  <c r="BF111" i="6"/>
  <c r="BG111" i="6"/>
  <c r="BH111" i="6"/>
  <c r="BI111" i="6"/>
  <c r="BJ111" i="6"/>
  <c r="BK111" i="6"/>
  <c r="BL111" i="6"/>
  <c r="BM111" i="6"/>
  <c r="BN111" i="6"/>
  <c r="BO111" i="6"/>
  <c r="BP111" i="6"/>
  <c r="BQ111" i="6"/>
  <c r="BT111" i="6" l="1"/>
  <c r="BS121" i="6"/>
  <c r="BT121" i="6"/>
  <c r="BS111" i="6"/>
  <c r="BR121" i="6"/>
  <c r="BR111" i="6"/>
  <c r="AE156" i="6" l="1"/>
  <c r="AF156" i="6"/>
  <c r="AG156" i="6"/>
  <c r="AH156" i="6"/>
  <c r="AI156" i="6"/>
  <c r="AJ156" i="6"/>
  <c r="AK156" i="6"/>
  <c r="AL156" i="6"/>
  <c r="AM156" i="6"/>
  <c r="AN156" i="6"/>
  <c r="AD156" i="6"/>
  <c r="AC156" i="6"/>
  <c r="D156" i="6"/>
  <c r="D157" i="6"/>
  <c r="D163" i="6"/>
  <c r="D158" i="6"/>
  <c r="BQ172" i="6"/>
  <c r="BP172" i="6"/>
  <c r="BO172" i="6"/>
  <c r="BN172" i="6"/>
  <c r="BM172" i="6"/>
  <c r="BL172" i="6"/>
  <c r="BK172" i="6"/>
  <c r="BJ172" i="6"/>
  <c r="BI172" i="6"/>
  <c r="BH172" i="6"/>
  <c r="BG172" i="6"/>
  <c r="BF172" i="6"/>
  <c r="BE172" i="6"/>
  <c r="BD172" i="6"/>
  <c r="BC172" i="6"/>
  <c r="BB172" i="6"/>
  <c r="BA172" i="6"/>
  <c r="AZ172" i="6"/>
  <c r="AY172" i="6"/>
  <c r="AX172" i="6"/>
  <c r="AU172" i="6"/>
  <c r="AT172" i="6"/>
  <c r="AS172" i="6"/>
  <c r="AR172" i="6"/>
  <c r="AQ172" i="6"/>
  <c r="AP172" i="6"/>
  <c r="AO172" i="6"/>
  <c r="AN172" i="6"/>
  <c r="AM172" i="6"/>
  <c r="AL172" i="6"/>
  <c r="AK172" i="6"/>
  <c r="AJ172" i="6"/>
  <c r="AI172" i="6"/>
  <c r="AH172" i="6"/>
  <c r="AG172" i="6"/>
  <c r="AF172" i="6"/>
  <c r="AE172" i="6"/>
  <c r="AD172" i="6"/>
  <c r="AC172" i="6"/>
  <c r="Z172" i="6"/>
  <c r="B172" i="6"/>
  <c r="BS158" i="6" l="1"/>
  <c r="BT158" i="6"/>
  <c r="BS172" i="6"/>
  <c r="BT172" i="6"/>
  <c r="BR172" i="6"/>
  <c r="D162" i="6" l="1"/>
  <c r="BG162" i="6"/>
  <c r="BF162" i="6"/>
  <c r="BE162" i="6"/>
  <c r="BD162" i="6"/>
  <c r="BC162" i="6"/>
  <c r="BB162" i="6"/>
  <c r="BA162" i="6"/>
  <c r="AZ162" i="6"/>
  <c r="AY162" i="6"/>
  <c r="AX162" i="6"/>
  <c r="AV162" i="6"/>
  <c r="AP162" i="6"/>
  <c r="AO162" i="6"/>
  <c r="AN162" i="6"/>
  <c r="AM162" i="6"/>
  <c r="AL162" i="6"/>
  <c r="AK162" i="6"/>
  <c r="AJ162" i="6"/>
  <c r="AI162" i="6"/>
  <c r="AH162" i="6"/>
  <c r="AG162" i="6"/>
  <c r="AF162" i="6"/>
  <c r="AE162" i="6"/>
  <c r="AD162" i="6"/>
  <c r="AC162" i="6"/>
  <c r="Z162" i="6"/>
  <c r="B162" i="6"/>
  <c r="BQ144" i="6"/>
  <c r="BP144" i="6"/>
  <c r="BO144" i="6"/>
  <c r="BN144" i="6"/>
  <c r="BM144" i="6"/>
  <c r="BI144" i="6"/>
  <c r="BH144" i="6"/>
  <c r="BG144" i="6"/>
  <c r="BF144" i="6"/>
  <c r="BE144" i="6"/>
  <c r="BD144" i="6"/>
  <c r="BC144" i="6"/>
  <c r="BB144" i="6"/>
  <c r="BA144" i="6"/>
  <c r="AZ144" i="6"/>
  <c r="AY144" i="6"/>
  <c r="AX144" i="6"/>
  <c r="AV144" i="6"/>
  <c r="AU144" i="6"/>
  <c r="AT144" i="6"/>
  <c r="AS144" i="6"/>
  <c r="AR144" i="6"/>
  <c r="AQ144" i="6"/>
  <c r="AP144" i="6"/>
  <c r="AO144" i="6"/>
  <c r="AN144" i="6"/>
  <c r="AM144" i="6"/>
  <c r="AL144" i="6"/>
  <c r="AK144" i="6"/>
  <c r="AJ144" i="6"/>
  <c r="AI144" i="6"/>
  <c r="AH144" i="6"/>
  <c r="AG144" i="6"/>
  <c r="AF144" i="6"/>
  <c r="AE144" i="6"/>
  <c r="AD144" i="6"/>
  <c r="AC144" i="6"/>
  <c r="Z144" i="6"/>
  <c r="B144" i="6"/>
  <c r="AV136" i="6"/>
  <c r="AV137" i="6"/>
  <c r="AV138" i="6"/>
  <c r="AV139" i="6"/>
  <c r="AV140" i="6"/>
  <c r="AV141" i="6"/>
  <c r="AV142" i="6"/>
  <c r="AV143" i="6"/>
  <c r="AV129" i="6"/>
  <c r="AV131" i="6"/>
  <c r="AV132" i="6"/>
  <c r="AV133" i="6"/>
  <c r="AV134" i="6"/>
  <c r="AV135" i="6"/>
  <c r="BT135" i="6" s="1"/>
  <c r="AU131" i="6"/>
  <c r="AU132" i="6"/>
  <c r="AU133" i="6"/>
  <c r="AV128" i="6"/>
  <c r="AV127" i="6"/>
  <c r="K50" i="2" s="1"/>
  <c r="Z161" i="6"/>
  <c r="Z142" i="6"/>
  <c r="Z141" i="6"/>
  <c r="Z138" i="6"/>
  <c r="Z139" i="6"/>
  <c r="Z140" i="6"/>
  <c r="Z137" i="6"/>
  <c r="Z136" i="6"/>
  <c r="Z134" i="6"/>
  <c r="Z133" i="6"/>
  <c r="Z132" i="6"/>
  <c r="Z128" i="6"/>
  <c r="Z129" i="6"/>
  <c r="Z131" i="6"/>
  <c r="Z135" i="6"/>
  <c r="BQ106" i="6"/>
  <c r="BP106" i="6"/>
  <c r="BO106" i="6"/>
  <c r="BN106" i="6"/>
  <c r="BM106" i="6"/>
  <c r="BL106" i="6"/>
  <c r="BK106" i="6"/>
  <c r="BJ106" i="6"/>
  <c r="BI106" i="6"/>
  <c r="BH106" i="6"/>
  <c r="BG106" i="6"/>
  <c r="BF106" i="6"/>
  <c r="BE106" i="6"/>
  <c r="BD106" i="6"/>
  <c r="BC106" i="6"/>
  <c r="BB106" i="6"/>
  <c r="BA106" i="6"/>
  <c r="AZ106" i="6"/>
  <c r="AY106" i="6"/>
  <c r="AX106" i="6"/>
  <c r="AU106" i="6"/>
  <c r="AT106" i="6"/>
  <c r="AS106" i="6"/>
  <c r="AR106" i="6"/>
  <c r="AQ106" i="6"/>
  <c r="AP106" i="6"/>
  <c r="AO106" i="6"/>
  <c r="AN106" i="6"/>
  <c r="AM106" i="6"/>
  <c r="AL106" i="6"/>
  <c r="AK106" i="6"/>
  <c r="AJ106" i="6"/>
  <c r="AI106" i="6"/>
  <c r="AH106" i="6"/>
  <c r="AG106" i="6"/>
  <c r="AF106" i="6"/>
  <c r="AE106" i="6"/>
  <c r="AD106" i="6"/>
  <c r="AC106" i="6"/>
  <c r="Z106" i="6"/>
  <c r="B106" i="6"/>
  <c r="BQ117" i="6"/>
  <c r="BP117" i="6"/>
  <c r="BO117" i="6"/>
  <c r="BN117" i="6"/>
  <c r="BM117" i="6"/>
  <c r="BL117" i="6"/>
  <c r="BK117" i="6"/>
  <c r="BJ117" i="6"/>
  <c r="BI117" i="6"/>
  <c r="BH117" i="6"/>
  <c r="BG117" i="6"/>
  <c r="BF117" i="6"/>
  <c r="BE117" i="6"/>
  <c r="BD117" i="6"/>
  <c r="BC117" i="6"/>
  <c r="BB117" i="6"/>
  <c r="BA117" i="6"/>
  <c r="AZ117" i="6"/>
  <c r="AY117" i="6"/>
  <c r="AX117" i="6"/>
  <c r="AU117" i="6"/>
  <c r="AT117" i="6"/>
  <c r="AS117" i="6"/>
  <c r="AR117" i="6"/>
  <c r="AQ117" i="6"/>
  <c r="AP117" i="6"/>
  <c r="AO117" i="6"/>
  <c r="AN117" i="6"/>
  <c r="AM117" i="6"/>
  <c r="AL117" i="6"/>
  <c r="AK117" i="6"/>
  <c r="AJ117" i="6"/>
  <c r="AI117" i="6"/>
  <c r="AH117" i="6"/>
  <c r="AG117" i="6"/>
  <c r="AF117" i="6"/>
  <c r="AE117" i="6"/>
  <c r="AD117" i="6"/>
  <c r="AC117" i="6"/>
  <c r="BS117" i="6" l="1"/>
  <c r="BS106" i="6"/>
  <c r="BT144" i="6"/>
  <c r="BT117" i="6"/>
  <c r="BS144" i="6"/>
  <c r="BT106" i="6"/>
  <c r="BS162" i="6"/>
  <c r="BT162" i="6"/>
  <c r="K51" i="2"/>
  <c r="BR162" i="6"/>
  <c r="BR144" i="6"/>
  <c r="BR106" i="6"/>
  <c r="BR117" i="6"/>
  <c r="BQ124" i="6" l="1"/>
  <c r="BP124" i="6"/>
  <c r="BO124" i="6"/>
  <c r="BN124" i="6"/>
  <c r="BM124" i="6"/>
  <c r="BL124" i="6"/>
  <c r="BK124" i="6"/>
  <c r="BJ124" i="6"/>
  <c r="BI124" i="6"/>
  <c r="BH124" i="6"/>
  <c r="BG124" i="6"/>
  <c r="BF124" i="6"/>
  <c r="BE124" i="6"/>
  <c r="BD124" i="6"/>
  <c r="BC124" i="6"/>
  <c r="BB124" i="6"/>
  <c r="BA124" i="6"/>
  <c r="AZ124" i="6"/>
  <c r="AY124" i="6"/>
  <c r="AX124" i="6"/>
  <c r="AU124" i="6"/>
  <c r="AT124" i="6"/>
  <c r="AS124" i="6"/>
  <c r="AR124" i="6"/>
  <c r="AQ124" i="6"/>
  <c r="AP124" i="6"/>
  <c r="AO124" i="6"/>
  <c r="AN124" i="6"/>
  <c r="AM124" i="6"/>
  <c r="AL124" i="6"/>
  <c r="AK124" i="6"/>
  <c r="AJ124" i="6"/>
  <c r="AI124" i="6"/>
  <c r="AH124" i="6"/>
  <c r="AG124" i="6"/>
  <c r="AF124" i="6"/>
  <c r="AE124" i="6"/>
  <c r="AD124" i="6"/>
  <c r="AC124" i="6"/>
  <c r="Z124" i="6"/>
  <c r="BQ123" i="6"/>
  <c r="BP123" i="6"/>
  <c r="BO123" i="6"/>
  <c r="BN123" i="6"/>
  <c r="BM123" i="6"/>
  <c r="BL123" i="6"/>
  <c r="BK123" i="6"/>
  <c r="BJ123" i="6"/>
  <c r="BI123" i="6"/>
  <c r="BH123" i="6"/>
  <c r="BG123" i="6"/>
  <c r="BF123" i="6"/>
  <c r="BE123" i="6"/>
  <c r="BD123" i="6"/>
  <c r="BC123" i="6"/>
  <c r="BB123" i="6"/>
  <c r="BA123" i="6"/>
  <c r="AZ123" i="6"/>
  <c r="AY123" i="6"/>
  <c r="AX123" i="6"/>
  <c r="AU123" i="6"/>
  <c r="AT123" i="6"/>
  <c r="AS123" i="6"/>
  <c r="AR123" i="6"/>
  <c r="AQ123" i="6"/>
  <c r="AP123" i="6"/>
  <c r="AO123" i="6"/>
  <c r="AN123" i="6"/>
  <c r="AM123" i="6"/>
  <c r="AL123" i="6"/>
  <c r="AK123" i="6"/>
  <c r="AJ123" i="6"/>
  <c r="AI123" i="6"/>
  <c r="AH123" i="6"/>
  <c r="AG123" i="6"/>
  <c r="AF123" i="6"/>
  <c r="AE123" i="6"/>
  <c r="AD123" i="6"/>
  <c r="AC123" i="6"/>
  <c r="Z123" i="6"/>
  <c r="BQ122" i="6"/>
  <c r="BP122" i="6"/>
  <c r="BO122" i="6"/>
  <c r="BN122" i="6"/>
  <c r="BM122" i="6"/>
  <c r="BL122" i="6"/>
  <c r="BK122" i="6"/>
  <c r="BJ122" i="6"/>
  <c r="BI122" i="6"/>
  <c r="BH122" i="6"/>
  <c r="BG122" i="6"/>
  <c r="BF122" i="6"/>
  <c r="BE122" i="6"/>
  <c r="BD122" i="6"/>
  <c r="BC122" i="6"/>
  <c r="BB122" i="6"/>
  <c r="BA122" i="6"/>
  <c r="AZ122" i="6"/>
  <c r="AY122" i="6"/>
  <c r="AX122" i="6"/>
  <c r="AU122" i="6"/>
  <c r="AT122" i="6"/>
  <c r="AS122" i="6"/>
  <c r="AR122" i="6"/>
  <c r="AQ122" i="6"/>
  <c r="AP122" i="6"/>
  <c r="AO122" i="6"/>
  <c r="AN122" i="6"/>
  <c r="AM122" i="6"/>
  <c r="AL122" i="6"/>
  <c r="AK122" i="6"/>
  <c r="AJ122" i="6"/>
  <c r="AI122" i="6"/>
  <c r="AH122" i="6"/>
  <c r="AG122" i="6"/>
  <c r="AF122" i="6"/>
  <c r="AE122" i="6"/>
  <c r="AD122" i="6"/>
  <c r="AC122" i="6"/>
  <c r="Z122" i="6"/>
  <c r="BQ120" i="6"/>
  <c r="BP120" i="6"/>
  <c r="BO120" i="6"/>
  <c r="BN120" i="6"/>
  <c r="BM120" i="6"/>
  <c r="BL120" i="6"/>
  <c r="BK120" i="6"/>
  <c r="BJ120" i="6"/>
  <c r="BI120" i="6"/>
  <c r="BH120" i="6"/>
  <c r="BG120" i="6"/>
  <c r="BF120" i="6"/>
  <c r="BE120" i="6"/>
  <c r="BD120" i="6"/>
  <c r="BC120" i="6"/>
  <c r="BB120" i="6"/>
  <c r="BA120" i="6"/>
  <c r="AZ120" i="6"/>
  <c r="AY120" i="6"/>
  <c r="AX120" i="6"/>
  <c r="AU120" i="6"/>
  <c r="AT120" i="6"/>
  <c r="AS120" i="6"/>
  <c r="AR120" i="6"/>
  <c r="AQ120" i="6"/>
  <c r="AP120" i="6"/>
  <c r="AO120" i="6"/>
  <c r="AN120" i="6"/>
  <c r="AM120" i="6"/>
  <c r="AL120" i="6"/>
  <c r="AK120" i="6"/>
  <c r="AJ120" i="6"/>
  <c r="AI120" i="6"/>
  <c r="AH120" i="6"/>
  <c r="AG120" i="6"/>
  <c r="AF120" i="6"/>
  <c r="AE120" i="6"/>
  <c r="AD120" i="6"/>
  <c r="AC120" i="6"/>
  <c r="Z120" i="6"/>
  <c r="B120" i="6"/>
  <c r="BQ119" i="6"/>
  <c r="BP119" i="6"/>
  <c r="BO119" i="6"/>
  <c r="BN119" i="6"/>
  <c r="BM119" i="6"/>
  <c r="BL119" i="6"/>
  <c r="BK119" i="6"/>
  <c r="BJ119" i="6"/>
  <c r="BI119" i="6"/>
  <c r="BH119" i="6"/>
  <c r="BG119" i="6"/>
  <c r="BF119" i="6"/>
  <c r="BE119" i="6"/>
  <c r="BD119" i="6"/>
  <c r="BC119" i="6"/>
  <c r="BB119" i="6"/>
  <c r="BA119" i="6"/>
  <c r="AZ119" i="6"/>
  <c r="AY119" i="6"/>
  <c r="AX119" i="6"/>
  <c r="AU119" i="6"/>
  <c r="AT119" i="6"/>
  <c r="AS119" i="6"/>
  <c r="AR119" i="6"/>
  <c r="AQ119" i="6"/>
  <c r="AP119" i="6"/>
  <c r="AO119" i="6"/>
  <c r="AN119" i="6"/>
  <c r="AM119" i="6"/>
  <c r="AL119" i="6"/>
  <c r="AK119" i="6"/>
  <c r="AJ119" i="6"/>
  <c r="AI119" i="6"/>
  <c r="AH119" i="6"/>
  <c r="AG119" i="6"/>
  <c r="AF119" i="6"/>
  <c r="AE119" i="6"/>
  <c r="AD119" i="6"/>
  <c r="AC119" i="6"/>
  <c r="Z119" i="6"/>
  <c r="BT120" i="6" l="1"/>
  <c r="BT122" i="6"/>
  <c r="BT123" i="6"/>
  <c r="BT124" i="6"/>
  <c r="BT119" i="6"/>
  <c r="BS119" i="6"/>
  <c r="BS120" i="6"/>
  <c r="BS122" i="6"/>
  <c r="BS123" i="6"/>
  <c r="BS124" i="6"/>
  <c r="BR119" i="6"/>
  <c r="BR122" i="6"/>
  <c r="BR124" i="6"/>
  <c r="BR123" i="6"/>
  <c r="BR120" i="6"/>
  <c r="D167" i="6" l="1"/>
  <c r="BQ53" i="6" l="1"/>
  <c r="BP53" i="6"/>
  <c r="BO53" i="6"/>
  <c r="BN53" i="6"/>
  <c r="BM53" i="6"/>
  <c r="BL53" i="6"/>
  <c r="BK53" i="6"/>
  <c r="BJ53" i="6"/>
  <c r="BI53" i="6"/>
  <c r="BH53" i="6"/>
  <c r="BG53" i="6"/>
  <c r="BF53" i="6"/>
  <c r="BE53" i="6"/>
  <c r="BD53" i="6"/>
  <c r="BC53" i="6"/>
  <c r="BB53" i="6"/>
  <c r="BA53" i="6"/>
  <c r="AZ53" i="6"/>
  <c r="AY53" i="6"/>
  <c r="AX53" i="6"/>
  <c r="AU53" i="6"/>
  <c r="AT53" i="6"/>
  <c r="AS53" i="6"/>
  <c r="AR53" i="6"/>
  <c r="AQ53" i="6"/>
  <c r="AP53" i="6"/>
  <c r="AO53" i="6"/>
  <c r="AN53" i="6"/>
  <c r="AL53" i="6"/>
  <c r="AK53" i="6"/>
  <c r="AJ53" i="6"/>
  <c r="AI53" i="6"/>
  <c r="AH53" i="6"/>
  <c r="AG53" i="6"/>
  <c r="AF53" i="6"/>
  <c r="AE53" i="6"/>
  <c r="AD53" i="6"/>
  <c r="AC53" i="6"/>
  <c r="AM53" i="6"/>
  <c r="B53" i="6"/>
  <c r="BT53" i="6" l="1"/>
  <c r="BS53" i="6"/>
  <c r="BR53" i="6"/>
  <c r="Z53" i="6"/>
  <c r="BI163" i="6" l="1"/>
  <c r="AV163" i="6"/>
  <c r="Z163" i="6"/>
  <c r="AO156" i="6"/>
  <c r="AP156" i="6"/>
  <c r="AQ156" i="6"/>
  <c r="AR156" i="6"/>
  <c r="AS156" i="6"/>
  <c r="AT156" i="6"/>
  <c r="AU156" i="6"/>
  <c r="AV156" i="6"/>
  <c r="K48" i="2" s="1"/>
  <c r="K47" i="2" s="1"/>
  <c r="K52" i="2" s="1"/>
  <c r="Z156" i="6"/>
  <c r="AV157" i="6"/>
  <c r="Z157" i="6"/>
  <c r="BT156" i="6" l="1"/>
  <c r="BJ154" i="6"/>
  <c r="B54" i="6"/>
  <c r="Z54" i="6"/>
  <c r="AC54" i="6"/>
  <c r="AD54" i="6"/>
  <c r="AE54" i="6"/>
  <c r="AF54" i="6"/>
  <c r="AG54" i="6"/>
  <c r="AH54" i="6"/>
  <c r="AI54" i="6"/>
  <c r="AJ54" i="6"/>
  <c r="AK54" i="6"/>
  <c r="AL54" i="6"/>
  <c r="AM54" i="6"/>
  <c r="AN54" i="6"/>
  <c r="AO54" i="6"/>
  <c r="AP54" i="6"/>
  <c r="AR54" i="6"/>
  <c r="AS54" i="6"/>
  <c r="AT54" i="6"/>
  <c r="AU54" i="6"/>
  <c r="AX54" i="6"/>
  <c r="AY54" i="6"/>
  <c r="AZ54" i="6"/>
  <c r="BA54" i="6"/>
  <c r="BB54" i="6"/>
  <c r="BC54" i="6"/>
  <c r="BD54" i="6"/>
  <c r="BE54" i="6"/>
  <c r="BF54" i="6"/>
  <c r="BG54" i="6"/>
  <c r="BI54" i="6"/>
  <c r="BJ54" i="6"/>
  <c r="BL54" i="6"/>
  <c r="BM54" i="6"/>
  <c r="BN54" i="6"/>
  <c r="BO54" i="6"/>
  <c r="BP54" i="6"/>
  <c r="BQ54" i="6"/>
  <c r="BS54" i="6" l="1"/>
  <c r="AQ54" i="6"/>
  <c r="BR54" i="6" s="1"/>
  <c r="BT54" i="6" l="1"/>
  <c r="AV153" i="6"/>
  <c r="AV152" i="6"/>
  <c r="AC152" i="6"/>
  <c r="K25" i="2" l="1"/>
  <c r="K23" i="2" s="1"/>
  <c r="BQ167" i="6"/>
  <c r="BS167" i="6" s="1"/>
  <c r="BR148" i="6"/>
  <c r="BR149" i="6"/>
  <c r="BR168" i="6"/>
  <c r="BR169" i="6"/>
  <c r="BR174" i="6"/>
  <c r="BR175" i="6"/>
  <c r="BR176" i="6"/>
  <c r="BR177" i="6"/>
  <c r="BR178" i="6"/>
  <c r="BR179" i="6"/>
  <c r="BR180" i="6"/>
  <c r="BR181" i="6"/>
  <c r="BR182" i="6"/>
  <c r="BR183" i="6"/>
  <c r="BR184" i="6"/>
  <c r="BR185" i="6"/>
  <c r="BR186" i="6"/>
  <c r="BR187" i="6"/>
  <c r="BR188" i="6"/>
  <c r="BR189" i="6"/>
  <c r="BR190" i="6"/>
  <c r="BR191" i="6"/>
  <c r="BR192" i="6"/>
  <c r="BR193" i="6"/>
  <c r="BR194" i="6"/>
  <c r="BR195" i="6"/>
  <c r="BR196" i="6"/>
  <c r="BR197" i="6"/>
  <c r="BR198" i="6"/>
  <c r="BQ4" i="6"/>
  <c r="K16" i="1" s="1"/>
  <c r="BQ5" i="6"/>
  <c r="BQ7" i="6"/>
  <c r="BQ9" i="6"/>
  <c r="K18" i="1" s="1"/>
  <c r="BQ10" i="6"/>
  <c r="BQ13" i="6"/>
  <c r="BQ14" i="6"/>
  <c r="BQ19" i="6"/>
  <c r="BQ28" i="6"/>
  <c r="BQ15" i="6"/>
  <c r="BQ29" i="6"/>
  <c r="K22" i="1" s="1"/>
  <c r="BQ31" i="6"/>
  <c r="BQ32" i="6"/>
  <c r="BQ34" i="6"/>
  <c r="BQ35" i="6"/>
  <c r="BQ36" i="6"/>
  <c r="BQ37" i="6"/>
  <c r="BQ38" i="6"/>
  <c r="BQ39" i="6"/>
  <c r="BQ40" i="6"/>
  <c r="BQ41" i="6"/>
  <c r="BQ42" i="6"/>
  <c r="BQ43" i="6"/>
  <c r="BQ44" i="6"/>
  <c r="BQ45" i="6"/>
  <c r="BQ46" i="6"/>
  <c r="BQ47" i="6"/>
  <c r="BQ48" i="6"/>
  <c r="BQ49" i="6"/>
  <c r="BQ52" i="6"/>
  <c r="BQ66" i="6"/>
  <c r="BQ67" i="6"/>
  <c r="BQ68" i="6"/>
  <c r="BQ69" i="6"/>
  <c r="BQ70" i="6"/>
  <c r="BQ71" i="6"/>
  <c r="BQ72" i="6"/>
  <c r="BQ73" i="6"/>
  <c r="BQ74" i="6"/>
  <c r="BQ75" i="6"/>
  <c r="BQ76" i="6"/>
  <c r="BQ77" i="6"/>
  <c r="BQ78" i="6"/>
  <c r="BQ79" i="6"/>
  <c r="BQ80" i="6"/>
  <c r="BQ81" i="6"/>
  <c r="BQ82" i="6"/>
  <c r="BQ83" i="6"/>
  <c r="BQ84" i="6"/>
  <c r="BQ85" i="6"/>
  <c r="BQ86" i="6"/>
  <c r="BQ87" i="6"/>
  <c r="BQ88" i="6"/>
  <c r="BQ89" i="6"/>
  <c r="BQ90" i="6"/>
  <c r="BQ91" i="6"/>
  <c r="BQ92" i="6"/>
  <c r="BQ93" i="6"/>
  <c r="BQ94" i="6"/>
  <c r="BQ95" i="6"/>
  <c r="BQ96" i="6"/>
  <c r="BQ98" i="6"/>
  <c r="BQ99" i="6"/>
  <c r="BQ100" i="6"/>
  <c r="BQ101" i="6"/>
  <c r="BQ104" i="6"/>
  <c r="BQ105" i="6"/>
  <c r="BQ107" i="6"/>
  <c r="BQ109" i="6"/>
  <c r="BQ110" i="6"/>
  <c r="BQ115" i="6"/>
  <c r="BQ126" i="6"/>
  <c r="BQ127" i="6"/>
  <c r="K48" i="1" s="1"/>
  <c r="BQ128" i="6"/>
  <c r="BQ129" i="6"/>
  <c r="BQ131" i="6"/>
  <c r="BQ132" i="6"/>
  <c r="BQ134" i="6"/>
  <c r="BQ136" i="6"/>
  <c r="BQ137" i="6"/>
  <c r="BQ138" i="6"/>
  <c r="BQ139" i="6"/>
  <c r="BQ140" i="6"/>
  <c r="BQ141" i="6"/>
  <c r="BQ142" i="6"/>
  <c r="BQ143" i="6"/>
  <c r="BQ147" i="6"/>
  <c r="BQ150" i="6"/>
  <c r="BQ151" i="6"/>
  <c r="BQ153" i="6"/>
  <c r="K23" i="1" s="1"/>
  <c r="BQ154" i="6"/>
  <c r="BQ156" i="6"/>
  <c r="BQ161" i="6"/>
  <c r="BQ164" i="6"/>
  <c r="BQ165" i="6"/>
  <c r="BQ166" i="6"/>
  <c r="BQ170" i="6"/>
  <c r="BQ173" i="6"/>
  <c r="K47" i="1" s="1"/>
  <c r="AV167" i="6"/>
  <c r="K22" i="2" s="1"/>
  <c r="K21" i="2" s="1"/>
  <c r="Z167" i="6"/>
  <c r="K27" i="2" l="1"/>
  <c r="K54" i="2" s="1"/>
  <c r="K46" i="1"/>
  <c r="K32" i="1"/>
  <c r="K49" i="1"/>
  <c r="K17" i="1"/>
  <c r="K31" i="1"/>
  <c r="K24" i="1"/>
  <c r="K21" i="1" s="1"/>
  <c r="K38" i="1"/>
  <c r="K29" i="1"/>
  <c r="K28" i="1" s="1"/>
  <c r="K41" i="1"/>
  <c r="K33" i="1"/>
  <c r="K20" i="1"/>
  <c r="K19" i="1" s="1"/>
  <c r="BQ199" i="6"/>
  <c r="AV199" i="6"/>
  <c r="K45" i="1" l="1"/>
  <c r="K50" i="1" s="1"/>
  <c r="K37" i="1"/>
  <c r="K42" i="1" s="1"/>
  <c r="K30" i="1"/>
  <c r="K34" i="1" s="1"/>
  <c r="K25" i="1"/>
  <c r="X29" i="6"/>
  <c r="X4" i="6"/>
  <c r="K52" i="1" l="1"/>
  <c r="C18" i="7"/>
  <c r="C19" i="7"/>
  <c r="C20" i="7"/>
  <c r="C22" i="7"/>
  <c r="C24" i="7"/>
  <c r="C25" i="7"/>
  <c r="C26" i="7"/>
  <c r="C28" i="7"/>
  <c r="C29" i="7"/>
  <c r="C31" i="7"/>
  <c r="C33" i="7"/>
  <c r="C34" i="7"/>
  <c r="C35" i="7"/>
  <c r="C37" i="7"/>
  <c r="C38" i="7"/>
  <c r="C40" i="7"/>
  <c r="C41" i="7"/>
  <c r="C42" i="7"/>
  <c r="C43" i="7"/>
  <c r="C45" i="7"/>
  <c r="C46" i="7"/>
  <c r="C50" i="7"/>
  <c r="C53" i="7"/>
  <c r="BP74" i="6" l="1"/>
  <c r="BO74" i="6"/>
  <c r="BN74" i="6"/>
  <c r="BM74" i="6"/>
  <c r="BL74" i="6"/>
  <c r="BK74" i="6"/>
  <c r="BJ74" i="6"/>
  <c r="BI74" i="6"/>
  <c r="BH74" i="6"/>
  <c r="BG74" i="6"/>
  <c r="BF74" i="6"/>
  <c r="BE74" i="6"/>
  <c r="BD74" i="6"/>
  <c r="BC74" i="6"/>
  <c r="BB74" i="6"/>
  <c r="BA74" i="6"/>
  <c r="AZ74" i="6"/>
  <c r="AY74" i="6"/>
  <c r="AX74" i="6"/>
  <c r="AU74" i="6"/>
  <c r="AT74" i="6"/>
  <c r="AS74" i="6"/>
  <c r="AR74" i="6"/>
  <c r="AQ74" i="6"/>
  <c r="AO74" i="6"/>
  <c r="AN74" i="6"/>
  <c r="AM74" i="6"/>
  <c r="AL74" i="6"/>
  <c r="AK74" i="6"/>
  <c r="AJ74" i="6"/>
  <c r="AI74" i="6"/>
  <c r="AH74" i="6"/>
  <c r="AG74" i="6"/>
  <c r="AF74" i="6"/>
  <c r="AE74" i="6"/>
  <c r="AD74" i="6"/>
  <c r="AC74" i="6"/>
  <c r="AP74" i="6"/>
  <c r="B74" i="6"/>
  <c r="BS74" i="6" l="1"/>
  <c r="BT74" i="6"/>
  <c r="BR74" i="6"/>
  <c r="Z74" i="6"/>
  <c r="BP13" i="6" l="1"/>
  <c r="BO13" i="6"/>
  <c r="BN13" i="6"/>
  <c r="BM13" i="6"/>
  <c r="BL13" i="6"/>
  <c r="BI13" i="6"/>
  <c r="BH13" i="6"/>
  <c r="BG13" i="6"/>
  <c r="BF13" i="6"/>
  <c r="BE13" i="6"/>
  <c r="BD13" i="6"/>
  <c r="BC13" i="6"/>
  <c r="BB13" i="6"/>
  <c r="BA13" i="6"/>
  <c r="AZ13" i="6"/>
  <c r="AY13" i="6"/>
  <c r="AX13" i="6"/>
  <c r="AU13" i="6"/>
  <c r="AT13" i="6"/>
  <c r="AS13" i="6"/>
  <c r="AR13" i="6"/>
  <c r="AQ13" i="6"/>
  <c r="AP13" i="6"/>
  <c r="AO13" i="6"/>
  <c r="AN13" i="6"/>
  <c r="AM13" i="6"/>
  <c r="AL13" i="6"/>
  <c r="AK13" i="6"/>
  <c r="AJ13" i="6"/>
  <c r="AI13" i="6"/>
  <c r="AH13" i="6"/>
  <c r="AG13" i="6"/>
  <c r="AF13" i="6"/>
  <c r="AE13" i="6"/>
  <c r="AD13" i="6"/>
  <c r="AC13" i="6"/>
  <c r="Z13" i="6"/>
  <c r="BT13" i="6" l="1"/>
  <c r="BS13" i="6"/>
  <c r="BR13" i="6"/>
  <c r="C48" i="7"/>
  <c r="BP143" i="6" l="1"/>
  <c r="BO143" i="6"/>
  <c r="BN143" i="6"/>
  <c r="BM143" i="6"/>
  <c r="BL143" i="6"/>
  <c r="BK143" i="6"/>
  <c r="BJ143" i="6"/>
  <c r="BI143" i="6"/>
  <c r="BH143" i="6"/>
  <c r="BG143" i="6"/>
  <c r="BF143" i="6"/>
  <c r="BE143" i="6"/>
  <c r="BD143" i="6"/>
  <c r="BC143" i="6"/>
  <c r="BB143" i="6"/>
  <c r="BA143" i="6"/>
  <c r="AZ143" i="6"/>
  <c r="AY143" i="6"/>
  <c r="AX143" i="6"/>
  <c r="AU143" i="6"/>
  <c r="AT143" i="6"/>
  <c r="AS143" i="6"/>
  <c r="AR143" i="6"/>
  <c r="AQ143" i="6"/>
  <c r="AP143" i="6"/>
  <c r="AN143" i="6"/>
  <c r="AM143" i="6"/>
  <c r="AL143" i="6"/>
  <c r="AK143" i="6"/>
  <c r="AJ143" i="6"/>
  <c r="AI143" i="6"/>
  <c r="AH143" i="6"/>
  <c r="AG143" i="6"/>
  <c r="AF143" i="6"/>
  <c r="AE143" i="6"/>
  <c r="AD143" i="6"/>
  <c r="AC143" i="6"/>
  <c r="B143" i="6"/>
  <c r="AU163" i="6"/>
  <c r="AQ163" i="6"/>
  <c r="BS143" i="6" l="1"/>
  <c r="AO143" i="6"/>
  <c r="BR143" i="6" s="1"/>
  <c r="Z143" i="6"/>
  <c r="C51" i="7"/>
  <c r="C49" i="7"/>
  <c r="BT143" i="6" l="1"/>
  <c r="Z164" i="6"/>
  <c r="R73" i="6" l="1"/>
  <c r="AO167" i="6" l="1"/>
  <c r="AM167" i="6"/>
  <c r="BP28" i="6" l="1"/>
  <c r="BO28" i="6"/>
  <c r="BN28" i="6"/>
  <c r="BM28" i="6"/>
  <c r="BL28" i="6"/>
  <c r="BK28" i="6"/>
  <c r="BJ28" i="6"/>
  <c r="BI28" i="6"/>
  <c r="BH28" i="6"/>
  <c r="BG28" i="6"/>
  <c r="BF28" i="6"/>
  <c r="BE28" i="6"/>
  <c r="BD28" i="6"/>
  <c r="BC28" i="6"/>
  <c r="BB28" i="6"/>
  <c r="BA28" i="6"/>
  <c r="AZ28" i="6"/>
  <c r="AY28" i="6"/>
  <c r="AX28" i="6"/>
  <c r="AU28" i="6"/>
  <c r="AT28" i="6"/>
  <c r="AS28" i="6"/>
  <c r="AR28" i="6"/>
  <c r="AQ28" i="6"/>
  <c r="AP28" i="6"/>
  <c r="AO28" i="6"/>
  <c r="AN28" i="6"/>
  <c r="AM28" i="6"/>
  <c r="AL28" i="6"/>
  <c r="AK28" i="6"/>
  <c r="AJ28" i="6"/>
  <c r="AI28" i="6"/>
  <c r="AH28" i="6"/>
  <c r="AG28" i="6"/>
  <c r="AF28" i="6"/>
  <c r="AE28" i="6"/>
  <c r="AD28" i="6"/>
  <c r="AC28" i="6"/>
  <c r="Z28" i="6"/>
  <c r="Z154" i="6"/>
  <c r="BS28" i="6" l="1"/>
  <c r="BT28" i="6"/>
  <c r="BR28" i="6"/>
  <c r="D15" i="1"/>
  <c r="H17" i="7" s="1"/>
  <c r="G19" i="4" l="1"/>
  <c r="G26" i="4"/>
  <c r="G29" i="4" l="1"/>
  <c r="B28" i="7" l="1"/>
  <c r="B29" i="7"/>
  <c r="B37" i="7"/>
  <c r="B38" i="7"/>
  <c r="B45" i="7"/>
  <c r="B46" i="7"/>
  <c r="B53" i="7"/>
  <c r="BP107" i="6" l="1"/>
  <c r="BO107" i="6"/>
  <c r="BN107" i="6"/>
  <c r="BM107" i="6"/>
  <c r="BL107" i="6"/>
  <c r="BK107" i="6"/>
  <c r="BJ107" i="6"/>
  <c r="BI107" i="6"/>
  <c r="BH107" i="6"/>
  <c r="BG107" i="6"/>
  <c r="BF107" i="6"/>
  <c r="BE107" i="6"/>
  <c r="BD107" i="6"/>
  <c r="BC107" i="6"/>
  <c r="BB107" i="6"/>
  <c r="BA107" i="6"/>
  <c r="AZ107" i="6"/>
  <c r="AY107" i="6"/>
  <c r="AX107" i="6"/>
  <c r="AU107" i="6"/>
  <c r="AT107" i="6"/>
  <c r="AS107" i="6"/>
  <c r="AR107" i="6"/>
  <c r="AQ107" i="6"/>
  <c r="AP107" i="6"/>
  <c r="AO107" i="6"/>
  <c r="AN107" i="6"/>
  <c r="AM107" i="6"/>
  <c r="AL107" i="6"/>
  <c r="AK107" i="6"/>
  <c r="AJ107" i="6"/>
  <c r="AI107" i="6"/>
  <c r="AH107" i="6"/>
  <c r="AG107" i="6"/>
  <c r="AF107" i="6"/>
  <c r="AE107" i="6"/>
  <c r="AD107" i="6"/>
  <c r="AC107" i="6"/>
  <c r="Z107" i="6"/>
  <c r="B107" i="6"/>
  <c r="BP105" i="6"/>
  <c r="BO105" i="6"/>
  <c r="BN105" i="6"/>
  <c r="BM105" i="6"/>
  <c r="BL105" i="6"/>
  <c r="BK105" i="6"/>
  <c r="BJ105" i="6"/>
  <c r="BI105" i="6"/>
  <c r="BH105" i="6"/>
  <c r="BG105" i="6"/>
  <c r="BF105" i="6"/>
  <c r="BE105" i="6"/>
  <c r="BD105" i="6"/>
  <c r="BC105" i="6"/>
  <c r="BB105" i="6"/>
  <c r="BA105" i="6"/>
  <c r="AZ105" i="6"/>
  <c r="AY105" i="6"/>
  <c r="AX105" i="6"/>
  <c r="AU105" i="6"/>
  <c r="AT105" i="6"/>
  <c r="AS105" i="6"/>
  <c r="AR105" i="6"/>
  <c r="AQ105" i="6"/>
  <c r="AP105" i="6"/>
  <c r="AO105" i="6"/>
  <c r="AN105" i="6"/>
  <c r="AM105" i="6"/>
  <c r="AL105" i="6"/>
  <c r="AK105" i="6"/>
  <c r="AJ105" i="6"/>
  <c r="AI105" i="6"/>
  <c r="AH105" i="6"/>
  <c r="AG105" i="6"/>
  <c r="AF105" i="6"/>
  <c r="AE105" i="6"/>
  <c r="AD105" i="6"/>
  <c r="AC105" i="6"/>
  <c r="Z105" i="6"/>
  <c r="B105" i="6"/>
  <c r="BT107" i="6" l="1"/>
  <c r="BS105" i="6"/>
  <c r="BS107" i="6"/>
  <c r="BT105" i="6"/>
  <c r="BR107" i="6"/>
  <c r="BR105" i="6"/>
  <c r="BP164" i="6"/>
  <c r="BO164" i="6"/>
  <c r="BN164" i="6"/>
  <c r="BM164" i="6"/>
  <c r="BL164" i="6"/>
  <c r="BK164" i="6"/>
  <c r="BJ164" i="6"/>
  <c r="BI164" i="6"/>
  <c r="BH164" i="6"/>
  <c r="BG164" i="6"/>
  <c r="BF164" i="6"/>
  <c r="BE164" i="6"/>
  <c r="BD164" i="6"/>
  <c r="BC164" i="6"/>
  <c r="BB164" i="6"/>
  <c r="BA164" i="6"/>
  <c r="AZ164" i="6"/>
  <c r="AY164" i="6"/>
  <c r="AX164" i="6"/>
  <c r="AU164" i="6"/>
  <c r="AT164" i="6"/>
  <c r="AS164" i="6"/>
  <c r="AR164" i="6"/>
  <c r="AQ164" i="6"/>
  <c r="AP164" i="6"/>
  <c r="AO164" i="6"/>
  <c r="AN164" i="6"/>
  <c r="AM164" i="6"/>
  <c r="AL164" i="6"/>
  <c r="AK164" i="6"/>
  <c r="AJ164" i="6"/>
  <c r="AI164" i="6"/>
  <c r="AH164" i="6"/>
  <c r="AG164" i="6"/>
  <c r="AF164" i="6"/>
  <c r="AE164" i="6"/>
  <c r="AD164" i="6"/>
  <c r="AC164" i="6"/>
  <c r="B164" i="6"/>
  <c r="Z127" i="6"/>
  <c r="BT164" i="6" l="1"/>
  <c r="BS164" i="6"/>
  <c r="BR164" i="6"/>
  <c r="Z19" i="6"/>
  <c r="AC19" i="6"/>
  <c r="AD19" i="6"/>
  <c r="AE19" i="6"/>
  <c r="AF19" i="6"/>
  <c r="AG19" i="6"/>
  <c r="AH19" i="6"/>
  <c r="AI19" i="6"/>
  <c r="AJ19" i="6"/>
  <c r="AK19" i="6"/>
  <c r="AL19" i="6"/>
  <c r="AM19" i="6"/>
  <c r="AN19" i="6"/>
  <c r="AO19" i="6"/>
  <c r="AP19" i="6"/>
  <c r="AQ19" i="6"/>
  <c r="AR19" i="6"/>
  <c r="AS19" i="6"/>
  <c r="AT19" i="6"/>
  <c r="AU19" i="6"/>
  <c r="AX19" i="6"/>
  <c r="AY19" i="6"/>
  <c r="AZ19" i="6"/>
  <c r="BA19" i="6"/>
  <c r="BB19" i="6"/>
  <c r="BC19" i="6"/>
  <c r="BD19" i="6"/>
  <c r="BE19" i="6"/>
  <c r="BF19" i="6"/>
  <c r="BG19" i="6"/>
  <c r="BH19" i="6"/>
  <c r="BI19" i="6"/>
  <c r="BM19" i="6"/>
  <c r="BN19" i="6"/>
  <c r="BO19" i="6"/>
  <c r="BP19" i="6"/>
  <c r="BS19" i="6" l="1"/>
  <c r="BT19" i="6"/>
  <c r="BR19" i="6"/>
  <c r="B78" i="6"/>
  <c r="Z78" i="6"/>
  <c r="AC78" i="6"/>
  <c r="AD78" i="6"/>
  <c r="AE78" i="6"/>
  <c r="AF78" i="6"/>
  <c r="AG78" i="6"/>
  <c r="AH78" i="6"/>
  <c r="AI78" i="6"/>
  <c r="AJ78" i="6"/>
  <c r="AK78" i="6"/>
  <c r="AL78" i="6"/>
  <c r="AM78" i="6"/>
  <c r="AN78" i="6"/>
  <c r="AO78" i="6"/>
  <c r="AP78" i="6"/>
  <c r="AQ78" i="6"/>
  <c r="AR78" i="6"/>
  <c r="AS78" i="6"/>
  <c r="AT78" i="6"/>
  <c r="AU78" i="6"/>
  <c r="AX78" i="6"/>
  <c r="AY78" i="6"/>
  <c r="AZ78" i="6"/>
  <c r="BA78" i="6"/>
  <c r="BB78" i="6"/>
  <c r="BC78" i="6"/>
  <c r="BD78" i="6"/>
  <c r="BE78" i="6"/>
  <c r="BF78" i="6"/>
  <c r="BG78" i="6"/>
  <c r="BH78" i="6"/>
  <c r="BI78" i="6"/>
  <c r="BJ78" i="6"/>
  <c r="BK78" i="6"/>
  <c r="BL78" i="6"/>
  <c r="BM78" i="6"/>
  <c r="BN78" i="6"/>
  <c r="BO78" i="6"/>
  <c r="BP78" i="6"/>
  <c r="D95" i="6"/>
  <c r="D89" i="6"/>
  <c r="BT78" i="6" l="1"/>
  <c r="BS78" i="6"/>
  <c r="BR78" i="6"/>
  <c r="BJ37" i="6"/>
  <c r="B49" i="6"/>
  <c r="Z49" i="6"/>
  <c r="AC49" i="6"/>
  <c r="AD49" i="6"/>
  <c r="AE49" i="6"/>
  <c r="AF49" i="6"/>
  <c r="AG49" i="6"/>
  <c r="AH49" i="6"/>
  <c r="AI49" i="6"/>
  <c r="AJ49" i="6"/>
  <c r="AK49" i="6"/>
  <c r="AL49" i="6"/>
  <c r="AM49" i="6"/>
  <c r="AN49" i="6"/>
  <c r="AO49" i="6"/>
  <c r="AP49" i="6"/>
  <c r="AQ49" i="6"/>
  <c r="AR49" i="6"/>
  <c r="AS49" i="6"/>
  <c r="AT49" i="6"/>
  <c r="AU49" i="6"/>
  <c r="AX49" i="6"/>
  <c r="AY49" i="6"/>
  <c r="AZ49" i="6"/>
  <c r="BA49" i="6"/>
  <c r="BB49" i="6"/>
  <c r="BC49" i="6"/>
  <c r="BD49" i="6"/>
  <c r="BE49" i="6"/>
  <c r="BF49" i="6"/>
  <c r="BG49" i="6"/>
  <c r="BH49" i="6"/>
  <c r="BI49" i="6"/>
  <c r="BJ49" i="6"/>
  <c r="BK49" i="6"/>
  <c r="BL49" i="6"/>
  <c r="BM49" i="6"/>
  <c r="BN49" i="6"/>
  <c r="BO49" i="6"/>
  <c r="BP49" i="6"/>
  <c r="BT49" i="6" l="1"/>
  <c r="BS49" i="6"/>
  <c r="BR49" i="6"/>
  <c r="T5" i="6"/>
  <c r="B98" i="6" l="1"/>
  <c r="Z98" i="6"/>
  <c r="AC98" i="6"/>
  <c r="AD98" i="6"/>
  <c r="AE98" i="6"/>
  <c r="AF98" i="6"/>
  <c r="AG98" i="6"/>
  <c r="AH98" i="6"/>
  <c r="AI98" i="6"/>
  <c r="AJ98" i="6"/>
  <c r="AK98" i="6"/>
  <c r="AL98" i="6"/>
  <c r="AM98" i="6"/>
  <c r="AN98" i="6"/>
  <c r="AO98" i="6"/>
  <c r="AP98" i="6"/>
  <c r="AQ98" i="6"/>
  <c r="AR98" i="6"/>
  <c r="AS98" i="6"/>
  <c r="AT98" i="6"/>
  <c r="AU98" i="6"/>
  <c r="AX98" i="6"/>
  <c r="AY98" i="6"/>
  <c r="AZ98" i="6"/>
  <c r="BA98" i="6"/>
  <c r="BB98" i="6"/>
  <c r="BC98" i="6"/>
  <c r="BD98" i="6"/>
  <c r="BE98" i="6"/>
  <c r="BF98" i="6"/>
  <c r="BG98" i="6"/>
  <c r="BH98" i="6"/>
  <c r="BI98" i="6"/>
  <c r="BJ98" i="6"/>
  <c r="BK98" i="6"/>
  <c r="BL98" i="6"/>
  <c r="BM98" i="6"/>
  <c r="BN98" i="6"/>
  <c r="BO98" i="6"/>
  <c r="BP98" i="6"/>
  <c r="BS98" i="6" l="1"/>
  <c r="BT98" i="6"/>
  <c r="BR98" i="6"/>
  <c r="BP66" i="6"/>
  <c r="BO66" i="6"/>
  <c r="BN66" i="6"/>
  <c r="BM66" i="6"/>
  <c r="BL66" i="6"/>
  <c r="BK66" i="6"/>
  <c r="BJ66" i="6"/>
  <c r="BI66" i="6"/>
  <c r="BH66" i="6"/>
  <c r="BG66" i="6"/>
  <c r="BF66" i="6"/>
  <c r="BE66" i="6"/>
  <c r="BD66" i="6"/>
  <c r="BC66" i="6"/>
  <c r="BB66" i="6"/>
  <c r="BA66" i="6"/>
  <c r="AZ66" i="6"/>
  <c r="AY66" i="6"/>
  <c r="AX66" i="6"/>
  <c r="AU66" i="6"/>
  <c r="AT66" i="6"/>
  <c r="AS66" i="6"/>
  <c r="AR66" i="6"/>
  <c r="AQ66" i="6"/>
  <c r="AP66" i="6"/>
  <c r="AO66" i="6"/>
  <c r="AN66" i="6"/>
  <c r="AM66" i="6"/>
  <c r="AL66" i="6"/>
  <c r="AK66" i="6"/>
  <c r="AJ66" i="6"/>
  <c r="AI66" i="6"/>
  <c r="AH66" i="6"/>
  <c r="AG66" i="6"/>
  <c r="AF66" i="6"/>
  <c r="AE66" i="6"/>
  <c r="AD66" i="6"/>
  <c r="AC66" i="6"/>
  <c r="Z66" i="6"/>
  <c r="B66" i="6"/>
  <c r="BS66" i="6" l="1"/>
  <c r="BT66" i="6"/>
  <c r="BR66" i="6"/>
  <c r="BG6" i="6"/>
  <c r="Z77" i="6" l="1"/>
  <c r="AC77" i="6"/>
  <c r="AD77" i="6"/>
  <c r="AE77" i="6"/>
  <c r="AF77" i="6"/>
  <c r="AG77" i="6"/>
  <c r="AH77" i="6"/>
  <c r="AI77" i="6"/>
  <c r="AJ77" i="6"/>
  <c r="AK77" i="6"/>
  <c r="AL77" i="6"/>
  <c r="AM77" i="6"/>
  <c r="AN77" i="6"/>
  <c r="AO77" i="6"/>
  <c r="AP77" i="6"/>
  <c r="AQ77" i="6"/>
  <c r="AR77" i="6"/>
  <c r="AS77" i="6"/>
  <c r="AT77" i="6"/>
  <c r="AU77" i="6"/>
  <c r="AX77" i="6"/>
  <c r="AY77" i="6"/>
  <c r="AZ77" i="6"/>
  <c r="BA77" i="6"/>
  <c r="BB77" i="6"/>
  <c r="BC77" i="6"/>
  <c r="BD77" i="6"/>
  <c r="BE77" i="6"/>
  <c r="BF77" i="6"/>
  <c r="BG77" i="6"/>
  <c r="BH77" i="6"/>
  <c r="BI77" i="6"/>
  <c r="BJ77" i="6"/>
  <c r="BK77" i="6"/>
  <c r="BL77" i="6"/>
  <c r="BM77" i="6"/>
  <c r="BN77" i="6"/>
  <c r="BO77" i="6"/>
  <c r="BP77" i="6"/>
  <c r="BC163" i="6"/>
  <c r="BD163" i="6"/>
  <c r="BE163" i="6"/>
  <c r="BF163" i="6"/>
  <c r="BG163" i="6"/>
  <c r="BB163" i="6"/>
  <c r="BA163" i="6"/>
  <c r="B163" i="6"/>
  <c r="AC163" i="6"/>
  <c r="AD163" i="6"/>
  <c r="AE163" i="6"/>
  <c r="AF163" i="6"/>
  <c r="AG163" i="6"/>
  <c r="AH163" i="6"/>
  <c r="AI163" i="6"/>
  <c r="AJ163" i="6"/>
  <c r="AK163" i="6"/>
  <c r="AL163" i="6"/>
  <c r="AM163" i="6"/>
  <c r="AN163" i="6"/>
  <c r="AO163" i="6"/>
  <c r="AP163" i="6"/>
  <c r="AR163" i="6"/>
  <c r="AS163" i="6"/>
  <c r="AT163" i="6"/>
  <c r="AX163" i="6"/>
  <c r="AY163" i="6"/>
  <c r="AZ163" i="6"/>
  <c r="BT163" i="6" l="1"/>
  <c r="BS77" i="6"/>
  <c r="BT77" i="6"/>
  <c r="BS163" i="6"/>
  <c r="BR163" i="6"/>
  <c r="BR77" i="6"/>
  <c r="AK10" i="6" l="1"/>
  <c r="AK29" i="6"/>
  <c r="AK4" i="6"/>
  <c r="F39" i="2" l="1"/>
  <c r="G39" i="2"/>
  <c r="D23" i="2"/>
  <c r="AX154" i="6" l="1"/>
  <c r="AC154" i="6"/>
  <c r="AD154" i="6"/>
  <c r="AE154" i="6"/>
  <c r="AF154" i="6"/>
  <c r="AG154" i="6"/>
  <c r="AH154" i="6"/>
  <c r="AI154" i="6"/>
  <c r="AJ154" i="6"/>
  <c r="AK154" i="6"/>
  <c r="AL154" i="6"/>
  <c r="AM154" i="6"/>
  <c r="AN154" i="6"/>
  <c r="AO154" i="6"/>
  <c r="AR154" i="6"/>
  <c r="AS154" i="6"/>
  <c r="AT154" i="6"/>
  <c r="AU154" i="6"/>
  <c r="AY154" i="6"/>
  <c r="AZ154" i="6"/>
  <c r="BA154" i="6"/>
  <c r="BB154" i="6"/>
  <c r="BC154" i="6"/>
  <c r="BD154" i="6"/>
  <c r="BE154" i="6"/>
  <c r="BF154" i="6"/>
  <c r="BG154" i="6"/>
  <c r="BH154" i="6"/>
  <c r="BO154" i="6"/>
  <c r="BP154" i="6"/>
  <c r="Z36" i="6"/>
  <c r="BT154" i="6" l="1"/>
  <c r="BS154" i="6"/>
  <c r="BR154" i="6"/>
  <c r="BA133" i="6"/>
  <c r="BH141" i="6"/>
  <c r="BI141" i="6"/>
  <c r="BJ141" i="6"/>
  <c r="BK141" i="6"/>
  <c r="BL141" i="6"/>
  <c r="BM141" i="6"/>
  <c r="BN141" i="6"/>
  <c r="BO141" i="6"/>
  <c r="BP141" i="6"/>
  <c r="P89" i="6" l="1"/>
  <c r="Z100" i="6"/>
  <c r="AC100" i="6"/>
  <c r="AD100" i="6"/>
  <c r="AE100" i="6"/>
  <c r="AF100" i="6"/>
  <c r="AG100" i="6"/>
  <c r="AH100" i="6"/>
  <c r="AI100" i="6"/>
  <c r="AJ100" i="6"/>
  <c r="AK100" i="6"/>
  <c r="AL100" i="6"/>
  <c r="AM100" i="6"/>
  <c r="AN100" i="6"/>
  <c r="AO100" i="6"/>
  <c r="AP100" i="6"/>
  <c r="AQ100" i="6"/>
  <c r="AR100" i="6"/>
  <c r="AS100" i="6"/>
  <c r="AT100" i="6"/>
  <c r="AU100" i="6"/>
  <c r="AX100" i="6"/>
  <c r="AY100" i="6"/>
  <c r="AZ100" i="6"/>
  <c r="BA100" i="6"/>
  <c r="BB100" i="6"/>
  <c r="BC100" i="6"/>
  <c r="BD100" i="6"/>
  <c r="BE100" i="6"/>
  <c r="BF100" i="6"/>
  <c r="BG100" i="6"/>
  <c r="BI100" i="6"/>
  <c r="BJ100" i="6"/>
  <c r="BK100" i="6"/>
  <c r="BM100" i="6"/>
  <c r="BN100" i="6"/>
  <c r="BO100" i="6"/>
  <c r="BP100" i="6"/>
  <c r="Z99" i="6"/>
  <c r="AC99" i="6"/>
  <c r="AD99" i="6"/>
  <c r="AE99" i="6"/>
  <c r="AF99" i="6"/>
  <c r="AG99" i="6"/>
  <c r="AH99" i="6"/>
  <c r="AI99" i="6"/>
  <c r="AJ99" i="6"/>
  <c r="AK99" i="6"/>
  <c r="AL99" i="6"/>
  <c r="AM99" i="6"/>
  <c r="AN99" i="6"/>
  <c r="AO99" i="6"/>
  <c r="AP99" i="6"/>
  <c r="AQ99" i="6"/>
  <c r="AR99" i="6"/>
  <c r="AS99" i="6"/>
  <c r="AT99" i="6"/>
  <c r="AU99" i="6"/>
  <c r="AX99" i="6"/>
  <c r="AY99" i="6"/>
  <c r="AZ99" i="6"/>
  <c r="BA99" i="6"/>
  <c r="BB99" i="6"/>
  <c r="BC99" i="6"/>
  <c r="BD99" i="6"/>
  <c r="BE99" i="6"/>
  <c r="BF99" i="6"/>
  <c r="BG99" i="6"/>
  <c r="BI99" i="6"/>
  <c r="BJ99" i="6"/>
  <c r="BK99" i="6"/>
  <c r="BN99" i="6"/>
  <c r="BO99" i="6"/>
  <c r="BP99" i="6"/>
  <c r="P95" i="6"/>
  <c r="BT99" i="6" l="1"/>
  <c r="BT100" i="6"/>
  <c r="BS100" i="6"/>
  <c r="BS99" i="6"/>
  <c r="BR100" i="6"/>
  <c r="BR99" i="6"/>
  <c r="Z95" i="6"/>
  <c r="B95" i="6"/>
  <c r="AC95" i="6"/>
  <c r="AD95" i="6"/>
  <c r="AE95" i="6"/>
  <c r="AF95" i="6"/>
  <c r="AG95" i="6"/>
  <c r="AH95" i="6"/>
  <c r="AI95" i="6"/>
  <c r="AJ95" i="6"/>
  <c r="AK95" i="6"/>
  <c r="AL95" i="6"/>
  <c r="AM95" i="6"/>
  <c r="AO95" i="6"/>
  <c r="AP95" i="6"/>
  <c r="AQ95" i="6"/>
  <c r="AR95" i="6"/>
  <c r="AS95" i="6"/>
  <c r="AT95" i="6"/>
  <c r="AU95" i="6"/>
  <c r="AX95" i="6"/>
  <c r="AY95" i="6"/>
  <c r="AZ95" i="6"/>
  <c r="BA95" i="6"/>
  <c r="BB95" i="6"/>
  <c r="BC95" i="6"/>
  <c r="BD95" i="6"/>
  <c r="BE95" i="6"/>
  <c r="BF95" i="6"/>
  <c r="BG95" i="6"/>
  <c r="BH95" i="6"/>
  <c r="BI95" i="6"/>
  <c r="BJ95" i="6"/>
  <c r="BK95" i="6"/>
  <c r="BL95" i="6"/>
  <c r="BM95" i="6"/>
  <c r="BN95" i="6"/>
  <c r="BO95" i="6"/>
  <c r="BP95" i="6"/>
  <c r="Z72" i="6"/>
  <c r="AC72" i="6"/>
  <c r="AD72" i="6"/>
  <c r="AE72" i="6"/>
  <c r="AF72" i="6"/>
  <c r="AG72" i="6"/>
  <c r="AH72" i="6"/>
  <c r="AI72" i="6"/>
  <c r="AJ72" i="6"/>
  <c r="AK72" i="6"/>
  <c r="AL72" i="6"/>
  <c r="AM72" i="6"/>
  <c r="AN72" i="6"/>
  <c r="AO72" i="6"/>
  <c r="AP72" i="6"/>
  <c r="AQ72" i="6"/>
  <c r="AR72" i="6"/>
  <c r="AS72" i="6"/>
  <c r="AT72" i="6"/>
  <c r="AU72" i="6"/>
  <c r="AX72" i="6"/>
  <c r="AY72" i="6"/>
  <c r="AZ72" i="6"/>
  <c r="BA72" i="6"/>
  <c r="BB72" i="6"/>
  <c r="BC72" i="6"/>
  <c r="BD72" i="6"/>
  <c r="BE72" i="6"/>
  <c r="BF72" i="6"/>
  <c r="BG72" i="6"/>
  <c r="BH72" i="6"/>
  <c r="BI72" i="6"/>
  <c r="BJ72" i="6"/>
  <c r="BK72" i="6"/>
  <c r="BL72" i="6"/>
  <c r="BM72" i="6"/>
  <c r="BN72" i="6"/>
  <c r="BO72" i="6"/>
  <c r="BP72" i="6"/>
  <c r="BS95" i="6" l="1"/>
  <c r="BT72" i="6"/>
  <c r="BS72" i="6"/>
  <c r="BR72" i="6"/>
  <c r="AN95" i="6"/>
  <c r="BR95" i="6" s="1"/>
  <c r="B47" i="6"/>
  <c r="Z47" i="6"/>
  <c r="AC47" i="6"/>
  <c r="AD47" i="6"/>
  <c r="AE47" i="6"/>
  <c r="AF47" i="6"/>
  <c r="AG47" i="6"/>
  <c r="AH47" i="6"/>
  <c r="AI47" i="6"/>
  <c r="AJ47" i="6"/>
  <c r="AK47" i="6"/>
  <c r="AL47" i="6"/>
  <c r="AM47" i="6"/>
  <c r="AN47" i="6"/>
  <c r="AO47" i="6"/>
  <c r="AP47" i="6"/>
  <c r="AQ47" i="6"/>
  <c r="AR47" i="6"/>
  <c r="AS47" i="6"/>
  <c r="AT47" i="6"/>
  <c r="AU47" i="6"/>
  <c r="AX47" i="6"/>
  <c r="AY47" i="6"/>
  <c r="AZ47" i="6"/>
  <c r="BA47" i="6"/>
  <c r="BB47" i="6"/>
  <c r="BC47" i="6"/>
  <c r="BD47" i="6"/>
  <c r="BE47" i="6"/>
  <c r="BF47" i="6"/>
  <c r="BG47" i="6"/>
  <c r="BH47" i="6"/>
  <c r="BI47" i="6"/>
  <c r="BJ47" i="6"/>
  <c r="BK47" i="6"/>
  <c r="BL47" i="6"/>
  <c r="BM47" i="6"/>
  <c r="BN47" i="6"/>
  <c r="BO47" i="6"/>
  <c r="BP47" i="6"/>
  <c r="BS47" i="6" l="1"/>
  <c r="BT47" i="6"/>
  <c r="BT95" i="6"/>
  <c r="BR47" i="6"/>
  <c r="B48" i="6"/>
  <c r="Z48" i="6"/>
  <c r="AC48" i="6"/>
  <c r="AD48" i="6"/>
  <c r="AE48" i="6"/>
  <c r="AF48" i="6"/>
  <c r="AG48" i="6"/>
  <c r="AH48" i="6"/>
  <c r="AI48" i="6"/>
  <c r="AJ48" i="6"/>
  <c r="AK48" i="6"/>
  <c r="AL48" i="6"/>
  <c r="AM48" i="6"/>
  <c r="AN48" i="6"/>
  <c r="AO48" i="6"/>
  <c r="AP48" i="6"/>
  <c r="AQ48" i="6"/>
  <c r="AR48" i="6"/>
  <c r="AS48" i="6"/>
  <c r="AT48" i="6"/>
  <c r="AU48" i="6"/>
  <c r="AX48" i="6"/>
  <c r="AY48" i="6"/>
  <c r="AZ48" i="6"/>
  <c r="BA48" i="6"/>
  <c r="BB48" i="6"/>
  <c r="BC48" i="6"/>
  <c r="BD48" i="6"/>
  <c r="BE48" i="6"/>
  <c r="BF48" i="6"/>
  <c r="BG48" i="6"/>
  <c r="BH48" i="6"/>
  <c r="BI48" i="6"/>
  <c r="BJ48" i="6"/>
  <c r="BK48" i="6"/>
  <c r="BL48" i="6"/>
  <c r="BM48" i="6"/>
  <c r="BN48" i="6"/>
  <c r="BO48" i="6"/>
  <c r="BP48" i="6"/>
  <c r="B52" i="6"/>
  <c r="Z52" i="6"/>
  <c r="AC52" i="6"/>
  <c r="AD52" i="6"/>
  <c r="AE52" i="6"/>
  <c r="AF52" i="6"/>
  <c r="AG52" i="6"/>
  <c r="AH52" i="6"/>
  <c r="AI52" i="6"/>
  <c r="AJ52" i="6"/>
  <c r="AK52" i="6"/>
  <c r="AL52" i="6"/>
  <c r="AM52" i="6"/>
  <c r="AN52" i="6"/>
  <c r="AO52" i="6"/>
  <c r="AP52" i="6"/>
  <c r="AQ52" i="6"/>
  <c r="AR52" i="6"/>
  <c r="AS52" i="6"/>
  <c r="AT52" i="6"/>
  <c r="AU52" i="6"/>
  <c r="AX52" i="6"/>
  <c r="AY52" i="6"/>
  <c r="AZ52" i="6"/>
  <c r="BA52" i="6"/>
  <c r="BB52" i="6"/>
  <c r="BC52" i="6"/>
  <c r="BD52" i="6"/>
  <c r="BE52" i="6"/>
  <c r="BF52" i="6"/>
  <c r="BG52" i="6"/>
  <c r="BI52" i="6"/>
  <c r="BJ52" i="6"/>
  <c r="BK52" i="6"/>
  <c r="BM52" i="6"/>
  <c r="BN52" i="6"/>
  <c r="BO52" i="6"/>
  <c r="BP52" i="6"/>
  <c r="Z46" i="6"/>
  <c r="B46" i="6"/>
  <c r="AC46" i="6"/>
  <c r="AD46" i="6"/>
  <c r="AE46" i="6"/>
  <c r="AF46" i="6"/>
  <c r="AG46" i="6"/>
  <c r="AH46" i="6"/>
  <c r="AI46" i="6"/>
  <c r="AJ46" i="6"/>
  <c r="AK46" i="6"/>
  <c r="AL46" i="6"/>
  <c r="AM46" i="6"/>
  <c r="AN46" i="6"/>
  <c r="AO46" i="6"/>
  <c r="AP46" i="6"/>
  <c r="AQ46" i="6"/>
  <c r="AR46" i="6"/>
  <c r="AS46" i="6"/>
  <c r="AT46" i="6"/>
  <c r="AU46" i="6"/>
  <c r="AX46" i="6"/>
  <c r="AY46" i="6"/>
  <c r="AZ46" i="6"/>
  <c r="BA46" i="6"/>
  <c r="BB46" i="6"/>
  <c r="BC46" i="6"/>
  <c r="BD46" i="6"/>
  <c r="BE46" i="6"/>
  <c r="BF46" i="6"/>
  <c r="BG46" i="6"/>
  <c r="BI46" i="6"/>
  <c r="BJ46" i="6"/>
  <c r="BL46" i="6"/>
  <c r="BM46" i="6"/>
  <c r="BN46" i="6"/>
  <c r="BO46" i="6"/>
  <c r="BP46" i="6"/>
  <c r="BS46" i="6" l="1"/>
  <c r="BT52" i="6"/>
  <c r="BT48" i="6"/>
  <c r="BT46" i="6"/>
  <c r="BS52" i="6"/>
  <c r="BS48" i="6"/>
  <c r="BR52" i="6"/>
  <c r="BR48" i="6"/>
  <c r="BR46" i="6"/>
  <c r="AL29" i="6"/>
  <c r="Z151" i="6" l="1"/>
  <c r="AC151" i="6"/>
  <c r="AD151" i="6"/>
  <c r="AE151" i="6"/>
  <c r="AF151" i="6"/>
  <c r="AG151" i="6"/>
  <c r="AH151" i="6"/>
  <c r="AI151" i="6"/>
  <c r="AJ151" i="6"/>
  <c r="AK151" i="6"/>
  <c r="AL151" i="6"/>
  <c r="AM151" i="6"/>
  <c r="AN151" i="6"/>
  <c r="AO151" i="6"/>
  <c r="AP151" i="6"/>
  <c r="AQ151" i="6"/>
  <c r="AR151" i="6"/>
  <c r="AS151" i="6"/>
  <c r="AT151" i="6"/>
  <c r="AU151" i="6"/>
  <c r="AX151" i="6"/>
  <c r="AY151" i="6"/>
  <c r="AZ151" i="6"/>
  <c r="BA151" i="6"/>
  <c r="BD151" i="6"/>
  <c r="BE151" i="6"/>
  <c r="BF151" i="6"/>
  <c r="BG151" i="6"/>
  <c r="BH151" i="6"/>
  <c r="BI151" i="6"/>
  <c r="BJ151" i="6"/>
  <c r="BK151" i="6"/>
  <c r="BL151" i="6"/>
  <c r="BM151" i="6"/>
  <c r="BN151" i="6"/>
  <c r="BO151" i="6"/>
  <c r="BP151" i="6"/>
  <c r="BS151" i="6" l="1"/>
  <c r="BT151" i="6"/>
  <c r="BR151" i="6"/>
  <c r="E37" i="4"/>
  <c r="BP161" i="6"/>
  <c r="BO161" i="6"/>
  <c r="BN161" i="6"/>
  <c r="BM161" i="6"/>
  <c r="BL161" i="6"/>
  <c r="BK161" i="6"/>
  <c r="BJ161" i="6"/>
  <c r="BI161" i="6"/>
  <c r="BH161" i="6"/>
  <c r="BG161" i="6"/>
  <c r="BF161" i="6"/>
  <c r="BE161" i="6"/>
  <c r="BD161" i="6"/>
  <c r="BC161" i="6"/>
  <c r="BB161" i="6"/>
  <c r="BA161" i="6"/>
  <c r="AZ161" i="6"/>
  <c r="AY161" i="6"/>
  <c r="AX161" i="6"/>
  <c r="AU161" i="6"/>
  <c r="AT161" i="6"/>
  <c r="AS161" i="6"/>
  <c r="AR161" i="6"/>
  <c r="AP161" i="6"/>
  <c r="AO161" i="6"/>
  <c r="AN161" i="6"/>
  <c r="AM161" i="6"/>
  <c r="AL161" i="6"/>
  <c r="AK161" i="6"/>
  <c r="AJ161" i="6"/>
  <c r="AI161" i="6"/>
  <c r="AH161" i="6"/>
  <c r="AG161" i="6"/>
  <c r="AF161" i="6"/>
  <c r="AE161" i="6"/>
  <c r="AD161" i="6"/>
  <c r="AC161" i="6"/>
  <c r="B161" i="6"/>
  <c r="BS161" i="6" l="1"/>
  <c r="BT161" i="6"/>
  <c r="BR161" i="6"/>
  <c r="AK141" i="6" l="1"/>
  <c r="D132" i="6" l="1"/>
  <c r="BM132" i="6"/>
  <c r="BN132" i="6"/>
  <c r="BO132" i="6"/>
  <c r="BP132" i="6"/>
  <c r="AZ156" i="6" l="1"/>
  <c r="BA156" i="6"/>
  <c r="BC156" i="6"/>
  <c r="BD156" i="6"/>
  <c r="BE156" i="6"/>
  <c r="BG156" i="6"/>
  <c r="BH156" i="6"/>
  <c r="BI156" i="6"/>
  <c r="B96" i="6" l="1"/>
  <c r="Z96" i="6"/>
  <c r="AC96" i="6"/>
  <c r="AD96" i="6"/>
  <c r="AE96" i="6"/>
  <c r="AF96" i="6"/>
  <c r="AG96" i="6"/>
  <c r="AH96" i="6"/>
  <c r="AI96" i="6"/>
  <c r="AJ96" i="6"/>
  <c r="AK96" i="6"/>
  <c r="AL96" i="6"/>
  <c r="AM96" i="6"/>
  <c r="AN96" i="6"/>
  <c r="AO96" i="6"/>
  <c r="AP96" i="6"/>
  <c r="AQ96" i="6"/>
  <c r="AR96" i="6"/>
  <c r="AS96" i="6"/>
  <c r="AT96" i="6"/>
  <c r="AU96" i="6"/>
  <c r="AX96" i="6"/>
  <c r="AY96" i="6"/>
  <c r="AZ96" i="6"/>
  <c r="BA96" i="6"/>
  <c r="BB96" i="6"/>
  <c r="BC96" i="6"/>
  <c r="BD96" i="6"/>
  <c r="BE96" i="6"/>
  <c r="BF96" i="6"/>
  <c r="BG96" i="6"/>
  <c r="BH96" i="6"/>
  <c r="BI96" i="6"/>
  <c r="BJ96" i="6"/>
  <c r="BK96" i="6"/>
  <c r="BL96" i="6"/>
  <c r="BM96" i="6"/>
  <c r="BN96" i="6"/>
  <c r="BO96" i="6"/>
  <c r="BP96" i="6"/>
  <c r="AK109" i="6"/>
  <c r="Q81" i="6"/>
  <c r="BT96" i="6" l="1"/>
  <c r="BS96" i="6"/>
  <c r="BR96" i="6"/>
  <c r="Z101" i="6"/>
  <c r="AC101" i="6"/>
  <c r="AD101" i="6"/>
  <c r="AE101" i="6"/>
  <c r="AF101" i="6"/>
  <c r="AG101" i="6"/>
  <c r="AH101" i="6"/>
  <c r="AI101" i="6"/>
  <c r="AJ101" i="6"/>
  <c r="AK101" i="6"/>
  <c r="AL101" i="6"/>
  <c r="AM101" i="6"/>
  <c r="AN101" i="6"/>
  <c r="AO101" i="6"/>
  <c r="AP101" i="6"/>
  <c r="AQ101" i="6"/>
  <c r="AR101" i="6"/>
  <c r="AS101" i="6"/>
  <c r="AT101" i="6"/>
  <c r="AU101" i="6"/>
  <c r="AX101" i="6"/>
  <c r="AY101" i="6"/>
  <c r="AZ101" i="6"/>
  <c r="BA101" i="6"/>
  <c r="BB101" i="6"/>
  <c r="BC101" i="6"/>
  <c r="BD101" i="6"/>
  <c r="BE101" i="6"/>
  <c r="BF101" i="6"/>
  <c r="BG101" i="6"/>
  <c r="BH101" i="6"/>
  <c r="BI101" i="6"/>
  <c r="BJ101" i="6"/>
  <c r="BK101" i="6"/>
  <c r="BL101" i="6"/>
  <c r="BM101" i="6"/>
  <c r="BN101" i="6"/>
  <c r="BO101" i="6"/>
  <c r="BP101" i="6"/>
  <c r="S70" i="6"/>
  <c r="P38" i="6"/>
  <c r="P199" i="6" s="1"/>
  <c r="BS101" i="6" l="1"/>
  <c r="BT101" i="6"/>
  <c r="BR101" i="6"/>
  <c r="H39" i="1" l="1"/>
  <c r="H41" i="7" s="1"/>
  <c r="I39" i="1"/>
  <c r="J39" i="1"/>
  <c r="H46" i="1"/>
  <c r="H48" i="7" s="1"/>
  <c r="I46" i="1"/>
  <c r="J46" i="1"/>
  <c r="BP166" i="6"/>
  <c r="BP165" i="6"/>
  <c r="J23" i="1"/>
  <c r="BP150" i="6"/>
  <c r="BO166" i="6"/>
  <c r="BO165" i="6"/>
  <c r="BO150" i="6"/>
  <c r="BN166" i="6"/>
  <c r="BN165" i="6"/>
  <c r="BN150" i="6"/>
  <c r="H23" i="1" l="1"/>
  <c r="H25" i="7" s="1"/>
  <c r="I23" i="1"/>
  <c r="Z5" i="6" l="1"/>
  <c r="Z6" i="6"/>
  <c r="Z7" i="6"/>
  <c r="Z9" i="6"/>
  <c r="Z10" i="6"/>
  <c r="Z15" i="6"/>
  <c r="Z14" i="6"/>
  <c r="Z29" i="6"/>
  <c r="Z31" i="6"/>
  <c r="Z32" i="6"/>
  <c r="Z34" i="6"/>
  <c r="Z38" i="6"/>
  <c r="Z45" i="6"/>
  <c r="Z39" i="6"/>
  <c r="Z40" i="6"/>
  <c r="Z35" i="6"/>
  <c r="Z41" i="6"/>
  <c r="Z42" i="6"/>
  <c r="Z43" i="6"/>
  <c r="Z44" i="6"/>
  <c r="Z37" i="6"/>
  <c r="Z70" i="6"/>
  <c r="Z67" i="6"/>
  <c r="Z71" i="6"/>
  <c r="Z76" i="6"/>
  <c r="Z73" i="6"/>
  <c r="Z79" i="6"/>
  <c r="Z75" i="6"/>
  <c r="Z69" i="6"/>
  <c r="Z84" i="6"/>
  <c r="Z88" i="6"/>
  <c r="Z89" i="6"/>
  <c r="Z90" i="6"/>
  <c r="Z91" i="6"/>
  <c r="Z82" i="6"/>
  <c r="Z83" i="6"/>
  <c r="Z80" i="6"/>
  <c r="Z81" i="6"/>
  <c r="Z94" i="6"/>
  <c r="Z85" i="6"/>
  <c r="Z86" i="6"/>
  <c r="Z87" i="6"/>
  <c r="Z92" i="6"/>
  <c r="Z93" i="6"/>
  <c r="Z109" i="6"/>
  <c r="Z110" i="6"/>
  <c r="Z115" i="6"/>
  <c r="Z126" i="6"/>
  <c r="AC6" i="6"/>
  <c r="AD6" i="6"/>
  <c r="AE6" i="6"/>
  <c r="AF6" i="6"/>
  <c r="AG6" i="6"/>
  <c r="AH6" i="6"/>
  <c r="AI6" i="6"/>
  <c r="AJ6" i="6"/>
  <c r="AK6" i="6"/>
  <c r="AL6" i="6"/>
  <c r="AM6" i="6"/>
  <c r="AN6" i="6"/>
  <c r="AO6" i="6"/>
  <c r="AP6" i="6"/>
  <c r="AQ6" i="6"/>
  <c r="AR6" i="6"/>
  <c r="AS6" i="6"/>
  <c r="AT6" i="6"/>
  <c r="AU6" i="6"/>
  <c r="AX6" i="6"/>
  <c r="AY6" i="6"/>
  <c r="AZ6" i="6"/>
  <c r="BA6" i="6"/>
  <c r="BB6" i="6"/>
  <c r="BC6" i="6"/>
  <c r="BD6" i="6"/>
  <c r="BE6" i="6"/>
  <c r="BF6" i="6"/>
  <c r="BH6" i="6"/>
  <c r="BI6" i="6"/>
  <c r="BJ6" i="6"/>
  <c r="BK6" i="6"/>
  <c r="BL6" i="6"/>
  <c r="BM6" i="6"/>
  <c r="BN6" i="6"/>
  <c r="BO6" i="6"/>
  <c r="BP6" i="6"/>
  <c r="AE7" i="6"/>
  <c r="AC7" i="6"/>
  <c r="AD7" i="6"/>
  <c r="AF7" i="6"/>
  <c r="AG7" i="6"/>
  <c r="AH7" i="6"/>
  <c r="AJ7" i="6"/>
  <c r="AK7" i="6"/>
  <c r="AL7" i="6"/>
  <c r="AN7" i="6"/>
  <c r="AO7" i="6"/>
  <c r="AP7" i="6"/>
  <c r="AR7" i="6"/>
  <c r="AS7" i="6"/>
  <c r="AT7" i="6"/>
  <c r="AX7" i="6"/>
  <c r="AY7" i="6"/>
  <c r="AZ7" i="6"/>
  <c r="BA7" i="6"/>
  <c r="BB7" i="6"/>
  <c r="BC7" i="6"/>
  <c r="BD7" i="6"/>
  <c r="BE7" i="6"/>
  <c r="BF7" i="6"/>
  <c r="BG7" i="6"/>
  <c r="BH7" i="6"/>
  <c r="BI7" i="6"/>
  <c r="BJ7" i="6"/>
  <c r="BK7" i="6"/>
  <c r="BL7" i="6"/>
  <c r="BM7" i="6"/>
  <c r="BN7" i="6"/>
  <c r="BO7" i="6"/>
  <c r="BP7" i="6"/>
  <c r="BS7" i="6" l="1"/>
  <c r="BS6" i="6"/>
  <c r="BT6" i="6"/>
  <c r="BR6" i="6"/>
  <c r="AU7" i="6"/>
  <c r="AQ7" i="6"/>
  <c r="AM7" i="6"/>
  <c r="AI7" i="6"/>
  <c r="BT7" i="6" l="1"/>
  <c r="BR7" i="6"/>
  <c r="AC110" i="6"/>
  <c r="AD110" i="6"/>
  <c r="AE110" i="6"/>
  <c r="AF110" i="6"/>
  <c r="AG110" i="6"/>
  <c r="AH110" i="6"/>
  <c r="AI110" i="6"/>
  <c r="AJ110" i="6"/>
  <c r="AK110" i="6"/>
  <c r="AL110" i="6"/>
  <c r="AM110" i="6"/>
  <c r="AN110" i="6"/>
  <c r="AO110" i="6"/>
  <c r="AP110" i="6"/>
  <c r="AQ110" i="6"/>
  <c r="AR110" i="6"/>
  <c r="AS110" i="6"/>
  <c r="AT110" i="6"/>
  <c r="AU110" i="6"/>
  <c r="AX110" i="6"/>
  <c r="AY110" i="6"/>
  <c r="AZ110" i="6"/>
  <c r="BA110" i="6"/>
  <c r="BB110" i="6"/>
  <c r="BC110" i="6"/>
  <c r="BD110" i="6"/>
  <c r="BE110" i="6"/>
  <c r="BF110" i="6"/>
  <c r="BG110" i="6"/>
  <c r="BH110" i="6"/>
  <c r="BI110" i="6"/>
  <c r="BJ110" i="6"/>
  <c r="BK110" i="6"/>
  <c r="BL110" i="6"/>
  <c r="BM110" i="6"/>
  <c r="BN110" i="6"/>
  <c r="BO110" i="6"/>
  <c r="BP110" i="6"/>
  <c r="AC115" i="6"/>
  <c r="AD115" i="6"/>
  <c r="AE115" i="6"/>
  <c r="AF115" i="6"/>
  <c r="AG115" i="6"/>
  <c r="AH115" i="6"/>
  <c r="AI115" i="6"/>
  <c r="AJ115" i="6"/>
  <c r="AK115" i="6"/>
  <c r="AL115" i="6"/>
  <c r="AM115" i="6"/>
  <c r="AN115" i="6"/>
  <c r="AO115" i="6"/>
  <c r="AP115" i="6"/>
  <c r="AQ115" i="6"/>
  <c r="AR115" i="6"/>
  <c r="AS115" i="6"/>
  <c r="AT115" i="6"/>
  <c r="AU115" i="6"/>
  <c r="AX115" i="6"/>
  <c r="AY115" i="6"/>
  <c r="AZ115" i="6"/>
  <c r="BA115" i="6"/>
  <c r="BB115" i="6"/>
  <c r="BC115" i="6"/>
  <c r="BD115" i="6"/>
  <c r="BE115" i="6"/>
  <c r="BF115" i="6"/>
  <c r="BG115" i="6"/>
  <c r="BH115" i="6"/>
  <c r="BI115" i="6"/>
  <c r="BJ115" i="6"/>
  <c r="BK115" i="6"/>
  <c r="BL115" i="6"/>
  <c r="BM115" i="6"/>
  <c r="BN115" i="6"/>
  <c r="BO115" i="6"/>
  <c r="BP115" i="6"/>
  <c r="AC126" i="6"/>
  <c r="AD126" i="6"/>
  <c r="AE126" i="6"/>
  <c r="AF126" i="6"/>
  <c r="AG126" i="6"/>
  <c r="AH126" i="6"/>
  <c r="AI126" i="6"/>
  <c r="AJ126" i="6"/>
  <c r="AK126" i="6"/>
  <c r="AL126" i="6"/>
  <c r="AM126" i="6"/>
  <c r="AN126" i="6"/>
  <c r="AO126" i="6"/>
  <c r="AP126" i="6"/>
  <c r="AQ126" i="6"/>
  <c r="AR126" i="6"/>
  <c r="AS126" i="6"/>
  <c r="AT126" i="6"/>
  <c r="AU126" i="6"/>
  <c r="AX126" i="6"/>
  <c r="AY126" i="6"/>
  <c r="AZ126" i="6"/>
  <c r="BA126" i="6"/>
  <c r="BB126" i="6"/>
  <c r="BC126" i="6"/>
  <c r="BD126" i="6"/>
  <c r="BE126" i="6"/>
  <c r="BF126" i="6"/>
  <c r="BG126" i="6"/>
  <c r="BH126" i="6"/>
  <c r="BI126" i="6"/>
  <c r="BJ126" i="6"/>
  <c r="BK126" i="6"/>
  <c r="BL126" i="6"/>
  <c r="BM126" i="6"/>
  <c r="BN126" i="6"/>
  <c r="BO126" i="6"/>
  <c r="BP126" i="6"/>
  <c r="B126" i="6"/>
  <c r="B115" i="6"/>
  <c r="B110" i="6"/>
  <c r="AC104" i="6"/>
  <c r="AD104" i="6"/>
  <c r="AE104" i="6"/>
  <c r="AF104" i="6"/>
  <c r="AG104" i="6"/>
  <c r="AH104" i="6"/>
  <c r="AI104" i="6"/>
  <c r="AJ104" i="6"/>
  <c r="AK104" i="6"/>
  <c r="AL104" i="6"/>
  <c r="AM104" i="6"/>
  <c r="AN104" i="6"/>
  <c r="AO104" i="6"/>
  <c r="AP104" i="6"/>
  <c r="AQ104" i="6"/>
  <c r="AR104" i="6"/>
  <c r="AS104" i="6"/>
  <c r="AT104" i="6"/>
  <c r="AU104" i="6"/>
  <c r="AX104" i="6"/>
  <c r="AY104" i="6"/>
  <c r="AZ104" i="6"/>
  <c r="BA104" i="6"/>
  <c r="BB104" i="6"/>
  <c r="BC104" i="6"/>
  <c r="BD104" i="6"/>
  <c r="BE104" i="6"/>
  <c r="BF104" i="6"/>
  <c r="BG104" i="6"/>
  <c r="BH104" i="6"/>
  <c r="BI104" i="6"/>
  <c r="BJ104" i="6"/>
  <c r="BK104" i="6"/>
  <c r="BL104" i="6"/>
  <c r="BM104" i="6"/>
  <c r="BN104" i="6"/>
  <c r="BO104" i="6"/>
  <c r="BP104" i="6"/>
  <c r="H40" i="1"/>
  <c r="H42" i="7" s="1"/>
  <c r="I40" i="1"/>
  <c r="J40" i="1"/>
  <c r="B109" i="6"/>
  <c r="AC109" i="6"/>
  <c r="AD109" i="6"/>
  <c r="AE109" i="6"/>
  <c r="AF109" i="6"/>
  <c r="AG109" i="6"/>
  <c r="AH109" i="6"/>
  <c r="AI109" i="6"/>
  <c r="AJ109" i="6"/>
  <c r="AL109" i="6"/>
  <c r="AM109" i="6"/>
  <c r="AN109" i="6"/>
  <c r="AO109" i="6"/>
  <c r="AP109" i="6"/>
  <c r="AQ109" i="6"/>
  <c r="AR109" i="6"/>
  <c r="AS109" i="6"/>
  <c r="AT109" i="6"/>
  <c r="AU109" i="6"/>
  <c r="AX109" i="6"/>
  <c r="AY109" i="6"/>
  <c r="AZ109" i="6"/>
  <c r="BA109" i="6"/>
  <c r="BB109" i="6"/>
  <c r="BC109" i="6"/>
  <c r="BD109" i="6"/>
  <c r="BE109" i="6"/>
  <c r="BF109" i="6"/>
  <c r="BG109" i="6"/>
  <c r="BH109" i="6"/>
  <c r="BI109" i="6"/>
  <c r="BJ109" i="6"/>
  <c r="BK109" i="6"/>
  <c r="BL109" i="6"/>
  <c r="BM109" i="6"/>
  <c r="BN109" i="6"/>
  <c r="BO109" i="6"/>
  <c r="BP109" i="6"/>
  <c r="B45" i="6"/>
  <c r="AC45" i="6"/>
  <c r="AD45" i="6"/>
  <c r="AE45" i="6"/>
  <c r="AF45" i="6"/>
  <c r="AG45" i="6"/>
  <c r="AH45" i="6"/>
  <c r="AI45" i="6"/>
  <c r="AJ45" i="6"/>
  <c r="AK45" i="6"/>
  <c r="AL45" i="6"/>
  <c r="AM45" i="6"/>
  <c r="AN45" i="6"/>
  <c r="AO45" i="6"/>
  <c r="AP45" i="6"/>
  <c r="AQ45" i="6"/>
  <c r="AR45" i="6"/>
  <c r="AS45" i="6"/>
  <c r="AT45" i="6"/>
  <c r="AU45" i="6"/>
  <c r="AX45" i="6"/>
  <c r="AY45" i="6"/>
  <c r="AZ45" i="6"/>
  <c r="BA45" i="6"/>
  <c r="BB45" i="6"/>
  <c r="BC45" i="6"/>
  <c r="BD45" i="6"/>
  <c r="BE45" i="6"/>
  <c r="BF45" i="6"/>
  <c r="BG45" i="6"/>
  <c r="BI45" i="6"/>
  <c r="BJ45" i="6"/>
  <c r="BK45" i="6"/>
  <c r="BM45" i="6"/>
  <c r="BN45" i="6"/>
  <c r="BO45" i="6"/>
  <c r="BP45" i="6"/>
  <c r="BP14" i="6"/>
  <c r="BO14" i="6"/>
  <c r="BN14" i="6"/>
  <c r="BM14" i="6"/>
  <c r="BL14" i="6"/>
  <c r="BK14" i="6"/>
  <c r="BJ14" i="6"/>
  <c r="BI14" i="6"/>
  <c r="BH14" i="6"/>
  <c r="BG14" i="6"/>
  <c r="BF14" i="6"/>
  <c r="BE14" i="6"/>
  <c r="BD14" i="6"/>
  <c r="BC14" i="6"/>
  <c r="BB14" i="6"/>
  <c r="BA14" i="6"/>
  <c r="AZ14" i="6"/>
  <c r="AY14" i="6"/>
  <c r="AX14" i="6"/>
  <c r="AU14" i="6"/>
  <c r="AT14" i="6"/>
  <c r="AS14" i="6"/>
  <c r="AR14" i="6"/>
  <c r="AQ14" i="6"/>
  <c r="AP14" i="6"/>
  <c r="AO14" i="6"/>
  <c r="AN14" i="6"/>
  <c r="AM14" i="6"/>
  <c r="AL14" i="6"/>
  <c r="AK14" i="6"/>
  <c r="AJ14" i="6"/>
  <c r="AI14" i="6"/>
  <c r="AH14" i="6"/>
  <c r="AG14" i="6"/>
  <c r="AF14" i="6"/>
  <c r="AE14" i="6"/>
  <c r="AD14" i="6"/>
  <c r="AC14" i="6"/>
  <c r="BT126" i="6" l="1"/>
  <c r="BS110" i="6"/>
  <c r="BS109" i="6"/>
  <c r="BS115" i="6"/>
  <c r="BT104" i="6"/>
  <c r="BS45" i="6"/>
  <c r="BS104" i="6"/>
  <c r="BT110" i="6"/>
  <c r="BT115" i="6"/>
  <c r="BT45" i="6"/>
  <c r="BT109" i="6"/>
  <c r="BS126" i="6"/>
  <c r="BT14" i="6"/>
  <c r="BS14" i="6"/>
  <c r="BR104" i="6"/>
  <c r="BR126" i="6"/>
  <c r="BR45" i="6"/>
  <c r="BR109" i="6"/>
  <c r="BR115" i="6"/>
  <c r="BR14" i="6"/>
  <c r="BR110" i="6"/>
  <c r="H41" i="2"/>
  <c r="I41" i="7" s="1"/>
  <c r="I41" i="2"/>
  <c r="J41" i="7" s="1"/>
  <c r="J41" i="2"/>
  <c r="AS4" i="6"/>
  <c r="AT4" i="6"/>
  <c r="AU4" i="6"/>
  <c r="AS9" i="6"/>
  <c r="H20" i="2" s="1"/>
  <c r="AT9" i="6"/>
  <c r="I20" i="2" s="1"/>
  <c r="AU9" i="6"/>
  <c r="J20" i="2" s="1"/>
  <c r="AS10" i="6"/>
  <c r="AT10" i="6"/>
  <c r="AU10" i="6"/>
  <c r="AS29" i="6"/>
  <c r="H24" i="2" s="1"/>
  <c r="AT29" i="6"/>
  <c r="I24" i="2" s="1"/>
  <c r="AU29" i="6"/>
  <c r="J24" i="2" s="1"/>
  <c r="AS31" i="6"/>
  <c r="AT31" i="6"/>
  <c r="AU31" i="6"/>
  <c r="AS32" i="6"/>
  <c r="AT32" i="6"/>
  <c r="AU32" i="6"/>
  <c r="AS34" i="6"/>
  <c r="AT34" i="6"/>
  <c r="AU34" i="6"/>
  <c r="AS38" i="6"/>
  <c r="AT38" i="6"/>
  <c r="AU38" i="6"/>
  <c r="AS39" i="6"/>
  <c r="AT39" i="6"/>
  <c r="AU39" i="6"/>
  <c r="AS36" i="6"/>
  <c r="AT36" i="6"/>
  <c r="AU36" i="6"/>
  <c r="AS40" i="6"/>
  <c r="AT40" i="6"/>
  <c r="AU40" i="6"/>
  <c r="AS41" i="6"/>
  <c r="AT41" i="6"/>
  <c r="AU41" i="6"/>
  <c r="AS42" i="6"/>
  <c r="AT42" i="6"/>
  <c r="AU42" i="6"/>
  <c r="AS43" i="6"/>
  <c r="AT43" i="6"/>
  <c r="AU43" i="6"/>
  <c r="AS44" i="6"/>
  <c r="AT44" i="6"/>
  <c r="AU44" i="6"/>
  <c r="AS37" i="6"/>
  <c r="AT37" i="6"/>
  <c r="AU37" i="6"/>
  <c r="AS68" i="6"/>
  <c r="AT68" i="6"/>
  <c r="AU68" i="6"/>
  <c r="AS70" i="6"/>
  <c r="AT70" i="6"/>
  <c r="AU70" i="6"/>
  <c r="AS67" i="6"/>
  <c r="AT67" i="6"/>
  <c r="AU67" i="6"/>
  <c r="AS73" i="6"/>
  <c r="AT73" i="6"/>
  <c r="AU73" i="6"/>
  <c r="AS79" i="6"/>
  <c r="AT79" i="6"/>
  <c r="AU79" i="6"/>
  <c r="AS75" i="6"/>
  <c r="AT75" i="6"/>
  <c r="AU75" i="6"/>
  <c r="AS69" i="6"/>
  <c r="AT69" i="6"/>
  <c r="AU69" i="6"/>
  <c r="AS84" i="6"/>
  <c r="AT84" i="6"/>
  <c r="AU84" i="6"/>
  <c r="AS88" i="6"/>
  <c r="AT88" i="6"/>
  <c r="AU88" i="6"/>
  <c r="AS89" i="6"/>
  <c r="AT89" i="6"/>
  <c r="AU89" i="6"/>
  <c r="AS90" i="6"/>
  <c r="AT90" i="6"/>
  <c r="AU90" i="6"/>
  <c r="AS91" i="6"/>
  <c r="AT91" i="6"/>
  <c r="AU91" i="6"/>
  <c r="AS82" i="6"/>
  <c r="AT82" i="6"/>
  <c r="AU82" i="6"/>
  <c r="AS83" i="6"/>
  <c r="AT83" i="6"/>
  <c r="AU83" i="6"/>
  <c r="AS80" i="6"/>
  <c r="AT80" i="6"/>
  <c r="AU80" i="6"/>
  <c r="AS81" i="6"/>
  <c r="AT81" i="6"/>
  <c r="AU81" i="6"/>
  <c r="AS94" i="6"/>
  <c r="AT94" i="6"/>
  <c r="AU94" i="6"/>
  <c r="H42" i="2"/>
  <c r="I42" i="7" s="1"/>
  <c r="I42" i="2"/>
  <c r="J42" i="7" s="1"/>
  <c r="J42" i="2"/>
  <c r="AS85" i="6"/>
  <c r="AT85" i="6"/>
  <c r="AU85" i="6"/>
  <c r="AS92" i="6"/>
  <c r="AT92" i="6"/>
  <c r="AU92" i="6"/>
  <c r="AS93" i="6"/>
  <c r="AT93" i="6"/>
  <c r="AU93" i="6"/>
  <c r="AS127" i="6"/>
  <c r="H50" i="2" s="1"/>
  <c r="AT127" i="6"/>
  <c r="I50" i="2" s="1"/>
  <c r="AU127" i="6"/>
  <c r="J50" i="2" s="1"/>
  <c r="AS128" i="6"/>
  <c r="AT128" i="6"/>
  <c r="AU128" i="6"/>
  <c r="AS129" i="6"/>
  <c r="AT129" i="6"/>
  <c r="AU129" i="6"/>
  <c r="AS136" i="6"/>
  <c r="AT136" i="6"/>
  <c r="AU136" i="6"/>
  <c r="AS137" i="6"/>
  <c r="AT137" i="6"/>
  <c r="AU137" i="6"/>
  <c r="AS134" i="6"/>
  <c r="AT134" i="6"/>
  <c r="AU134" i="6"/>
  <c r="AS138" i="6"/>
  <c r="AT138" i="6"/>
  <c r="AU138" i="6"/>
  <c r="AS139" i="6"/>
  <c r="AT139" i="6"/>
  <c r="AU139" i="6"/>
  <c r="AS131" i="6"/>
  <c r="AT131" i="6"/>
  <c r="AS140" i="6"/>
  <c r="AT140" i="6"/>
  <c r="AU140" i="6"/>
  <c r="AS142" i="6"/>
  <c r="AT142" i="6"/>
  <c r="AU142" i="6"/>
  <c r="AS147" i="6"/>
  <c r="AT147" i="6"/>
  <c r="AU147" i="6"/>
  <c r="AS150" i="6"/>
  <c r="AT150" i="6"/>
  <c r="AU150" i="6"/>
  <c r="AS153" i="6"/>
  <c r="AT153" i="6"/>
  <c r="AU153" i="6"/>
  <c r="AS141" i="6"/>
  <c r="AT141" i="6"/>
  <c r="AU141" i="6"/>
  <c r="AS132" i="6"/>
  <c r="AT132" i="6"/>
  <c r="AS157" i="6"/>
  <c r="AT157" i="6"/>
  <c r="AU157" i="6"/>
  <c r="AS133" i="6"/>
  <c r="AT133" i="6"/>
  <c r="AS165" i="6"/>
  <c r="AT165" i="6"/>
  <c r="AU165" i="6"/>
  <c r="AS166" i="6"/>
  <c r="AT166" i="6"/>
  <c r="AU166" i="6"/>
  <c r="AS170" i="6"/>
  <c r="BN170" i="6" s="1"/>
  <c r="AT170" i="6"/>
  <c r="BO170" i="6" s="1"/>
  <c r="AU170" i="6"/>
  <c r="BP170" i="6" s="1"/>
  <c r="BN173" i="6"/>
  <c r="H47" i="1" s="1"/>
  <c r="H49" i="7" s="1"/>
  <c r="BO173" i="6"/>
  <c r="I47" i="1" s="1"/>
  <c r="BP173" i="6"/>
  <c r="J47" i="1" s="1"/>
  <c r="BN4" i="6"/>
  <c r="BO4" i="6"/>
  <c r="BP4" i="6"/>
  <c r="BN5" i="6"/>
  <c r="BO5" i="6"/>
  <c r="BP5" i="6"/>
  <c r="BN9" i="6"/>
  <c r="H18" i="1" s="1"/>
  <c r="H20" i="7" s="1"/>
  <c r="BO9" i="6"/>
  <c r="I18" i="1" s="1"/>
  <c r="BP9" i="6"/>
  <c r="J18" i="1" s="1"/>
  <c r="BN10" i="6"/>
  <c r="BO10" i="6"/>
  <c r="BP10" i="6"/>
  <c r="BN15" i="6"/>
  <c r="BO15" i="6"/>
  <c r="BP15" i="6"/>
  <c r="BN29" i="6"/>
  <c r="H22" i="1" s="1"/>
  <c r="H24" i="7" s="1"/>
  <c r="BO29" i="6"/>
  <c r="I22" i="1" s="1"/>
  <c r="BP29" i="6"/>
  <c r="J22" i="1" s="1"/>
  <c r="BN31" i="6"/>
  <c r="BO31" i="6"/>
  <c r="BP31" i="6"/>
  <c r="BN32" i="6"/>
  <c r="BO32" i="6"/>
  <c r="BP32" i="6"/>
  <c r="BN34" i="6"/>
  <c r="BO34" i="6"/>
  <c r="BP34" i="6"/>
  <c r="BN38" i="6"/>
  <c r="BO38" i="6"/>
  <c r="BP38" i="6"/>
  <c r="BN39" i="6"/>
  <c r="BO39" i="6"/>
  <c r="BP39" i="6"/>
  <c r="BN36" i="6"/>
  <c r="BO36" i="6"/>
  <c r="BP36" i="6"/>
  <c r="BN40" i="6"/>
  <c r="BO40" i="6"/>
  <c r="BP40" i="6"/>
  <c r="BN35" i="6"/>
  <c r="BO35" i="6"/>
  <c r="BP35" i="6"/>
  <c r="BN41" i="6"/>
  <c r="BO41" i="6"/>
  <c r="BP41" i="6"/>
  <c r="BN42" i="6"/>
  <c r="BO42" i="6"/>
  <c r="BP42" i="6"/>
  <c r="BN43" i="6"/>
  <c r="BO43" i="6"/>
  <c r="BP43" i="6"/>
  <c r="BN44" i="6"/>
  <c r="BO44" i="6"/>
  <c r="BP44" i="6"/>
  <c r="BN37" i="6"/>
  <c r="BO37" i="6"/>
  <c r="BP37" i="6"/>
  <c r="BN68" i="6"/>
  <c r="BO68" i="6"/>
  <c r="BP68" i="6"/>
  <c r="BN70" i="6"/>
  <c r="BO70" i="6"/>
  <c r="BP70" i="6"/>
  <c r="BN67" i="6"/>
  <c r="BO67" i="6"/>
  <c r="BP67" i="6"/>
  <c r="BN71" i="6"/>
  <c r="BO71" i="6"/>
  <c r="BP71" i="6"/>
  <c r="BN76" i="6"/>
  <c r="BO76" i="6"/>
  <c r="BP76" i="6"/>
  <c r="BN73" i="6"/>
  <c r="BO73" i="6"/>
  <c r="BP73" i="6"/>
  <c r="BN79" i="6"/>
  <c r="BO79" i="6"/>
  <c r="BP79" i="6"/>
  <c r="BN75" i="6"/>
  <c r="BO75" i="6"/>
  <c r="BP75" i="6"/>
  <c r="BN69" i="6"/>
  <c r="BO69" i="6"/>
  <c r="BP69" i="6"/>
  <c r="BN84" i="6"/>
  <c r="BO84" i="6"/>
  <c r="BP84" i="6"/>
  <c r="BN88" i="6"/>
  <c r="BO88" i="6"/>
  <c r="BP88" i="6"/>
  <c r="BN89" i="6"/>
  <c r="BO89" i="6"/>
  <c r="BP89" i="6"/>
  <c r="BN90" i="6"/>
  <c r="BO90" i="6"/>
  <c r="BP90" i="6"/>
  <c r="BN91" i="6"/>
  <c r="BO91" i="6"/>
  <c r="BP91" i="6"/>
  <c r="BN82" i="6"/>
  <c r="BO82" i="6"/>
  <c r="BP82" i="6"/>
  <c r="BN83" i="6"/>
  <c r="BO83" i="6"/>
  <c r="BP83" i="6"/>
  <c r="BN80" i="6"/>
  <c r="BO80" i="6"/>
  <c r="BP80" i="6"/>
  <c r="BN81" i="6"/>
  <c r="BO81" i="6"/>
  <c r="BP81" i="6"/>
  <c r="BN94" i="6"/>
  <c r="BO94" i="6"/>
  <c r="BP94" i="6"/>
  <c r="BN85" i="6"/>
  <c r="BO85" i="6"/>
  <c r="BP85" i="6"/>
  <c r="BN86" i="6"/>
  <c r="BO86" i="6"/>
  <c r="BP86" i="6"/>
  <c r="BN87" i="6"/>
  <c r="BO87" i="6"/>
  <c r="BP87" i="6"/>
  <c r="BN92" i="6"/>
  <c r="BO92" i="6"/>
  <c r="BP92" i="6"/>
  <c r="BN93" i="6"/>
  <c r="BO93" i="6"/>
  <c r="BP93" i="6"/>
  <c r="BN127" i="6"/>
  <c r="BO127" i="6"/>
  <c r="BP127" i="6"/>
  <c r="BN128" i="6"/>
  <c r="BO128" i="6"/>
  <c r="BP128" i="6"/>
  <c r="BN129" i="6"/>
  <c r="BO129" i="6"/>
  <c r="BP129" i="6"/>
  <c r="BN136" i="6"/>
  <c r="BO136" i="6"/>
  <c r="BP136" i="6"/>
  <c r="BN137" i="6"/>
  <c r="BO137" i="6"/>
  <c r="BP137" i="6"/>
  <c r="BN134" i="6"/>
  <c r="BO134" i="6"/>
  <c r="BP134" i="6"/>
  <c r="BN138" i="6"/>
  <c r="BO138" i="6"/>
  <c r="BP138" i="6"/>
  <c r="BN139" i="6"/>
  <c r="BO139" i="6"/>
  <c r="BP139" i="6"/>
  <c r="BN131" i="6"/>
  <c r="BO131" i="6"/>
  <c r="BP131" i="6"/>
  <c r="BN140" i="6"/>
  <c r="BO140" i="6"/>
  <c r="BP140" i="6"/>
  <c r="BN142" i="6"/>
  <c r="BO142" i="6"/>
  <c r="BP142" i="6"/>
  <c r="BN147" i="6"/>
  <c r="BO147" i="6"/>
  <c r="BP147" i="6"/>
  <c r="J20" i="7" l="1"/>
  <c r="I20" i="7"/>
  <c r="J24" i="7"/>
  <c r="I24" i="7"/>
  <c r="L18" i="1"/>
  <c r="I17" i="1"/>
  <c r="J17" i="1"/>
  <c r="H17" i="1"/>
  <c r="H19" i="7" s="1"/>
  <c r="J48" i="1"/>
  <c r="I48" i="1"/>
  <c r="BO199" i="6"/>
  <c r="H48" i="1"/>
  <c r="H50" i="7" s="1"/>
  <c r="BN199" i="6"/>
  <c r="H16" i="1"/>
  <c r="H18" i="7" s="1"/>
  <c r="J16" i="1"/>
  <c r="H32" i="1"/>
  <c r="H34" i="7" s="1"/>
  <c r="J49" i="2"/>
  <c r="H25" i="2"/>
  <c r="I25" i="7" s="1"/>
  <c r="I24" i="1"/>
  <c r="I21" i="1" s="1"/>
  <c r="H41" i="1"/>
  <c r="H43" i="7" s="1"/>
  <c r="H31" i="1"/>
  <c r="H33" i="7" s="1"/>
  <c r="I29" i="1"/>
  <c r="I28" i="1" s="1"/>
  <c r="J49" i="1"/>
  <c r="I38" i="1"/>
  <c r="J33" i="1"/>
  <c r="H29" i="1"/>
  <c r="J24" i="1"/>
  <c r="J21" i="1" s="1"/>
  <c r="I20" i="1"/>
  <c r="I19" i="1" s="1"/>
  <c r="I16" i="1"/>
  <c r="H38" i="1"/>
  <c r="H40" i="7" s="1"/>
  <c r="J32" i="1"/>
  <c r="J38" i="1"/>
  <c r="I49" i="1"/>
  <c r="J41" i="1"/>
  <c r="I33" i="1"/>
  <c r="J31" i="1"/>
  <c r="H20" i="1"/>
  <c r="H49" i="1"/>
  <c r="H51" i="7" s="1"/>
  <c r="I41" i="1"/>
  <c r="H33" i="1"/>
  <c r="H35" i="7" s="1"/>
  <c r="I32" i="1"/>
  <c r="I31" i="1"/>
  <c r="J29" i="1"/>
  <c r="J28" i="1" s="1"/>
  <c r="H24" i="1"/>
  <c r="I49" i="2"/>
  <c r="J49" i="7" s="1"/>
  <c r="H49" i="2"/>
  <c r="I49" i="7" s="1"/>
  <c r="J25" i="2"/>
  <c r="I25" i="2"/>
  <c r="J25" i="7" s="1"/>
  <c r="J34" i="2"/>
  <c r="I26" i="2"/>
  <c r="J35" i="2"/>
  <c r="J26" i="2"/>
  <c r="H26" i="2"/>
  <c r="I40" i="2"/>
  <c r="J51" i="2"/>
  <c r="H40" i="2"/>
  <c r="H51" i="2"/>
  <c r="J40" i="2"/>
  <c r="I35" i="2"/>
  <c r="H35" i="2"/>
  <c r="H34" i="2"/>
  <c r="I51" i="2"/>
  <c r="I34" i="2"/>
  <c r="J18" i="2"/>
  <c r="I18" i="2"/>
  <c r="H18" i="2"/>
  <c r="J48" i="2"/>
  <c r="I48" i="2"/>
  <c r="J48" i="7" s="1"/>
  <c r="H48" i="2"/>
  <c r="I48" i="7" s="1"/>
  <c r="I40" i="7" l="1"/>
  <c r="I26" i="7"/>
  <c r="J26" i="7"/>
  <c r="J51" i="7"/>
  <c r="I34" i="7"/>
  <c r="J34" i="7"/>
  <c r="I35" i="7"/>
  <c r="J35" i="7"/>
  <c r="I18" i="7"/>
  <c r="J40" i="7"/>
  <c r="J18" i="7"/>
  <c r="I51" i="7"/>
  <c r="H19" i="1"/>
  <c r="H22" i="7"/>
  <c r="H21" i="1"/>
  <c r="H26" i="7"/>
  <c r="J50" i="7"/>
  <c r="H28" i="1"/>
  <c r="H31" i="7"/>
  <c r="I50" i="7"/>
  <c r="L17" i="1"/>
  <c r="L16" i="1"/>
  <c r="I45" i="1"/>
  <c r="I50" i="1" s="1"/>
  <c r="H45" i="1"/>
  <c r="J45" i="1"/>
  <c r="J50" i="1" s="1"/>
  <c r="H37" i="1"/>
  <c r="J37" i="1"/>
  <c r="J42" i="1" s="1"/>
  <c r="I37" i="1"/>
  <c r="I42" i="1" s="1"/>
  <c r="H30" i="1"/>
  <c r="H23" i="2"/>
  <c r="I25" i="1"/>
  <c r="I30" i="1"/>
  <c r="I34" i="1" s="1"/>
  <c r="J30" i="1"/>
  <c r="J34" i="1" s="1"/>
  <c r="I23" i="2"/>
  <c r="J23" i="2"/>
  <c r="H47" i="2"/>
  <c r="I47" i="2"/>
  <c r="J47" i="2"/>
  <c r="J52" i="2" s="1"/>
  <c r="H25" i="1" l="1"/>
  <c r="H42" i="1"/>
  <c r="H50" i="1"/>
  <c r="H34" i="1"/>
  <c r="H32" i="7"/>
  <c r="I52" i="2"/>
  <c r="H52" i="2"/>
  <c r="I52" i="1"/>
  <c r="AS5" i="6"/>
  <c r="AU5" i="6"/>
  <c r="AT5" i="6"/>
  <c r="H52" i="1" l="1"/>
  <c r="J19" i="2"/>
  <c r="J17" i="2" s="1"/>
  <c r="I19" i="2"/>
  <c r="J19" i="7" s="1"/>
  <c r="H19" i="2"/>
  <c r="I19" i="7" s="1"/>
  <c r="AK142" i="6"/>
  <c r="B93" i="6"/>
  <c r="AC93" i="6"/>
  <c r="AD93" i="6"/>
  <c r="AE93" i="6"/>
  <c r="AF93" i="6"/>
  <c r="AG93" i="6"/>
  <c r="AH93" i="6"/>
  <c r="AI93" i="6"/>
  <c r="AJ93" i="6"/>
  <c r="AK93" i="6"/>
  <c r="AL93" i="6"/>
  <c r="AM93" i="6"/>
  <c r="AN93" i="6"/>
  <c r="AO93" i="6"/>
  <c r="AP93" i="6"/>
  <c r="AQ93" i="6"/>
  <c r="AR93" i="6"/>
  <c r="AX93" i="6"/>
  <c r="AY93" i="6"/>
  <c r="AZ93" i="6"/>
  <c r="BA93" i="6"/>
  <c r="BB93" i="6"/>
  <c r="BC93" i="6"/>
  <c r="BD93" i="6"/>
  <c r="BE93" i="6"/>
  <c r="BF93" i="6"/>
  <c r="BG93" i="6"/>
  <c r="BH93" i="6"/>
  <c r="BI93" i="6"/>
  <c r="BJ93" i="6"/>
  <c r="BK93" i="6"/>
  <c r="BL93" i="6"/>
  <c r="BM93" i="6"/>
  <c r="BS93" i="6" l="1"/>
  <c r="BT93" i="6"/>
  <c r="BR93" i="6"/>
  <c r="H17" i="2"/>
  <c r="I17" i="7" s="1"/>
  <c r="I17" i="2"/>
  <c r="J17" i="7" s="1"/>
  <c r="AC75" i="6"/>
  <c r="AD75" i="6"/>
  <c r="AE75" i="6"/>
  <c r="AF75" i="6"/>
  <c r="AG75" i="6"/>
  <c r="AH75" i="6"/>
  <c r="AI75" i="6"/>
  <c r="AJ75" i="6"/>
  <c r="AK75" i="6"/>
  <c r="AL75" i="6"/>
  <c r="AM75" i="6"/>
  <c r="AN75" i="6"/>
  <c r="AO75" i="6"/>
  <c r="AP75" i="6"/>
  <c r="AQ75" i="6"/>
  <c r="AR75" i="6"/>
  <c r="AX75" i="6"/>
  <c r="AY75" i="6"/>
  <c r="AZ75" i="6"/>
  <c r="BA75" i="6"/>
  <c r="BB75" i="6"/>
  <c r="BC75" i="6"/>
  <c r="BD75" i="6"/>
  <c r="BE75" i="6"/>
  <c r="BF75" i="6"/>
  <c r="BG75" i="6"/>
  <c r="BH75" i="6"/>
  <c r="BI75" i="6"/>
  <c r="BJ75" i="6"/>
  <c r="BK75" i="6"/>
  <c r="BL75" i="6"/>
  <c r="BM75" i="6"/>
  <c r="B185" i="6"/>
  <c r="Z166" i="6"/>
  <c r="AC166" i="6"/>
  <c r="AD166" i="6"/>
  <c r="AE166" i="6"/>
  <c r="AF166" i="6"/>
  <c r="AG166" i="6"/>
  <c r="AH166" i="6"/>
  <c r="AI166" i="6"/>
  <c r="AJ166" i="6"/>
  <c r="AK166" i="6"/>
  <c r="AL166" i="6"/>
  <c r="AM166" i="6"/>
  <c r="AN166" i="6"/>
  <c r="AO166" i="6"/>
  <c r="AP166" i="6"/>
  <c r="AQ166" i="6"/>
  <c r="AR166" i="6"/>
  <c r="AX166" i="6"/>
  <c r="AY166" i="6"/>
  <c r="AZ166" i="6"/>
  <c r="BA166" i="6"/>
  <c r="BB166" i="6"/>
  <c r="BC166" i="6"/>
  <c r="BD166" i="6"/>
  <c r="BE166" i="6"/>
  <c r="BF166" i="6"/>
  <c r="BG166" i="6"/>
  <c r="BH166" i="6"/>
  <c r="BI166" i="6"/>
  <c r="BJ166" i="6"/>
  <c r="BK166" i="6"/>
  <c r="BL166" i="6"/>
  <c r="BM166" i="6"/>
  <c r="BS166" i="6" l="1"/>
  <c r="BT166" i="6"/>
  <c r="BS75" i="6"/>
  <c r="BT75" i="6"/>
  <c r="BR75" i="6"/>
  <c r="BR166" i="6"/>
  <c r="Z4" i="6"/>
  <c r="BA34" i="6" l="1"/>
  <c r="BA38" i="6"/>
  <c r="BA39" i="6"/>
  <c r="BA36" i="6"/>
  <c r="BA40" i="6"/>
  <c r="BA35" i="6"/>
  <c r="BA41" i="6"/>
  <c r="BA42" i="6"/>
  <c r="BA43" i="6"/>
  <c r="BA44" i="6"/>
  <c r="AZ34" i="6"/>
  <c r="AC31" i="6" l="1"/>
  <c r="AD31" i="6"/>
  <c r="AE31" i="6"/>
  <c r="AF31" i="6"/>
  <c r="AG31" i="6"/>
  <c r="AH31" i="6"/>
  <c r="AI31" i="6"/>
  <c r="AJ31" i="6"/>
  <c r="AK31" i="6"/>
  <c r="AL31" i="6"/>
  <c r="AM31" i="6"/>
  <c r="AN31" i="6"/>
  <c r="AO31" i="6"/>
  <c r="AP31" i="6"/>
  <c r="AQ31" i="6"/>
  <c r="AR31" i="6"/>
  <c r="AX31" i="6"/>
  <c r="AY31" i="6"/>
  <c r="AZ31" i="6"/>
  <c r="BA31" i="6"/>
  <c r="BD31" i="6"/>
  <c r="BE31" i="6"/>
  <c r="BF31" i="6"/>
  <c r="BG31" i="6"/>
  <c r="BH31" i="6"/>
  <c r="BI31" i="6"/>
  <c r="BJ31" i="6"/>
  <c r="BK31" i="6"/>
  <c r="BL31" i="6"/>
  <c r="BM31" i="6"/>
  <c r="BM150" i="6"/>
  <c r="BL150" i="6"/>
  <c r="BK150" i="6"/>
  <c r="BJ150" i="6"/>
  <c r="BI150" i="6"/>
  <c r="BH150" i="6"/>
  <c r="BG150" i="6"/>
  <c r="BF150" i="6"/>
  <c r="BE150" i="6"/>
  <c r="BD150" i="6"/>
  <c r="BA150" i="6"/>
  <c r="AZ150" i="6"/>
  <c r="AY150" i="6"/>
  <c r="AX150" i="6"/>
  <c r="AR150" i="6"/>
  <c r="AQ150" i="6"/>
  <c r="AP150" i="6"/>
  <c r="AO150" i="6"/>
  <c r="AN150" i="6"/>
  <c r="AM150" i="6"/>
  <c r="AL150" i="6"/>
  <c r="AK150" i="6"/>
  <c r="AJ150" i="6"/>
  <c r="AI150" i="6"/>
  <c r="AH150" i="6"/>
  <c r="AG150" i="6"/>
  <c r="AF150" i="6"/>
  <c r="AE150" i="6"/>
  <c r="AD150" i="6"/>
  <c r="AC150" i="6"/>
  <c r="Z150" i="6"/>
  <c r="D153" i="6"/>
  <c r="AI167" i="6"/>
  <c r="AC165" i="6"/>
  <c r="AD165" i="6"/>
  <c r="AJ165" i="6"/>
  <c r="AH165" i="6"/>
  <c r="BE9" i="6"/>
  <c r="BS31" i="6" l="1"/>
  <c r="BT31" i="6"/>
  <c r="BS153" i="6"/>
  <c r="BS150" i="6"/>
  <c r="BT150" i="6"/>
  <c r="D152" i="6"/>
  <c r="Z152" i="6"/>
  <c r="Z153" i="6"/>
  <c r="BR150" i="6"/>
  <c r="BR31" i="6"/>
  <c r="AT15" i="6"/>
  <c r="AS15" i="6"/>
  <c r="AU15" i="6"/>
  <c r="BS152" i="6" l="1"/>
  <c r="H22" i="2"/>
  <c r="I22" i="7" s="1"/>
  <c r="J22" i="2"/>
  <c r="J21" i="2" s="1"/>
  <c r="J27" i="2" s="1"/>
  <c r="I22" i="2"/>
  <c r="I21" i="2" l="1"/>
  <c r="H21" i="2"/>
  <c r="B85" i="6"/>
  <c r="AC85" i="6"/>
  <c r="AD85" i="6"/>
  <c r="AE85" i="6"/>
  <c r="AF85" i="6"/>
  <c r="AG85" i="6"/>
  <c r="AH85" i="6"/>
  <c r="AI85" i="6"/>
  <c r="AJ85" i="6"/>
  <c r="AK85" i="6"/>
  <c r="AL85" i="6"/>
  <c r="AM85" i="6"/>
  <c r="AN85" i="6"/>
  <c r="AO85" i="6"/>
  <c r="AP85" i="6"/>
  <c r="AQ85" i="6"/>
  <c r="AR85" i="6"/>
  <c r="AX85" i="6"/>
  <c r="AY85" i="6"/>
  <c r="AZ85" i="6"/>
  <c r="BA85" i="6"/>
  <c r="BB85" i="6"/>
  <c r="BC85" i="6"/>
  <c r="BD85" i="6"/>
  <c r="BE85" i="6"/>
  <c r="BF85" i="6"/>
  <c r="BG85" i="6"/>
  <c r="BH85" i="6"/>
  <c r="BI85" i="6"/>
  <c r="BJ85" i="6"/>
  <c r="BK85" i="6"/>
  <c r="BL85" i="6"/>
  <c r="BM85" i="6"/>
  <c r="J199" i="6"/>
  <c r="K199" i="6"/>
  <c r="L199" i="6"/>
  <c r="O199" i="6"/>
  <c r="AA199" i="6"/>
  <c r="AB199" i="6"/>
  <c r="G199" i="6"/>
  <c r="BS85" i="6" l="1"/>
  <c r="BT85" i="6"/>
  <c r="BR85" i="6"/>
  <c r="I27" i="2"/>
  <c r="H27" i="2"/>
  <c r="AU86" i="6"/>
  <c r="AS86" i="6"/>
  <c r="AT86" i="6"/>
  <c r="AT87" i="6"/>
  <c r="AS87" i="6"/>
  <c r="AU87" i="6"/>
  <c r="AI70" i="6"/>
  <c r="B44" i="6"/>
  <c r="AC44" i="6"/>
  <c r="AD44" i="6"/>
  <c r="AE44" i="6"/>
  <c r="AF44" i="6"/>
  <c r="AG44" i="6"/>
  <c r="AH44" i="6"/>
  <c r="AI44" i="6"/>
  <c r="AJ44" i="6"/>
  <c r="AK44" i="6"/>
  <c r="AL44" i="6"/>
  <c r="AM44" i="6"/>
  <c r="AN44" i="6"/>
  <c r="AO44" i="6"/>
  <c r="AP44" i="6"/>
  <c r="AQ44" i="6"/>
  <c r="AR44" i="6"/>
  <c r="AX44" i="6"/>
  <c r="AY44" i="6"/>
  <c r="AZ44" i="6"/>
  <c r="BB44" i="6"/>
  <c r="BC44" i="6"/>
  <c r="BD44" i="6"/>
  <c r="BE44" i="6"/>
  <c r="BF44" i="6"/>
  <c r="BG44" i="6"/>
  <c r="BH44" i="6"/>
  <c r="BI44" i="6"/>
  <c r="BJ44" i="6"/>
  <c r="BK44" i="6"/>
  <c r="BL44" i="6"/>
  <c r="BM44" i="6"/>
  <c r="BS44" i="6" l="1"/>
  <c r="BT44" i="6"/>
  <c r="BR44" i="6"/>
  <c r="H43" i="2"/>
  <c r="I43" i="7" s="1"/>
  <c r="Z68" i="6"/>
  <c r="I43" i="2"/>
  <c r="J43" i="7" s="1"/>
  <c r="J43" i="2"/>
  <c r="J39" i="2" s="1"/>
  <c r="J44" i="2" s="1"/>
  <c r="H39" i="2" l="1"/>
  <c r="I39" i="2"/>
  <c r="B43" i="6"/>
  <c r="AC43" i="6"/>
  <c r="AD43" i="6"/>
  <c r="AE43" i="6"/>
  <c r="AF43" i="6"/>
  <c r="AG43" i="6"/>
  <c r="AH43" i="6"/>
  <c r="AI43" i="6"/>
  <c r="AJ43" i="6"/>
  <c r="AK43" i="6"/>
  <c r="AL43" i="6"/>
  <c r="AM43" i="6"/>
  <c r="AN43" i="6"/>
  <c r="AO43" i="6"/>
  <c r="AP43" i="6"/>
  <c r="AQ43" i="6"/>
  <c r="AR43" i="6"/>
  <c r="AX43" i="6"/>
  <c r="AY43" i="6"/>
  <c r="AZ43" i="6"/>
  <c r="BB43" i="6"/>
  <c r="BC43" i="6"/>
  <c r="BD43" i="6"/>
  <c r="BE43" i="6"/>
  <c r="BF43" i="6"/>
  <c r="BG43" i="6"/>
  <c r="BH43" i="6"/>
  <c r="BI43" i="6"/>
  <c r="BJ43" i="6"/>
  <c r="BK43" i="6"/>
  <c r="BL43" i="6"/>
  <c r="BM43" i="6"/>
  <c r="BD41" i="6"/>
  <c r="BD38" i="6"/>
  <c r="BS43" i="6" l="1"/>
  <c r="BT43" i="6"/>
  <c r="I44" i="2"/>
  <c r="H44" i="2"/>
  <c r="BR43" i="6"/>
  <c r="BD5" i="6"/>
  <c r="D47" i="2" l="1"/>
  <c r="AF136" i="6" l="1"/>
  <c r="U199" i="6"/>
  <c r="B138" i="6"/>
  <c r="AC138" i="6"/>
  <c r="AD138" i="6"/>
  <c r="AE138" i="6"/>
  <c r="AF138" i="6"/>
  <c r="AG138" i="6"/>
  <c r="AH138" i="6"/>
  <c r="AI138" i="6"/>
  <c r="AJ138" i="6"/>
  <c r="AK138" i="6"/>
  <c r="AL138" i="6"/>
  <c r="AM138" i="6"/>
  <c r="AN138" i="6"/>
  <c r="AO138" i="6"/>
  <c r="AP138" i="6"/>
  <c r="AQ138" i="6"/>
  <c r="AR138" i="6"/>
  <c r="AX138" i="6"/>
  <c r="AY138" i="6"/>
  <c r="AZ138" i="6"/>
  <c r="BA138" i="6"/>
  <c r="BB138" i="6"/>
  <c r="BC138" i="6"/>
  <c r="BD138" i="6"/>
  <c r="BE138" i="6"/>
  <c r="BF138" i="6"/>
  <c r="BG138" i="6"/>
  <c r="BH138" i="6"/>
  <c r="BI138" i="6"/>
  <c r="BJ138" i="6"/>
  <c r="BK138" i="6"/>
  <c r="BL138" i="6"/>
  <c r="BM138" i="6"/>
  <c r="B134" i="6"/>
  <c r="AC134" i="6"/>
  <c r="AD134" i="6"/>
  <c r="AE134" i="6"/>
  <c r="AF134" i="6"/>
  <c r="AG134" i="6"/>
  <c r="AH134" i="6"/>
  <c r="AI134" i="6"/>
  <c r="AJ134" i="6"/>
  <c r="AK134" i="6"/>
  <c r="AL134" i="6"/>
  <c r="AM134" i="6"/>
  <c r="AN134" i="6"/>
  <c r="AO134" i="6"/>
  <c r="AP134" i="6"/>
  <c r="AQ134" i="6"/>
  <c r="AR134" i="6"/>
  <c r="AX134" i="6"/>
  <c r="AY134" i="6"/>
  <c r="AZ134" i="6"/>
  <c r="BA134" i="6"/>
  <c r="BB134" i="6"/>
  <c r="BC134" i="6"/>
  <c r="BD134" i="6"/>
  <c r="BE134" i="6"/>
  <c r="BF134" i="6"/>
  <c r="BG134" i="6"/>
  <c r="BH134" i="6"/>
  <c r="BI134" i="6"/>
  <c r="BJ134" i="6"/>
  <c r="BK134" i="6"/>
  <c r="BL134" i="6"/>
  <c r="BM134" i="6"/>
  <c r="B136" i="6"/>
  <c r="AC136" i="6"/>
  <c r="AD136" i="6"/>
  <c r="AE136" i="6"/>
  <c r="AG136" i="6"/>
  <c r="AH136" i="6"/>
  <c r="AI136" i="6"/>
  <c r="AJ136" i="6"/>
  <c r="AK136" i="6"/>
  <c r="AL136" i="6"/>
  <c r="AM136" i="6"/>
  <c r="AN136" i="6"/>
  <c r="AO136" i="6"/>
  <c r="AP136" i="6"/>
  <c r="AQ136" i="6"/>
  <c r="AR136" i="6"/>
  <c r="AX136" i="6"/>
  <c r="AY136" i="6"/>
  <c r="AZ136" i="6"/>
  <c r="BA136" i="6"/>
  <c r="BB136" i="6"/>
  <c r="BC136" i="6"/>
  <c r="BD136" i="6"/>
  <c r="BE136" i="6"/>
  <c r="BF136" i="6"/>
  <c r="BG136" i="6"/>
  <c r="BH136" i="6"/>
  <c r="BI136" i="6"/>
  <c r="BJ136" i="6"/>
  <c r="BK136" i="6"/>
  <c r="BL136" i="6"/>
  <c r="BM136" i="6"/>
  <c r="B137" i="6"/>
  <c r="AC137" i="6"/>
  <c r="AD137" i="6"/>
  <c r="AE137" i="6"/>
  <c r="AG137" i="6"/>
  <c r="AH137" i="6"/>
  <c r="AI137" i="6"/>
  <c r="AJ137" i="6"/>
  <c r="AK137" i="6"/>
  <c r="AL137" i="6"/>
  <c r="AM137" i="6"/>
  <c r="AN137" i="6"/>
  <c r="AO137" i="6"/>
  <c r="AP137" i="6"/>
  <c r="AQ137" i="6"/>
  <c r="AR137" i="6"/>
  <c r="AX137" i="6"/>
  <c r="AY137" i="6"/>
  <c r="AZ137" i="6"/>
  <c r="BA137" i="6"/>
  <c r="BB137" i="6"/>
  <c r="BC137" i="6"/>
  <c r="BD137" i="6"/>
  <c r="BE137" i="6"/>
  <c r="BF137" i="6"/>
  <c r="BG137" i="6"/>
  <c r="BH137" i="6"/>
  <c r="BI137" i="6"/>
  <c r="BJ137" i="6"/>
  <c r="BK137" i="6"/>
  <c r="BL137" i="6"/>
  <c r="BM137" i="6"/>
  <c r="B129" i="6"/>
  <c r="AC129" i="6"/>
  <c r="AD129" i="6"/>
  <c r="AE129" i="6"/>
  <c r="AF129" i="6"/>
  <c r="AG129" i="6"/>
  <c r="AH129" i="6"/>
  <c r="AI129" i="6"/>
  <c r="AJ129" i="6"/>
  <c r="AK129" i="6"/>
  <c r="AL129" i="6"/>
  <c r="AM129" i="6"/>
  <c r="AN129" i="6"/>
  <c r="AO129" i="6"/>
  <c r="AP129" i="6"/>
  <c r="AQ129" i="6"/>
  <c r="AR129" i="6"/>
  <c r="AX129" i="6"/>
  <c r="AY129" i="6"/>
  <c r="AZ129" i="6"/>
  <c r="BA129" i="6"/>
  <c r="BB129" i="6"/>
  <c r="BC129" i="6"/>
  <c r="BD129" i="6"/>
  <c r="BE129" i="6"/>
  <c r="BF129" i="6"/>
  <c r="BG129" i="6"/>
  <c r="BH129" i="6"/>
  <c r="BI129" i="6"/>
  <c r="BJ129" i="6"/>
  <c r="BK129" i="6"/>
  <c r="BL129" i="6"/>
  <c r="BM129" i="6"/>
  <c r="BS136" i="6" l="1"/>
  <c r="BS129" i="6"/>
  <c r="BT129" i="6"/>
  <c r="BT137" i="6"/>
  <c r="BT136" i="6"/>
  <c r="BS134" i="6"/>
  <c r="BT134" i="6"/>
  <c r="BS137" i="6"/>
  <c r="BS138" i="6"/>
  <c r="BT138" i="6"/>
  <c r="BR136" i="6"/>
  <c r="BR134" i="6"/>
  <c r="BR138" i="6"/>
  <c r="BR137" i="6"/>
  <c r="BR129" i="6"/>
  <c r="N199" i="6"/>
  <c r="B131" i="6"/>
  <c r="AC131" i="6"/>
  <c r="AD131" i="6"/>
  <c r="AE131" i="6"/>
  <c r="AF131" i="6"/>
  <c r="AG131" i="6"/>
  <c r="AH131" i="6"/>
  <c r="AI131" i="6"/>
  <c r="AJ131" i="6"/>
  <c r="AK131" i="6"/>
  <c r="AL131" i="6"/>
  <c r="AM131" i="6"/>
  <c r="AN131" i="6"/>
  <c r="AO131" i="6"/>
  <c r="AP131" i="6"/>
  <c r="AQ131" i="6"/>
  <c r="AR131" i="6"/>
  <c r="AX131" i="6"/>
  <c r="AY131" i="6"/>
  <c r="AZ131" i="6"/>
  <c r="BA131" i="6"/>
  <c r="BB131" i="6"/>
  <c r="BC131" i="6"/>
  <c r="BD131" i="6"/>
  <c r="BE131" i="6"/>
  <c r="BF131" i="6"/>
  <c r="BG131" i="6"/>
  <c r="BH131" i="6"/>
  <c r="BI131" i="6"/>
  <c r="BJ131" i="6"/>
  <c r="BK131" i="6"/>
  <c r="BL131" i="6"/>
  <c r="BM131" i="6"/>
  <c r="B140" i="6"/>
  <c r="AC140" i="6"/>
  <c r="AD140" i="6"/>
  <c r="AE140" i="6"/>
  <c r="AF140" i="6"/>
  <c r="AG140" i="6"/>
  <c r="AH140" i="6"/>
  <c r="AI140" i="6"/>
  <c r="AJ140" i="6"/>
  <c r="AK140" i="6"/>
  <c r="AL140" i="6"/>
  <c r="AM140" i="6"/>
  <c r="AN140" i="6"/>
  <c r="AO140" i="6"/>
  <c r="AP140" i="6"/>
  <c r="AQ140" i="6"/>
  <c r="AR140" i="6"/>
  <c r="AX140" i="6"/>
  <c r="AY140" i="6"/>
  <c r="AZ140" i="6"/>
  <c r="BA140" i="6"/>
  <c r="BB140" i="6"/>
  <c r="BC140" i="6"/>
  <c r="BD140" i="6"/>
  <c r="BE140" i="6"/>
  <c r="BF140" i="6"/>
  <c r="BG140" i="6"/>
  <c r="BH140" i="6"/>
  <c r="BI140" i="6"/>
  <c r="BJ140" i="6"/>
  <c r="BK140" i="6"/>
  <c r="BL140" i="6"/>
  <c r="BM140" i="6"/>
  <c r="B142" i="6"/>
  <c r="AC142" i="6"/>
  <c r="AD142" i="6"/>
  <c r="AE142" i="6"/>
  <c r="AF142" i="6"/>
  <c r="AG142" i="6"/>
  <c r="AH142" i="6"/>
  <c r="AI142" i="6"/>
  <c r="AJ142" i="6"/>
  <c r="AL142" i="6"/>
  <c r="AM142" i="6"/>
  <c r="AN142" i="6"/>
  <c r="AO142" i="6"/>
  <c r="AP142" i="6"/>
  <c r="AQ142" i="6"/>
  <c r="AR142" i="6"/>
  <c r="AX142" i="6"/>
  <c r="AY142" i="6"/>
  <c r="AZ142" i="6"/>
  <c r="BA142" i="6"/>
  <c r="BB142" i="6"/>
  <c r="BC142" i="6"/>
  <c r="BD142" i="6"/>
  <c r="BE142" i="6"/>
  <c r="BF142" i="6"/>
  <c r="BG142" i="6"/>
  <c r="BH142" i="6"/>
  <c r="BI142" i="6"/>
  <c r="BJ142" i="6"/>
  <c r="BK142" i="6"/>
  <c r="BL142" i="6"/>
  <c r="BM142" i="6"/>
  <c r="B139" i="6"/>
  <c r="AC139" i="6"/>
  <c r="AD139" i="6"/>
  <c r="AE139" i="6"/>
  <c r="AF139" i="6"/>
  <c r="AG139" i="6"/>
  <c r="AH139" i="6"/>
  <c r="AI139" i="6"/>
  <c r="AJ139" i="6"/>
  <c r="AK139" i="6"/>
  <c r="AL139" i="6"/>
  <c r="AM139" i="6"/>
  <c r="AN139" i="6"/>
  <c r="AO139" i="6"/>
  <c r="AP139" i="6"/>
  <c r="AQ139" i="6"/>
  <c r="AR139" i="6"/>
  <c r="AX139" i="6"/>
  <c r="AY139" i="6"/>
  <c r="AZ139" i="6"/>
  <c r="BA139" i="6"/>
  <c r="BB139" i="6"/>
  <c r="BC139" i="6"/>
  <c r="BD139" i="6"/>
  <c r="BE139" i="6"/>
  <c r="BF139" i="6"/>
  <c r="BG139" i="6"/>
  <c r="BH139" i="6"/>
  <c r="BI139" i="6"/>
  <c r="BJ139" i="6"/>
  <c r="BK139" i="6"/>
  <c r="BL139" i="6"/>
  <c r="BM139" i="6"/>
  <c r="BS139" i="6" l="1"/>
  <c r="BT139" i="6"/>
  <c r="BT142" i="6"/>
  <c r="BS142" i="6"/>
  <c r="BS140" i="6"/>
  <c r="BT140" i="6"/>
  <c r="BS131" i="6"/>
  <c r="BT131" i="6"/>
  <c r="BR131" i="6"/>
  <c r="BR139" i="6"/>
  <c r="BR142" i="6"/>
  <c r="BR140" i="6"/>
  <c r="Z170" i="6"/>
  <c r="Z202" i="6" s="1"/>
  <c r="B42" i="6" l="1"/>
  <c r="AC42" i="6"/>
  <c r="AD42" i="6"/>
  <c r="AE42" i="6"/>
  <c r="AF42" i="6"/>
  <c r="AG42" i="6"/>
  <c r="AH42" i="6"/>
  <c r="AI42" i="6"/>
  <c r="AJ42" i="6"/>
  <c r="AK42" i="6"/>
  <c r="AL42" i="6"/>
  <c r="AM42" i="6"/>
  <c r="AN42" i="6"/>
  <c r="AO42" i="6"/>
  <c r="AP42" i="6"/>
  <c r="AQ42" i="6"/>
  <c r="AR42" i="6"/>
  <c r="AX42" i="6"/>
  <c r="AY42" i="6"/>
  <c r="AZ42" i="6"/>
  <c r="BB42" i="6"/>
  <c r="BC42" i="6"/>
  <c r="BD42" i="6"/>
  <c r="BE42" i="6"/>
  <c r="BF42" i="6"/>
  <c r="BG42" i="6"/>
  <c r="BH42" i="6"/>
  <c r="BI42" i="6"/>
  <c r="BJ42" i="6"/>
  <c r="BK42" i="6"/>
  <c r="BL42" i="6"/>
  <c r="BM42" i="6"/>
  <c r="D35" i="6"/>
  <c r="BS42" i="6" l="1"/>
  <c r="BT42" i="6"/>
  <c r="BR42" i="6"/>
  <c r="AT35" i="6"/>
  <c r="AU35" i="6"/>
  <c r="AS35" i="6"/>
  <c r="H31" i="2" l="1"/>
  <c r="I31" i="7" s="1"/>
  <c r="J31" i="2"/>
  <c r="J30" i="2" s="1"/>
  <c r="I31" i="2"/>
  <c r="J31" i="7" s="1"/>
  <c r="BL68" i="6"/>
  <c r="H30" i="2" l="1"/>
  <c r="I30" i="2"/>
  <c r="AX165" i="6" l="1"/>
  <c r="AY165" i="6"/>
  <c r="B40" i="6" l="1"/>
  <c r="AC40" i="6"/>
  <c r="AD40" i="6"/>
  <c r="AE40" i="6"/>
  <c r="AF40" i="6"/>
  <c r="AG40" i="6"/>
  <c r="AH40" i="6"/>
  <c r="AI40" i="6"/>
  <c r="AJ40" i="6"/>
  <c r="AK40" i="6"/>
  <c r="AL40" i="6"/>
  <c r="AM40" i="6"/>
  <c r="AN40" i="6"/>
  <c r="AO40" i="6"/>
  <c r="AP40" i="6"/>
  <c r="AQ40" i="6"/>
  <c r="AR40" i="6"/>
  <c r="AX40" i="6"/>
  <c r="AY40" i="6"/>
  <c r="AZ40" i="6"/>
  <c r="BB40" i="6"/>
  <c r="BC40" i="6"/>
  <c r="BD40" i="6"/>
  <c r="BE40" i="6"/>
  <c r="BF40" i="6"/>
  <c r="BG40" i="6"/>
  <c r="BH40" i="6"/>
  <c r="BI40" i="6"/>
  <c r="BJ40" i="6"/>
  <c r="BK40" i="6"/>
  <c r="BL40" i="6"/>
  <c r="BM40" i="6"/>
  <c r="BS40" i="6" l="1"/>
  <c r="BT40" i="6"/>
  <c r="BR40" i="6"/>
  <c r="AC15" i="6"/>
  <c r="AD15" i="6"/>
  <c r="AE15" i="6"/>
  <c r="AF15" i="6"/>
  <c r="AG15" i="6"/>
  <c r="AH15" i="6"/>
  <c r="AI15" i="6"/>
  <c r="AJ15" i="6"/>
  <c r="AK15" i="6"/>
  <c r="AL15" i="6"/>
  <c r="AM15" i="6"/>
  <c r="AN15" i="6"/>
  <c r="AO15" i="6"/>
  <c r="AP15" i="6"/>
  <c r="AR15" i="6"/>
  <c r="AX15" i="6"/>
  <c r="AY15" i="6"/>
  <c r="AZ15" i="6"/>
  <c r="BA15" i="6"/>
  <c r="BB15" i="6"/>
  <c r="BC15" i="6"/>
  <c r="BD15" i="6"/>
  <c r="BE15" i="6"/>
  <c r="BF15" i="6"/>
  <c r="BG15" i="6"/>
  <c r="BH15" i="6"/>
  <c r="BI15" i="6"/>
  <c r="BJ15" i="6"/>
  <c r="BK15" i="6"/>
  <c r="BL15" i="6"/>
  <c r="BM15" i="6"/>
  <c r="Z165" i="6"/>
  <c r="BM165" i="6"/>
  <c r="BL165" i="6"/>
  <c r="BK165" i="6"/>
  <c r="BJ165" i="6"/>
  <c r="BI165" i="6"/>
  <c r="BH165" i="6"/>
  <c r="BG165" i="6"/>
  <c r="BF165" i="6"/>
  <c r="BE165" i="6"/>
  <c r="BD165" i="6"/>
  <c r="BC165" i="6"/>
  <c r="BB165" i="6"/>
  <c r="BA165" i="6"/>
  <c r="AZ165" i="6"/>
  <c r="AR165" i="6"/>
  <c r="AQ165" i="6"/>
  <c r="AP165" i="6"/>
  <c r="AO165" i="6"/>
  <c r="AN165" i="6"/>
  <c r="AM165" i="6"/>
  <c r="AL165" i="6"/>
  <c r="AK165" i="6"/>
  <c r="AI165" i="6"/>
  <c r="AG165" i="6"/>
  <c r="AF165" i="6"/>
  <c r="AE165" i="6"/>
  <c r="BT165" i="6" l="1"/>
  <c r="BS165" i="6"/>
  <c r="BS15" i="6"/>
  <c r="BR165" i="6"/>
  <c r="AQ15" i="6"/>
  <c r="BR15" i="6" s="1"/>
  <c r="BT15" i="6" l="1"/>
  <c r="BK132" i="6"/>
  <c r="BK133" i="6"/>
  <c r="BM4" i="6" l="1"/>
  <c r="BM5" i="6"/>
  <c r="BM9" i="6"/>
  <c r="BM10" i="6"/>
  <c r="BM29" i="6"/>
  <c r="BM32" i="6"/>
  <c r="BM34" i="6"/>
  <c r="BM38" i="6"/>
  <c r="BM39" i="6"/>
  <c r="BM36" i="6"/>
  <c r="BM35" i="6"/>
  <c r="BM41" i="6"/>
  <c r="BM37" i="6"/>
  <c r="BM68" i="6"/>
  <c r="BM70" i="6"/>
  <c r="BM67" i="6"/>
  <c r="BM71" i="6"/>
  <c r="BM76" i="6"/>
  <c r="BM73" i="6"/>
  <c r="BM79" i="6"/>
  <c r="BM69" i="6"/>
  <c r="BM84" i="6"/>
  <c r="BM88" i="6"/>
  <c r="BM89" i="6"/>
  <c r="BM90" i="6"/>
  <c r="BM91" i="6"/>
  <c r="BM82" i="6"/>
  <c r="BM83" i="6"/>
  <c r="BM80" i="6"/>
  <c r="BM81" i="6"/>
  <c r="BM94" i="6"/>
  <c r="BM86" i="6"/>
  <c r="BM87" i="6"/>
  <c r="BM92" i="6"/>
  <c r="BM127" i="6"/>
  <c r="BM128" i="6"/>
  <c r="BM147" i="6"/>
  <c r="BM133" i="6"/>
  <c r="AR4" i="6"/>
  <c r="AR5" i="6"/>
  <c r="AR9" i="6"/>
  <c r="AR10" i="6"/>
  <c r="AR29" i="6"/>
  <c r="AR32" i="6"/>
  <c r="AR34" i="6"/>
  <c r="AR38" i="6"/>
  <c r="AR39" i="6"/>
  <c r="AR36" i="6"/>
  <c r="AR35" i="6"/>
  <c r="AR41" i="6"/>
  <c r="AR37" i="6"/>
  <c r="AR68" i="6"/>
  <c r="AR70" i="6"/>
  <c r="AR67" i="6"/>
  <c r="AR73" i="6"/>
  <c r="AR79" i="6"/>
  <c r="AR69" i="6"/>
  <c r="AR84" i="6"/>
  <c r="AR88" i="6"/>
  <c r="AR89" i="6"/>
  <c r="AR90" i="6"/>
  <c r="AR91" i="6"/>
  <c r="AR82" i="6"/>
  <c r="AR83" i="6"/>
  <c r="AR80" i="6"/>
  <c r="AR81" i="6"/>
  <c r="AR94" i="6"/>
  <c r="AR86" i="6"/>
  <c r="AR87" i="6"/>
  <c r="AR92" i="6"/>
  <c r="AR127" i="6"/>
  <c r="AR128" i="6"/>
  <c r="AR147" i="6"/>
  <c r="AR153" i="6"/>
  <c r="AR141" i="6"/>
  <c r="AR132" i="6"/>
  <c r="AR157" i="6"/>
  <c r="AR133" i="6"/>
  <c r="AR170" i="6"/>
  <c r="BM170" i="6" s="1"/>
  <c r="BE133" i="6"/>
  <c r="BM199" i="6" l="1"/>
  <c r="D39" i="2"/>
  <c r="C39" i="2"/>
  <c r="S199" i="6" l="1"/>
  <c r="AG70" i="6"/>
  <c r="M199" i="6" l="1"/>
  <c r="AJ157" i="6" l="1"/>
  <c r="B92" i="6"/>
  <c r="AC92" i="6"/>
  <c r="AD92" i="6"/>
  <c r="AE92" i="6"/>
  <c r="AF92" i="6"/>
  <c r="AG92" i="6"/>
  <c r="AH92" i="6"/>
  <c r="AI92" i="6"/>
  <c r="AJ92" i="6"/>
  <c r="AK92" i="6"/>
  <c r="AL92" i="6"/>
  <c r="AM92" i="6"/>
  <c r="AN92" i="6"/>
  <c r="AO92" i="6"/>
  <c r="AP92" i="6"/>
  <c r="AQ92" i="6"/>
  <c r="AX92" i="6"/>
  <c r="AY92" i="6"/>
  <c r="AZ92" i="6"/>
  <c r="BA92" i="6"/>
  <c r="BB92" i="6"/>
  <c r="BC92" i="6"/>
  <c r="BD92" i="6"/>
  <c r="BE92" i="6"/>
  <c r="BF92" i="6"/>
  <c r="BG92" i="6"/>
  <c r="BH92" i="6"/>
  <c r="BI92" i="6"/>
  <c r="BJ92" i="6"/>
  <c r="BK92" i="6"/>
  <c r="BL92" i="6"/>
  <c r="AC89" i="6"/>
  <c r="AD89" i="6"/>
  <c r="AE89" i="6"/>
  <c r="AF89" i="6"/>
  <c r="AG89" i="6"/>
  <c r="AH89" i="6"/>
  <c r="AI89" i="6"/>
  <c r="AJ89" i="6"/>
  <c r="AK89" i="6"/>
  <c r="AL89" i="6"/>
  <c r="AM89" i="6"/>
  <c r="AN89" i="6"/>
  <c r="AO89" i="6"/>
  <c r="AP89" i="6"/>
  <c r="AQ89" i="6"/>
  <c r="AX89" i="6"/>
  <c r="AY89" i="6"/>
  <c r="AZ89" i="6"/>
  <c r="BA89" i="6"/>
  <c r="BB89" i="6"/>
  <c r="BC89" i="6"/>
  <c r="BD89" i="6"/>
  <c r="BE89" i="6"/>
  <c r="BF89" i="6"/>
  <c r="BG89" i="6"/>
  <c r="BH89" i="6"/>
  <c r="BI89" i="6"/>
  <c r="BJ89" i="6"/>
  <c r="BK89" i="6"/>
  <c r="BL89" i="6"/>
  <c r="AC90" i="6"/>
  <c r="AD90" i="6"/>
  <c r="AE90" i="6"/>
  <c r="AF90" i="6"/>
  <c r="AG90" i="6"/>
  <c r="AH90" i="6"/>
  <c r="AI90" i="6"/>
  <c r="AJ90" i="6"/>
  <c r="AK90" i="6"/>
  <c r="AL90" i="6"/>
  <c r="AM90" i="6"/>
  <c r="AN90" i="6"/>
  <c r="AO90" i="6"/>
  <c r="AP90" i="6"/>
  <c r="AQ90" i="6"/>
  <c r="AX90" i="6"/>
  <c r="AY90" i="6"/>
  <c r="AZ90" i="6"/>
  <c r="BA90" i="6"/>
  <c r="BB90" i="6"/>
  <c r="BC90" i="6"/>
  <c r="BD90" i="6"/>
  <c r="BE90" i="6"/>
  <c r="BF90" i="6"/>
  <c r="BG90" i="6"/>
  <c r="BH90" i="6"/>
  <c r="BI90" i="6"/>
  <c r="BJ90" i="6"/>
  <c r="BK90" i="6"/>
  <c r="BL90" i="6"/>
  <c r="AC91" i="6"/>
  <c r="AD91" i="6"/>
  <c r="AE91" i="6"/>
  <c r="AF91" i="6"/>
  <c r="AG91" i="6"/>
  <c r="AH91" i="6"/>
  <c r="AI91" i="6"/>
  <c r="AJ91" i="6"/>
  <c r="AK91" i="6"/>
  <c r="AL91" i="6"/>
  <c r="AM91" i="6"/>
  <c r="AN91" i="6"/>
  <c r="AO91" i="6"/>
  <c r="AP91" i="6"/>
  <c r="AQ91" i="6"/>
  <c r="AX91" i="6"/>
  <c r="AY91" i="6"/>
  <c r="AZ91" i="6"/>
  <c r="BA91" i="6"/>
  <c r="BB91" i="6"/>
  <c r="BC91" i="6"/>
  <c r="BD91" i="6"/>
  <c r="BE91" i="6"/>
  <c r="BF91" i="6"/>
  <c r="BG91" i="6"/>
  <c r="BH91" i="6"/>
  <c r="BI91" i="6"/>
  <c r="BJ91" i="6"/>
  <c r="BK91" i="6"/>
  <c r="BL91" i="6"/>
  <c r="BS89" i="6" l="1"/>
  <c r="BT90" i="6"/>
  <c r="BS91" i="6"/>
  <c r="BT91" i="6"/>
  <c r="BT92" i="6"/>
  <c r="BS90" i="6"/>
  <c r="BS92" i="6"/>
  <c r="BT89" i="6"/>
  <c r="BR90" i="6"/>
  <c r="BR91" i="6"/>
  <c r="BR92" i="6"/>
  <c r="BR89" i="6"/>
  <c r="F49" i="7" l="1"/>
  <c r="E10" i="1" l="1"/>
  <c r="C35" i="4" l="1"/>
  <c r="D35" i="4"/>
  <c r="E35" i="4"/>
  <c r="F35" i="4"/>
  <c r="C15" i="1" l="1"/>
  <c r="AR76" i="6" l="1"/>
  <c r="AT76" i="6"/>
  <c r="AU76" i="6"/>
  <c r="AS76" i="6"/>
  <c r="D52" i="2"/>
  <c r="D44" i="2"/>
  <c r="D32" i="2"/>
  <c r="D30" i="2"/>
  <c r="D17" i="2"/>
  <c r="BL9" i="6"/>
  <c r="D36" i="2" l="1"/>
  <c r="AH73" i="6"/>
  <c r="D45" i="1"/>
  <c r="D19" i="1"/>
  <c r="D21" i="1"/>
  <c r="D28" i="1"/>
  <c r="D30" i="1"/>
  <c r="D37" i="1"/>
  <c r="D42" i="1" s="1"/>
  <c r="H23" i="7" l="1"/>
  <c r="J23" i="7"/>
  <c r="I23" i="7"/>
  <c r="H21" i="7"/>
  <c r="I21" i="7"/>
  <c r="D50" i="1"/>
  <c r="D25" i="1"/>
  <c r="D34" i="1"/>
  <c r="C19" i="1"/>
  <c r="C21" i="1"/>
  <c r="C28" i="1"/>
  <c r="C30" i="1"/>
  <c r="C37" i="1"/>
  <c r="C45" i="1"/>
  <c r="C39" i="7" l="1"/>
  <c r="C42" i="1"/>
  <c r="C25" i="1"/>
  <c r="C34" i="1"/>
  <c r="BL32" i="6" l="1"/>
  <c r="BK32" i="6"/>
  <c r="BJ32" i="6"/>
  <c r="BI32" i="6"/>
  <c r="BH32" i="6"/>
  <c r="BG32" i="6"/>
  <c r="BF32" i="6"/>
  <c r="BE32" i="6"/>
  <c r="BD32" i="6"/>
  <c r="BA32" i="6"/>
  <c r="AZ32" i="6"/>
  <c r="AY32" i="6"/>
  <c r="AX32" i="6"/>
  <c r="AQ32" i="6"/>
  <c r="AP32" i="6"/>
  <c r="AO32" i="6"/>
  <c r="AN32" i="6"/>
  <c r="AM32" i="6"/>
  <c r="AL32" i="6"/>
  <c r="AK32" i="6"/>
  <c r="AJ32" i="6"/>
  <c r="AI32" i="6"/>
  <c r="AH32" i="6"/>
  <c r="AG32" i="6"/>
  <c r="AF32" i="6"/>
  <c r="AE32" i="6"/>
  <c r="AD32" i="6"/>
  <c r="AC32" i="6"/>
  <c r="BD141" i="6"/>
  <c r="BS32" i="6" l="1"/>
  <c r="BT32" i="6"/>
  <c r="BR32" i="6"/>
  <c r="E37" i="1"/>
  <c r="G37" i="1"/>
  <c r="F37" i="1"/>
  <c r="B87" i="6"/>
  <c r="AC87" i="6"/>
  <c r="AD87" i="6"/>
  <c r="AE87" i="6"/>
  <c r="AF87" i="6"/>
  <c r="AG87" i="6"/>
  <c r="AH87" i="6"/>
  <c r="AI87" i="6"/>
  <c r="AJ87" i="6"/>
  <c r="AK87" i="6"/>
  <c r="AL87" i="6"/>
  <c r="AM87" i="6"/>
  <c r="AN87" i="6"/>
  <c r="AO87" i="6"/>
  <c r="AP87" i="6"/>
  <c r="AQ87" i="6"/>
  <c r="AX87" i="6"/>
  <c r="AY87" i="6"/>
  <c r="AZ87" i="6"/>
  <c r="BA87" i="6"/>
  <c r="BB87" i="6"/>
  <c r="BC87" i="6"/>
  <c r="BD87" i="6"/>
  <c r="BE87" i="6"/>
  <c r="BF87" i="6"/>
  <c r="BG87" i="6"/>
  <c r="BH87" i="6"/>
  <c r="BI87" i="6"/>
  <c r="BJ87" i="6"/>
  <c r="BK87" i="6"/>
  <c r="BL87" i="6"/>
  <c r="AC41" i="6"/>
  <c r="AD41" i="6"/>
  <c r="AE41" i="6"/>
  <c r="AF41" i="6"/>
  <c r="AG41" i="6"/>
  <c r="AH41" i="6"/>
  <c r="AI41" i="6"/>
  <c r="AJ41" i="6"/>
  <c r="AK41" i="6"/>
  <c r="AL41" i="6"/>
  <c r="AM41" i="6"/>
  <c r="AN41" i="6"/>
  <c r="AO41" i="6"/>
  <c r="AP41" i="6"/>
  <c r="AQ41" i="6"/>
  <c r="AX41" i="6"/>
  <c r="AY41" i="6"/>
  <c r="AZ41" i="6"/>
  <c r="BB41" i="6"/>
  <c r="BC41" i="6"/>
  <c r="BE41" i="6"/>
  <c r="BF41" i="6"/>
  <c r="BG41" i="6"/>
  <c r="BH41" i="6"/>
  <c r="BI41" i="6"/>
  <c r="BJ41" i="6"/>
  <c r="BK41" i="6"/>
  <c r="BL41" i="6"/>
  <c r="H39" i="7" l="1"/>
  <c r="J39" i="7"/>
  <c r="I39" i="7"/>
  <c r="BT41" i="6"/>
  <c r="BS87" i="6"/>
  <c r="BT87" i="6"/>
  <c r="BS41" i="6"/>
  <c r="E39" i="7"/>
  <c r="F39" i="7"/>
  <c r="D39" i="7"/>
  <c r="G39" i="7"/>
  <c r="BR87" i="6"/>
  <c r="BR41" i="6"/>
  <c r="B41" i="6"/>
  <c r="AM4" i="6"/>
  <c r="AL4" i="6"/>
  <c r="AJ4" i="6"/>
  <c r="AI4" i="6"/>
  <c r="AH4" i="6"/>
  <c r="E15" i="1" l="1"/>
  <c r="F15" i="1"/>
  <c r="G15" i="1"/>
  <c r="E19" i="1"/>
  <c r="F19" i="1"/>
  <c r="G19" i="1"/>
  <c r="E21" i="1"/>
  <c r="F21" i="1"/>
  <c r="G21" i="1"/>
  <c r="E28" i="1"/>
  <c r="G28" i="1"/>
  <c r="E30" i="1"/>
  <c r="F30" i="1"/>
  <c r="G30" i="1"/>
  <c r="E42" i="1"/>
  <c r="F42" i="1"/>
  <c r="G42" i="1"/>
  <c r="E45" i="1"/>
  <c r="F45" i="1"/>
  <c r="F50" i="1" s="1"/>
  <c r="G45" i="1"/>
  <c r="H44" i="7" l="1"/>
  <c r="I44" i="7"/>
  <c r="J44" i="7"/>
  <c r="G50" i="1"/>
  <c r="E50" i="1"/>
  <c r="E34" i="1"/>
  <c r="G25" i="1"/>
  <c r="G34" i="1"/>
  <c r="F25" i="1"/>
  <c r="E25" i="1"/>
  <c r="G52" i="1" l="1"/>
  <c r="E52" i="1"/>
  <c r="G37" i="3" l="1"/>
  <c r="G36" i="3" s="1"/>
  <c r="F36" i="3"/>
  <c r="E36" i="3"/>
  <c r="D36" i="3"/>
  <c r="C36" i="3"/>
  <c r="D35" i="3"/>
  <c r="D34" i="3" s="1"/>
  <c r="F34" i="3"/>
  <c r="E34" i="3"/>
  <c r="C34" i="3"/>
  <c r="F38" i="3" l="1"/>
  <c r="C38" i="3"/>
  <c r="D38" i="3"/>
  <c r="G35" i="3"/>
  <c r="G34" i="3"/>
  <c r="G38" i="3" s="1"/>
  <c r="E38" i="3"/>
  <c r="BL82" i="6" l="1"/>
  <c r="BL83" i="6"/>
  <c r="BL80" i="6"/>
  <c r="BL81" i="6"/>
  <c r="BL94" i="6"/>
  <c r="AG4" i="6" l="1"/>
  <c r="BL39" i="6" l="1"/>
  <c r="BJ39" i="6"/>
  <c r="BI39" i="6"/>
  <c r="BH39" i="6"/>
  <c r="BG39" i="6"/>
  <c r="BF39" i="6"/>
  <c r="BC39" i="6"/>
  <c r="BB39" i="6"/>
  <c r="AZ39" i="6"/>
  <c r="AY39" i="6"/>
  <c r="AX39" i="6"/>
  <c r="AN39" i="6"/>
  <c r="AJ39" i="6"/>
  <c r="AF39" i="6"/>
  <c r="BE39" i="6"/>
  <c r="B39" i="6"/>
  <c r="BS39" i="6" l="1"/>
  <c r="AC39" i="6"/>
  <c r="AG39" i="6"/>
  <c r="AK39" i="6"/>
  <c r="AO39" i="6"/>
  <c r="AD39" i="6"/>
  <c r="AH39" i="6"/>
  <c r="AL39" i="6"/>
  <c r="AP39" i="6"/>
  <c r="AE39" i="6"/>
  <c r="AI39" i="6"/>
  <c r="AM39" i="6"/>
  <c r="AQ39" i="6"/>
  <c r="BT39" i="6" l="1"/>
  <c r="BR39" i="6"/>
  <c r="B141" i="6"/>
  <c r="AE141" i="6"/>
  <c r="AF141" i="6"/>
  <c r="AG141" i="6"/>
  <c r="AH141" i="6"/>
  <c r="AI141" i="6"/>
  <c r="AJ141" i="6"/>
  <c r="AL141" i="6"/>
  <c r="AM141" i="6"/>
  <c r="AN141" i="6"/>
  <c r="AO141" i="6"/>
  <c r="AP141" i="6"/>
  <c r="AQ141" i="6"/>
  <c r="AX141" i="6"/>
  <c r="AZ141" i="6"/>
  <c r="BA141" i="6"/>
  <c r="BB141" i="6"/>
  <c r="BE141" i="6"/>
  <c r="BF141" i="6"/>
  <c r="AD141" i="6" l="1"/>
  <c r="BT141" i="6" s="1"/>
  <c r="AY141" i="6" l="1"/>
  <c r="BR141" i="6" l="1"/>
  <c r="BS141" i="6"/>
  <c r="AH35" i="6"/>
  <c r="D5" i="1" l="1"/>
  <c r="AF29" i="6" l="1"/>
  <c r="BL38" i="6"/>
  <c r="BK38" i="6"/>
  <c r="BJ38" i="6"/>
  <c r="BI38" i="6"/>
  <c r="BH38" i="6"/>
  <c r="BG38" i="6"/>
  <c r="BF38" i="6"/>
  <c r="BE38" i="6"/>
  <c r="BC38" i="6"/>
  <c r="BB38" i="6"/>
  <c r="AY38" i="6"/>
  <c r="AX38" i="6"/>
  <c r="AQ38" i="6"/>
  <c r="B38" i="6"/>
  <c r="AC38" i="6" l="1"/>
  <c r="AK38" i="6"/>
  <c r="AF38" i="6"/>
  <c r="AN38" i="6"/>
  <c r="AI38" i="6"/>
  <c r="AG38" i="6"/>
  <c r="AJ38" i="6"/>
  <c r="AO38" i="6"/>
  <c r="AD38" i="6"/>
  <c r="AH38" i="6"/>
  <c r="AL38" i="6"/>
  <c r="AP38" i="6"/>
  <c r="AZ38" i="6"/>
  <c r="BS38" i="6" s="1"/>
  <c r="AE38" i="6"/>
  <c r="AM38" i="6"/>
  <c r="BT38" i="6" l="1"/>
  <c r="BR38" i="6"/>
  <c r="AC9" i="6"/>
  <c r="AD9" i="6"/>
  <c r="AE9" i="6"/>
  <c r="AF9" i="6"/>
  <c r="AG9" i="6"/>
  <c r="AH9" i="6"/>
  <c r="AI9" i="6"/>
  <c r="AJ9" i="6"/>
  <c r="AK9" i="6"/>
  <c r="AL9" i="6"/>
  <c r="AM9" i="6"/>
  <c r="AN9" i="6"/>
  <c r="AO9" i="6"/>
  <c r="AP9" i="6"/>
  <c r="AQ9" i="6"/>
  <c r="AX9" i="6"/>
  <c r="AY9" i="6"/>
  <c r="AZ9" i="6"/>
  <c r="BA9" i="6"/>
  <c r="BD9" i="6"/>
  <c r="BF9" i="6"/>
  <c r="BG9" i="6"/>
  <c r="BH9" i="6"/>
  <c r="BI9" i="6"/>
  <c r="BJ9" i="6"/>
  <c r="BK9" i="6"/>
  <c r="BT9" i="6" l="1"/>
  <c r="BS9" i="6"/>
  <c r="BR9" i="6"/>
  <c r="E17" i="2"/>
  <c r="F17" i="2"/>
  <c r="I199" i="6" l="1"/>
  <c r="Q199" i="6"/>
  <c r="D71" i="6"/>
  <c r="D201" i="6" s="1"/>
  <c r="T199" i="6" l="1"/>
  <c r="H199" i="6"/>
  <c r="AR71" i="6"/>
  <c r="AS71" i="6"/>
  <c r="AT71" i="6"/>
  <c r="AU71" i="6"/>
  <c r="E12" i="2"/>
  <c r="AR199" i="6" l="1"/>
  <c r="J33" i="2"/>
  <c r="J32" i="2" s="1"/>
  <c r="J36" i="2" s="1"/>
  <c r="J54" i="2" s="1"/>
  <c r="AU199" i="6"/>
  <c r="I33" i="2"/>
  <c r="J33" i="7" s="1"/>
  <c r="AT199" i="6"/>
  <c r="H33" i="2"/>
  <c r="I33" i="7" s="1"/>
  <c r="AS199" i="6"/>
  <c r="BL69" i="6"/>
  <c r="BK69" i="6"/>
  <c r="BJ69" i="6"/>
  <c r="BI69" i="6"/>
  <c r="BH69" i="6"/>
  <c r="BG69" i="6"/>
  <c r="BF69" i="6"/>
  <c r="BE69" i="6"/>
  <c r="BD69" i="6"/>
  <c r="BC69" i="6"/>
  <c r="BB69" i="6"/>
  <c r="BA69" i="6"/>
  <c r="AZ69" i="6"/>
  <c r="AY69" i="6"/>
  <c r="AX69" i="6"/>
  <c r="AQ69" i="6"/>
  <c r="AP69" i="6"/>
  <c r="AO69" i="6"/>
  <c r="AN69" i="6"/>
  <c r="AM69" i="6"/>
  <c r="AL69" i="6"/>
  <c r="AK69" i="6"/>
  <c r="AJ69" i="6"/>
  <c r="AI69" i="6"/>
  <c r="AH69" i="6"/>
  <c r="AG69" i="6"/>
  <c r="AF69" i="6"/>
  <c r="AE69" i="6"/>
  <c r="AD69" i="6"/>
  <c r="AC69" i="6"/>
  <c r="BS69" i="6" l="1"/>
  <c r="BT69" i="6"/>
  <c r="BR69" i="6"/>
  <c r="H32" i="2"/>
  <c r="I32" i="7" s="1"/>
  <c r="I32" i="2"/>
  <c r="J32" i="7" s="1"/>
  <c r="AC37" i="6"/>
  <c r="AD37" i="6"/>
  <c r="AE37" i="6"/>
  <c r="AF37" i="6"/>
  <c r="AG37" i="6"/>
  <c r="AH37" i="6"/>
  <c r="AI37" i="6"/>
  <c r="AJ37" i="6"/>
  <c r="AK37" i="6"/>
  <c r="AL37" i="6"/>
  <c r="AM37" i="6"/>
  <c r="AN37" i="6"/>
  <c r="AO37" i="6"/>
  <c r="AP37" i="6"/>
  <c r="AQ37" i="6"/>
  <c r="AX37" i="6"/>
  <c r="AY37" i="6"/>
  <c r="AZ37" i="6"/>
  <c r="BA37" i="6"/>
  <c r="BB37" i="6"/>
  <c r="BC37" i="6"/>
  <c r="BD37" i="6"/>
  <c r="BE37" i="6"/>
  <c r="BF37" i="6"/>
  <c r="BG37" i="6"/>
  <c r="BH37" i="6"/>
  <c r="BI37" i="6"/>
  <c r="BK37" i="6"/>
  <c r="BL37" i="6"/>
  <c r="B37" i="6"/>
  <c r="B68" i="6"/>
  <c r="AC68" i="6"/>
  <c r="AD68" i="6"/>
  <c r="AE68" i="6"/>
  <c r="AF68" i="6"/>
  <c r="AG68" i="6"/>
  <c r="AH68" i="6"/>
  <c r="AI68" i="6"/>
  <c r="AJ68" i="6"/>
  <c r="AK68" i="6"/>
  <c r="AL68" i="6"/>
  <c r="AM68" i="6"/>
  <c r="AN68" i="6"/>
  <c r="AO68" i="6"/>
  <c r="AP68" i="6"/>
  <c r="AQ68" i="6"/>
  <c r="AX68" i="6"/>
  <c r="AY68" i="6"/>
  <c r="AZ68" i="6"/>
  <c r="BA68" i="6"/>
  <c r="BB68" i="6"/>
  <c r="BC68" i="6"/>
  <c r="BD68" i="6"/>
  <c r="BE68" i="6"/>
  <c r="BF68" i="6"/>
  <c r="BG68" i="6"/>
  <c r="BH68" i="6"/>
  <c r="BI68" i="6"/>
  <c r="BJ68" i="6"/>
  <c r="BK68" i="6"/>
  <c r="D5" i="2"/>
  <c r="AQ133" i="6"/>
  <c r="BL133" i="6" s="1"/>
  <c r="BJ133" i="6"/>
  <c r="BI133" i="6"/>
  <c r="AM133" i="6"/>
  <c r="AN133" i="6"/>
  <c r="AO133" i="6"/>
  <c r="AP133" i="6"/>
  <c r="BG133" i="6"/>
  <c r="BF133" i="6"/>
  <c r="AI133" i="6"/>
  <c r="AJ133" i="6"/>
  <c r="AK133" i="6"/>
  <c r="AL133" i="6"/>
  <c r="BC133" i="6"/>
  <c r="BB133" i="6"/>
  <c r="AE133" i="6"/>
  <c r="AF133" i="6"/>
  <c r="AG133" i="6"/>
  <c r="AH133" i="6"/>
  <c r="AY133" i="6"/>
  <c r="AX133" i="6"/>
  <c r="AD133" i="6"/>
  <c r="AC133" i="6"/>
  <c r="B133" i="6"/>
  <c r="AF132" i="6"/>
  <c r="AF157" i="6"/>
  <c r="AF4" i="6"/>
  <c r="AF5" i="6"/>
  <c r="AF10" i="6"/>
  <c r="AF34" i="6"/>
  <c r="AF36" i="6"/>
  <c r="AF35" i="6"/>
  <c r="AF70" i="6"/>
  <c r="AF67" i="6"/>
  <c r="AF71" i="6"/>
  <c r="AF76" i="6"/>
  <c r="AF73" i="6"/>
  <c r="AF79" i="6"/>
  <c r="AF84" i="6"/>
  <c r="AF88" i="6"/>
  <c r="AF82" i="6"/>
  <c r="AF83" i="6"/>
  <c r="AF80" i="6"/>
  <c r="AF81" i="6"/>
  <c r="AF94" i="6"/>
  <c r="AF86" i="6"/>
  <c r="AF127" i="6"/>
  <c r="AF128" i="6"/>
  <c r="AF147" i="6"/>
  <c r="AF153" i="6"/>
  <c r="AF167" i="6"/>
  <c r="AF170" i="6"/>
  <c r="BA170" i="6" s="1"/>
  <c r="BA173" i="6"/>
  <c r="AE153" i="6"/>
  <c r="M45" i="1"/>
  <c r="G45" i="9"/>
  <c r="D45" i="9" s="1"/>
  <c r="H46" i="9"/>
  <c r="D46" i="9" s="1"/>
  <c r="H47" i="9"/>
  <c r="D47" i="9" s="1"/>
  <c r="H48" i="9"/>
  <c r="I48" i="9"/>
  <c r="AA48" i="9" s="1"/>
  <c r="J48" i="9"/>
  <c r="AB48" i="9" s="1"/>
  <c r="K48" i="9"/>
  <c r="L48" i="9"/>
  <c r="M48" i="9"/>
  <c r="AE48" i="9" s="1"/>
  <c r="N48" i="9"/>
  <c r="AF48" i="9" s="1"/>
  <c r="O48" i="9"/>
  <c r="AG48" i="9" s="1"/>
  <c r="P48" i="9"/>
  <c r="Q48" i="9"/>
  <c r="AI48" i="9" s="1"/>
  <c r="R48" i="9"/>
  <c r="AJ48" i="9" s="1"/>
  <c r="S48" i="9"/>
  <c r="AK48" i="9" s="1"/>
  <c r="T48" i="9"/>
  <c r="D17" i="9"/>
  <c r="X17" i="9" s="1"/>
  <c r="D18" i="9"/>
  <c r="X18" i="9" s="1"/>
  <c r="D43" i="9"/>
  <c r="D44" i="9"/>
  <c r="H49" i="9"/>
  <c r="I49" i="9"/>
  <c r="AA49" i="9" s="1"/>
  <c r="J49" i="9"/>
  <c r="K49" i="9"/>
  <c r="L49" i="9"/>
  <c r="M49" i="9"/>
  <c r="AE49" i="9" s="1"/>
  <c r="N49" i="9"/>
  <c r="AF49" i="9" s="1"/>
  <c r="O49" i="9"/>
  <c r="P49" i="9"/>
  <c r="AH49" i="9" s="1"/>
  <c r="Q49" i="9"/>
  <c r="AI49" i="9" s="1"/>
  <c r="R49" i="9"/>
  <c r="AJ49" i="9" s="1"/>
  <c r="S49" i="9"/>
  <c r="T49" i="9"/>
  <c r="D50" i="9"/>
  <c r="D51" i="9"/>
  <c r="D76" i="9"/>
  <c r="D77" i="9"/>
  <c r="D78" i="9"/>
  <c r="B78" i="9"/>
  <c r="B77" i="9"/>
  <c r="B76" i="9"/>
  <c r="B75" i="9"/>
  <c r="D70" i="9"/>
  <c r="D71" i="9"/>
  <c r="D72" i="9"/>
  <c r="D73" i="9"/>
  <c r="B73" i="9"/>
  <c r="B72" i="9"/>
  <c r="B71" i="9"/>
  <c r="A36" i="1"/>
  <c r="A37" i="1"/>
  <c r="E69" i="9"/>
  <c r="D67" i="9"/>
  <c r="D69" i="9" s="1"/>
  <c r="D68" i="9"/>
  <c r="B68" i="9"/>
  <c r="B67" i="9"/>
  <c r="E66" i="9"/>
  <c r="D65" i="9"/>
  <c r="D66" i="9" s="1"/>
  <c r="B65" i="9"/>
  <c r="C14" i="4"/>
  <c r="D14" i="4"/>
  <c r="E14" i="4"/>
  <c r="D59" i="9"/>
  <c r="D60" i="9"/>
  <c r="D61" i="9"/>
  <c r="D62" i="9"/>
  <c r="D63" i="9"/>
  <c r="A19" i="1"/>
  <c r="X55" i="9"/>
  <c r="Y55" i="9"/>
  <c r="Z55" i="9"/>
  <c r="AP55" i="9" s="1"/>
  <c r="AA55" i="9"/>
  <c r="AQ55" i="9" s="1"/>
  <c r="AB55" i="9"/>
  <c r="AR55" i="9" s="1"/>
  <c r="AC55" i="9"/>
  <c r="AS55" i="9" s="1"/>
  <c r="AD55" i="9"/>
  <c r="AT55" i="9" s="1"/>
  <c r="AE55" i="9"/>
  <c r="AU55" i="9" s="1"/>
  <c r="AF55" i="9"/>
  <c r="AV55" i="9" s="1"/>
  <c r="AG55" i="9"/>
  <c r="AW55" i="9" s="1"/>
  <c r="AH55" i="9"/>
  <c r="AX55" i="9" s="1"/>
  <c r="AI55" i="9"/>
  <c r="AY55" i="9" s="1"/>
  <c r="AJ55" i="9"/>
  <c r="AZ55" i="9" s="1"/>
  <c r="AK55" i="9"/>
  <c r="BA55" i="9" s="1"/>
  <c r="AL55" i="9"/>
  <c r="BB55" i="9" s="1"/>
  <c r="AN55" i="9"/>
  <c r="U55" i="9"/>
  <c r="B55" i="9"/>
  <c r="X54" i="9"/>
  <c r="AN54" i="9" s="1"/>
  <c r="Y54" i="9"/>
  <c r="AO54" i="9" s="1"/>
  <c r="Z54" i="9"/>
  <c r="AP54" i="9" s="1"/>
  <c r="AA54" i="9"/>
  <c r="AQ54" i="9" s="1"/>
  <c r="AB54" i="9"/>
  <c r="AR54" i="9" s="1"/>
  <c r="AC54" i="9"/>
  <c r="AS54" i="9" s="1"/>
  <c r="AD54" i="9"/>
  <c r="AT54" i="9" s="1"/>
  <c r="AE54" i="9"/>
  <c r="AU54" i="9" s="1"/>
  <c r="AF54" i="9"/>
  <c r="AV54" i="9" s="1"/>
  <c r="AG54" i="9"/>
  <c r="AW54" i="9" s="1"/>
  <c r="AH54" i="9"/>
  <c r="AX54" i="9" s="1"/>
  <c r="AI54" i="9"/>
  <c r="AY54" i="9" s="1"/>
  <c r="AJ54" i="9"/>
  <c r="AZ54" i="9" s="1"/>
  <c r="AK54" i="9"/>
  <c r="BA54" i="9" s="1"/>
  <c r="T54" i="9"/>
  <c r="AL54" i="9" s="1"/>
  <c r="BB54" i="9" s="1"/>
  <c r="B54" i="9"/>
  <c r="BD53" i="9"/>
  <c r="BD52" i="9"/>
  <c r="X51" i="9"/>
  <c r="Y51" i="9"/>
  <c r="Z51" i="9"/>
  <c r="AA51" i="9"/>
  <c r="AB51" i="9"/>
  <c r="AC51" i="9"/>
  <c r="AD51" i="9"/>
  <c r="AE51" i="9"/>
  <c r="AF51" i="9"/>
  <c r="AG51" i="9"/>
  <c r="AH51" i="9"/>
  <c r="AI51" i="9"/>
  <c r="AJ51" i="9"/>
  <c r="AK51" i="9"/>
  <c r="AL51" i="9"/>
  <c r="AN51" i="9"/>
  <c r="AO51" i="9"/>
  <c r="AP51" i="9"/>
  <c r="AR51" i="9"/>
  <c r="AS51" i="9"/>
  <c r="AT51" i="9"/>
  <c r="AV51" i="9"/>
  <c r="AW51" i="9"/>
  <c r="AX51" i="9"/>
  <c r="AZ51" i="9"/>
  <c r="BA51" i="9"/>
  <c r="BB51" i="9"/>
  <c r="U51" i="9"/>
  <c r="I50" i="9"/>
  <c r="J50" i="9"/>
  <c r="K50" i="9"/>
  <c r="L50" i="9"/>
  <c r="M50" i="9"/>
  <c r="N50" i="9"/>
  <c r="O50" i="9"/>
  <c r="P50" i="9"/>
  <c r="B50" i="9"/>
  <c r="X49" i="9"/>
  <c r="Y49" i="9"/>
  <c r="Z49" i="9"/>
  <c r="AB49" i="9"/>
  <c r="AC49" i="9"/>
  <c r="AD49" i="9"/>
  <c r="AG49" i="9"/>
  <c r="AK49" i="9"/>
  <c r="AL49" i="9"/>
  <c r="AN49" i="9"/>
  <c r="AP49" i="9"/>
  <c r="AQ49" i="9"/>
  <c r="AR49" i="9"/>
  <c r="AT49" i="9"/>
  <c r="AU49" i="9"/>
  <c r="AV49" i="9"/>
  <c r="AX49" i="9"/>
  <c r="AY49" i="9"/>
  <c r="AZ49" i="9"/>
  <c r="BB49" i="9"/>
  <c r="B49" i="9"/>
  <c r="X48" i="9"/>
  <c r="Y48" i="9"/>
  <c r="Z48" i="9"/>
  <c r="AD48" i="9"/>
  <c r="AH48" i="9"/>
  <c r="AL48" i="9"/>
  <c r="AN48" i="9"/>
  <c r="AP48" i="9"/>
  <c r="AQ48" i="9"/>
  <c r="AR48" i="9"/>
  <c r="AT48" i="9"/>
  <c r="AU48" i="9"/>
  <c r="AV48" i="9"/>
  <c r="AX48" i="9"/>
  <c r="AY48" i="9"/>
  <c r="AZ48" i="9"/>
  <c r="BB48" i="9"/>
  <c r="B48" i="9"/>
  <c r="X47" i="9"/>
  <c r="Y47" i="9"/>
  <c r="AA47" i="9"/>
  <c r="AB47" i="9"/>
  <c r="AC47" i="9"/>
  <c r="AD47" i="9"/>
  <c r="AE47" i="9"/>
  <c r="AF47" i="9"/>
  <c r="AG47" i="9"/>
  <c r="AH47" i="9"/>
  <c r="AI47" i="9"/>
  <c r="AJ47" i="9"/>
  <c r="AK47" i="9"/>
  <c r="AL47" i="9"/>
  <c r="AN47" i="9"/>
  <c r="AP47" i="9"/>
  <c r="AQ47" i="9"/>
  <c r="AR47" i="9"/>
  <c r="AT47" i="9"/>
  <c r="AU47" i="9"/>
  <c r="AV47" i="9"/>
  <c r="AX47" i="9"/>
  <c r="AY47" i="9"/>
  <c r="AZ47" i="9"/>
  <c r="BB47" i="9"/>
  <c r="B47" i="9"/>
  <c r="X46" i="9"/>
  <c r="Y46" i="9"/>
  <c r="Z46" i="9"/>
  <c r="AA46" i="9"/>
  <c r="AB46" i="9"/>
  <c r="AC46" i="9"/>
  <c r="AD46" i="9"/>
  <c r="AE46" i="9"/>
  <c r="AF46" i="9"/>
  <c r="AG46" i="9"/>
  <c r="AH46" i="9"/>
  <c r="AI46" i="9"/>
  <c r="AJ46" i="9"/>
  <c r="AK46" i="9"/>
  <c r="AL46" i="9"/>
  <c r="BB46" i="9" s="1"/>
  <c r="AN46" i="9"/>
  <c r="AO46" i="9"/>
  <c r="AQ46" i="9"/>
  <c r="AR46" i="9"/>
  <c r="AS46" i="9"/>
  <c r="AU46" i="9"/>
  <c r="AV46" i="9"/>
  <c r="AW46" i="9"/>
  <c r="AY46" i="9"/>
  <c r="AZ46" i="9"/>
  <c r="BA46" i="9"/>
  <c r="U46" i="9"/>
  <c r="B46" i="9"/>
  <c r="X45" i="9"/>
  <c r="Z45" i="9"/>
  <c r="AA45" i="9"/>
  <c r="AB45" i="9"/>
  <c r="AC45" i="9"/>
  <c r="AD45" i="9"/>
  <c r="AE45" i="9"/>
  <c r="AF45" i="9"/>
  <c r="AG45" i="9"/>
  <c r="AH45" i="9"/>
  <c r="AI45" i="9"/>
  <c r="AJ45" i="9"/>
  <c r="AK45" i="9"/>
  <c r="AL45" i="9"/>
  <c r="AO45" i="9"/>
  <c r="AP45" i="9"/>
  <c r="AQ45" i="9"/>
  <c r="AS45" i="9"/>
  <c r="AT45" i="9"/>
  <c r="AU45" i="9"/>
  <c r="AW45" i="9"/>
  <c r="AX45" i="9"/>
  <c r="AY45" i="9"/>
  <c r="BA45" i="9"/>
  <c r="BB45" i="9"/>
  <c r="B45" i="9"/>
  <c r="X44" i="9"/>
  <c r="Y44" i="9"/>
  <c r="Z44" i="9"/>
  <c r="AA44" i="9"/>
  <c r="AB44" i="9"/>
  <c r="AC44" i="9"/>
  <c r="AD44" i="9"/>
  <c r="AE44" i="9"/>
  <c r="AF44" i="9"/>
  <c r="AG44" i="9"/>
  <c r="AH44" i="9"/>
  <c r="AI44" i="9"/>
  <c r="AJ44" i="9"/>
  <c r="AK44" i="9"/>
  <c r="AL44" i="9"/>
  <c r="BB44" i="9" s="1"/>
  <c r="AN44" i="9"/>
  <c r="AO44" i="9"/>
  <c r="AQ44" i="9"/>
  <c r="AR44" i="9"/>
  <c r="AS44" i="9"/>
  <c r="AU44" i="9"/>
  <c r="AV44" i="9"/>
  <c r="AW44" i="9"/>
  <c r="AY44" i="9"/>
  <c r="AZ44" i="9"/>
  <c r="BA44" i="9"/>
  <c r="U44" i="9"/>
  <c r="X43" i="9"/>
  <c r="Y43" i="9"/>
  <c r="Z43" i="9"/>
  <c r="AA43" i="9"/>
  <c r="AB43" i="9"/>
  <c r="AC43" i="9"/>
  <c r="AD43" i="9"/>
  <c r="AE43" i="9"/>
  <c r="AF43" i="9"/>
  <c r="AG43" i="9"/>
  <c r="AH43" i="9"/>
  <c r="AI43" i="9"/>
  <c r="AJ43" i="9"/>
  <c r="AK43" i="9"/>
  <c r="AL43" i="9"/>
  <c r="AN43" i="9"/>
  <c r="AP43" i="9"/>
  <c r="AQ43" i="9"/>
  <c r="AR43" i="9"/>
  <c r="AT43" i="9"/>
  <c r="AU43" i="9"/>
  <c r="AV43" i="9"/>
  <c r="AX43" i="9"/>
  <c r="AY43" i="9"/>
  <c r="AZ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s="1"/>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I18" i="9"/>
  <c r="AN18" i="9"/>
  <c r="AO18" i="9"/>
  <c r="AP18" i="9"/>
  <c r="AQ18" i="9"/>
  <c r="AR18" i="9"/>
  <c r="AS18" i="9"/>
  <c r="AT18" i="9"/>
  <c r="AV18" i="9"/>
  <c r="AW18" i="9"/>
  <c r="AX18" i="9"/>
  <c r="AY18" i="9"/>
  <c r="AZ18" i="9"/>
  <c r="BA18" i="9"/>
  <c r="BB18" i="9"/>
  <c r="U18" i="9"/>
  <c r="B18" i="9"/>
  <c r="Z17" i="9"/>
  <c r="AA17" i="9"/>
  <c r="AD17" i="9"/>
  <c r="AE17" i="9"/>
  <c r="AH17" i="9"/>
  <c r="AI17" i="9"/>
  <c r="AL17" i="9"/>
  <c r="AN17" i="9"/>
  <c r="AO17" i="9"/>
  <c r="AP17" i="9"/>
  <c r="AQ17" i="9"/>
  <c r="AR17" i="9"/>
  <c r="AT17" i="9"/>
  <c r="AU17" i="9"/>
  <c r="AV17" i="9"/>
  <c r="AW17" i="9"/>
  <c r="AX17" i="9"/>
  <c r="AY17" i="9"/>
  <c r="AZ17" i="9"/>
  <c r="BA17" i="9"/>
  <c r="BB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Y9" i="9"/>
  <c r="Z9" i="9"/>
  <c r="AA9" i="9"/>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B135" i="6"/>
  <c r="AZ128" i="6"/>
  <c r="AE170" i="6"/>
  <c r="AZ170" i="6" s="1"/>
  <c r="AE128" i="6"/>
  <c r="AE132" i="6"/>
  <c r="AE4" i="6"/>
  <c r="AE5" i="6"/>
  <c r="AE10" i="6"/>
  <c r="AE29" i="6"/>
  <c r="AE36" i="6"/>
  <c r="AE35" i="6"/>
  <c r="AE70" i="6"/>
  <c r="AE67" i="6"/>
  <c r="AE71" i="6"/>
  <c r="AE76" i="6"/>
  <c r="AE73" i="6"/>
  <c r="AE79" i="6"/>
  <c r="AE84" i="6"/>
  <c r="AE88" i="6"/>
  <c r="AE82" i="6"/>
  <c r="AE83" i="6"/>
  <c r="AE80" i="6"/>
  <c r="AE81" i="6"/>
  <c r="AE94" i="6"/>
  <c r="AE86" i="6"/>
  <c r="AE127" i="6"/>
  <c r="AE147" i="6"/>
  <c r="AE167" i="6"/>
  <c r="AE173" i="6"/>
  <c r="AZ173" i="6" s="1"/>
  <c r="AZ84" i="6"/>
  <c r="AZ88" i="6"/>
  <c r="AZ82" i="6"/>
  <c r="AZ83" i="6"/>
  <c r="AZ4" i="6"/>
  <c r="AZ5" i="6"/>
  <c r="AZ10" i="6"/>
  <c r="AZ29" i="6"/>
  <c r="AZ36" i="6"/>
  <c r="AZ35" i="6"/>
  <c r="AZ70" i="6"/>
  <c r="AZ67" i="6"/>
  <c r="AZ71" i="6"/>
  <c r="AZ76" i="6"/>
  <c r="AZ73" i="6"/>
  <c r="AZ79" i="6"/>
  <c r="AZ80" i="6"/>
  <c r="AZ81" i="6"/>
  <c r="AZ94" i="6"/>
  <c r="AZ86" i="6"/>
  <c r="AZ127" i="6"/>
  <c r="AG153" i="6"/>
  <c r="AH153" i="6"/>
  <c r="AG132" i="6"/>
  <c r="AH132" i="6"/>
  <c r="AY4" i="6"/>
  <c r="AX70" i="6"/>
  <c r="AX67" i="6"/>
  <c r="AX71" i="6"/>
  <c r="AX76" i="6"/>
  <c r="AD153" i="6"/>
  <c r="AD29" i="6"/>
  <c r="AD132" i="6"/>
  <c r="AY29" i="6"/>
  <c r="AG29" i="6"/>
  <c r="AH29" i="6"/>
  <c r="AI29" i="6"/>
  <c r="AJ29" i="6"/>
  <c r="AX29" i="6"/>
  <c r="BA29" i="6"/>
  <c r="BB29" i="6"/>
  <c r="BC29" i="6"/>
  <c r="BD29" i="6"/>
  <c r="BE29" i="6"/>
  <c r="BF29" i="6"/>
  <c r="BG29" i="6"/>
  <c r="BL34" i="6"/>
  <c r="BK34" i="6"/>
  <c r="BJ34" i="6"/>
  <c r="BI34" i="6"/>
  <c r="BH34" i="6"/>
  <c r="BG34" i="6"/>
  <c r="BF34" i="6"/>
  <c r="BE34" i="6"/>
  <c r="BD34" i="6"/>
  <c r="BC34" i="6"/>
  <c r="BB34" i="6"/>
  <c r="AY34" i="6"/>
  <c r="AX34" i="6"/>
  <c r="B34" i="6"/>
  <c r="D177" i="6"/>
  <c r="D195" i="6"/>
  <c r="D191" i="6"/>
  <c r="D190" i="6"/>
  <c r="D189" i="6"/>
  <c r="D188" i="6"/>
  <c r="D186" i="6"/>
  <c r="D180" i="6"/>
  <c r="D178" i="6"/>
  <c r="E192" i="6"/>
  <c r="E187" i="6"/>
  <c r="B183" i="6"/>
  <c r="B186" i="6"/>
  <c r="B189" i="6"/>
  <c r="B190" i="6"/>
  <c r="B191" i="6"/>
  <c r="B193" i="6"/>
  <c r="B194" i="6"/>
  <c r="B195" i="6"/>
  <c r="B196" i="6"/>
  <c r="AX83" i="6"/>
  <c r="AY83" i="6"/>
  <c r="BA83" i="6"/>
  <c r="BB83" i="6"/>
  <c r="BC83" i="6"/>
  <c r="BD83" i="6"/>
  <c r="BE83" i="6"/>
  <c r="BF83" i="6"/>
  <c r="BG83" i="6"/>
  <c r="BH83" i="6"/>
  <c r="BI83" i="6"/>
  <c r="BJ83" i="6"/>
  <c r="BK83" i="6"/>
  <c r="AX80" i="6"/>
  <c r="AY80" i="6"/>
  <c r="BA80" i="6"/>
  <c r="BB80" i="6"/>
  <c r="BC80" i="6"/>
  <c r="BD80" i="6"/>
  <c r="BE80" i="6"/>
  <c r="BF80" i="6"/>
  <c r="BG80" i="6"/>
  <c r="BH80" i="6"/>
  <c r="BI80" i="6"/>
  <c r="BJ80" i="6"/>
  <c r="BK80" i="6"/>
  <c r="AX81" i="6"/>
  <c r="AY81" i="6"/>
  <c r="BA81" i="6"/>
  <c r="BB81" i="6"/>
  <c r="BC81" i="6"/>
  <c r="BD81" i="6"/>
  <c r="BE81" i="6"/>
  <c r="BF81" i="6"/>
  <c r="BG81" i="6"/>
  <c r="BH81" i="6"/>
  <c r="BI81" i="6"/>
  <c r="BJ81" i="6"/>
  <c r="BK81" i="6"/>
  <c r="AC82" i="6"/>
  <c r="AD82" i="6"/>
  <c r="AG82" i="6"/>
  <c r="AH82" i="6"/>
  <c r="AI82" i="6"/>
  <c r="AJ82" i="6"/>
  <c r="AK82" i="6"/>
  <c r="AL82" i="6"/>
  <c r="AM82" i="6"/>
  <c r="AN82" i="6"/>
  <c r="AO82" i="6"/>
  <c r="AP82" i="6"/>
  <c r="AQ82" i="6"/>
  <c r="AC83" i="6"/>
  <c r="AD83" i="6"/>
  <c r="AG83" i="6"/>
  <c r="AH83" i="6"/>
  <c r="AI83" i="6"/>
  <c r="AJ83" i="6"/>
  <c r="AK83" i="6"/>
  <c r="AL83" i="6"/>
  <c r="AM83" i="6"/>
  <c r="AN83" i="6"/>
  <c r="AO83" i="6"/>
  <c r="AP83" i="6"/>
  <c r="AQ83" i="6"/>
  <c r="AC80" i="6"/>
  <c r="AD80" i="6"/>
  <c r="AG80" i="6"/>
  <c r="AH80" i="6"/>
  <c r="AI80" i="6"/>
  <c r="AJ80" i="6"/>
  <c r="AK80" i="6"/>
  <c r="AL80" i="6"/>
  <c r="AM80" i="6"/>
  <c r="AN80" i="6"/>
  <c r="AO80" i="6"/>
  <c r="AP80" i="6"/>
  <c r="AQ80" i="6"/>
  <c r="AC81" i="6"/>
  <c r="AD81" i="6"/>
  <c r="AG81" i="6"/>
  <c r="AH81" i="6"/>
  <c r="AI81" i="6"/>
  <c r="AJ81" i="6"/>
  <c r="AK81" i="6"/>
  <c r="AL81" i="6"/>
  <c r="AM81" i="6"/>
  <c r="AN81" i="6"/>
  <c r="AO81" i="6"/>
  <c r="AP81" i="6"/>
  <c r="AQ81" i="6"/>
  <c r="AX82" i="6"/>
  <c r="AY82" i="6"/>
  <c r="BA82" i="6"/>
  <c r="BB82" i="6"/>
  <c r="BC82" i="6"/>
  <c r="BD82" i="6"/>
  <c r="BE82" i="6"/>
  <c r="BF82" i="6"/>
  <c r="BG82" i="6"/>
  <c r="BH82" i="6"/>
  <c r="BI82" i="6"/>
  <c r="BJ82" i="6"/>
  <c r="BK82" i="6"/>
  <c r="AY70" i="6"/>
  <c r="AY67" i="6"/>
  <c r="AY71" i="6"/>
  <c r="AY5" i="6"/>
  <c r="AY73" i="6"/>
  <c r="AY79" i="6"/>
  <c r="AY76" i="6"/>
  <c r="AY127" i="6"/>
  <c r="AY36" i="6"/>
  <c r="AY35" i="6"/>
  <c r="AY10" i="6"/>
  <c r="AY84" i="6"/>
  <c r="AY94" i="6"/>
  <c r="AY88" i="6"/>
  <c r="AY86" i="6"/>
  <c r="AY147" i="6"/>
  <c r="AY156" i="6"/>
  <c r="AD157" i="6"/>
  <c r="AG157" i="6"/>
  <c r="AD167" i="6"/>
  <c r="AG167" i="6"/>
  <c r="AH167" i="6"/>
  <c r="AD170" i="6"/>
  <c r="AY170" i="6" s="1"/>
  <c r="AD173" i="6"/>
  <c r="AY173" i="6" s="1"/>
  <c r="AD127" i="6"/>
  <c r="AD4" i="6"/>
  <c r="AD5" i="6"/>
  <c r="AD70" i="6"/>
  <c r="AD73" i="6"/>
  <c r="AD79" i="6"/>
  <c r="AD67" i="6"/>
  <c r="AD36" i="6"/>
  <c r="AD35" i="6"/>
  <c r="AD10" i="6"/>
  <c r="AD84" i="6"/>
  <c r="AD94" i="6"/>
  <c r="AD88" i="6"/>
  <c r="AD86" i="6"/>
  <c r="AD147" i="6"/>
  <c r="AC36" i="6"/>
  <c r="AG36" i="6"/>
  <c r="AH36" i="6"/>
  <c r="AI36" i="6"/>
  <c r="AJ36" i="6"/>
  <c r="AK36" i="6"/>
  <c r="AL36" i="6"/>
  <c r="AM36" i="6"/>
  <c r="AN36" i="6"/>
  <c r="AO36" i="6"/>
  <c r="AP36" i="6"/>
  <c r="AQ36" i="6"/>
  <c r="AC35" i="6"/>
  <c r="AG35" i="6"/>
  <c r="AI35" i="6"/>
  <c r="AJ35" i="6"/>
  <c r="AK35" i="6"/>
  <c r="AL35" i="6"/>
  <c r="AM35" i="6"/>
  <c r="AN35" i="6"/>
  <c r="AO35" i="6"/>
  <c r="AP35" i="6"/>
  <c r="AQ35" i="6"/>
  <c r="AX35" i="6"/>
  <c r="BB35" i="6"/>
  <c r="BC35" i="6"/>
  <c r="BD35" i="6"/>
  <c r="BE35" i="6"/>
  <c r="BF35" i="6"/>
  <c r="BG35" i="6"/>
  <c r="BH35" i="6"/>
  <c r="BI35" i="6"/>
  <c r="BJ35" i="6"/>
  <c r="BK35" i="6"/>
  <c r="BL35" i="6"/>
  <c r="AC10" i="6"/>
  <c r="AG10" i="6"/>
  <c r="AH10" i="6"/>
  <c r="AI10" i="6"/>
  <c r="AJ10" i="6"/>
  <c r="AL10" i="6"/>
  <c r="AM10" i="6"/>
  <c r="AN10" i="6"/>
  <c r="AO10" i="6"/>
  <c r="AP10" i="6"/>
  <c r="AQ10" i="6"/>
  <c r="AC84" i="6"/>
  <c r="AG84" i="6"/>
  <c r="AH84" i="6"/>
  <c r="AI84" i="6"/>
  <c r="AJ84" i="6"/>
  <c r="AK84" i="6"/>
  <c r="AL84" i="6"/>
  <c r="AM84" i="6"/>
  <c r="AN84" i="6"/>
  <c r="AO84" i="6"/>
  <c r="AP84" i="6"/>
  <c r="AQ84" i="6"/>
  <c r="AC94" i="6"/>
  <c r="AG94" i="6"/>
  <c r="AH94" i="6"/>
  <c r="AI94" i="6"/>
  <c r="AJ94" i="6"/>
  <c r="AK94" i="6"/>
  <c r="AL94" i="6"/>
  <c r="AM94" i="6"/>
  <c r="AN94" i="6"/>
  <c r="AO94" i="6"/>
  <c r="AP94" i="6"/>
  <c r="AQ94" i="6"/>
  <c r="AC88" i="6"/>
  <c r="AG88" i="6"/>
  <c r="AH88" i="6"/>
  <c r="AI88" i="6"/>
  <c r="AJ88" i="6"/>
  <c r="AK88" i="6"/>
  <c r="AL88" i="6"/>
  <c r="AM88" i="6"/>
  <c r="AN88" i="6"/>
  <c r="AO88" i="6"/>
  <c r="AP88" i="6"/>
  <c r="AQ88" i="6"/>
  <c r="AX36" i="6"/>
  <c r="BB36" i="6"/>
  <c r="BC36" i="6"/>
  <c r="BD36" i="6"/>
  <c r="BE36" i="6"/>
  <c r="BF36" i="6"/>
  <c r="BG36" i="6"/>
  <c r="BH36" i="6"/>
  <c r="BI36" i="6"/>
  <c r="BJ36" i="6"/>
  <c r="BK36" i="6"/>
  <c r="BL36" i="6"/>
  <c r="B76" i="6"/>
  <c r="AC76" i="6"/>
  <c r="BA76" i="6"/>
  <c r="BB76" i="6"/>
  <c r="BC76" i="6"/>
  <c r="BD76" i="6"/>
  <c r="BF76" i="6"/>
  <c r="BG76" i="6"/>
  <c r="BH76" i="6"/>
  <c r="BI76" i="6"/>
  <c r="BJ76" i="6"/>
  <c r="BK76" i="6"/>
  <c r="BL76" i="6"/>
  <c r="B71" i="6"/>
  <c r="BB71" i="6"/>
  <c r="BC71" i="6"/>
  <c r="BD71" i="6"/>
  <c r="BE71" i="6"/>
  <c r="BF71" i="6"/>
  <c r="BG71" i="6"/>
  <c r="BH71" i="6"/>
  <c r="BI71" i="6"/>
  <c r="BJ71" i="6"/>
  <c r="BK71" i="6"/>
  <c r="BL71" i="6"/>
  <c r="B36" i="6"/>
  <c r="B35" i="6"/>
  <c r="B86" i="6"/>
  <c r="D179" i="6"/>
  <c r="AC170" i="6"/>
  <c r="AC173" i="6"/>
  <c r="AC4" i="6"/>
  <c r="AC29" i="6"/>
  <c r="AC5" i="6"/>
  <c r="AC70" i="6"/>
  <c r="AC73" i="6"/>
  <c r="AC79" i="6"/>
  <c r="AC67" i="6"/>
  <c r="AC127" i="6"/>
  <c r="AC86" i="6"/>
  <c r="AC147" i="6"/>
  <c r="AC153" i="6"/>
  <c r="AC132" i="6"/>
  <c r="AC157" i="6"/>
  <c r="AC167" i="6"/>
  <c r="AX4" i="6"/>
  <c r="AX5" i="6"/>
  <c r="AX73" i="6"/>
  <c r="AX79" i="6"/>
  <c r="AX127" i="6"/>
  <c r="AX128" i="6"/>
  <c r="AX10" i="6"/>
  <c r="AX84" i="6"/>
  <c r="AX88" i="6"/>
  <c r="AX94" i="6"/>
  <c r="AX86" i="6"/>
  <c r="AX147" i="6"/>
  <c r="AX132" i="6"/>
  <c r="AG170" i="6"/>
  <c r="BB170" i="6" s="1"/>
  <c r="AH170" i="6"/>
  <c r="BC170" i="6" s="1"/>
  <c r="AI170" i="6"/>
  <c r="BD170" i="6" s="1"/>
  <c r="AJ170" i="6"/>
  <c r="BE170" i="6" s="1"/>
  <c r="AK170" i="6"/>
  <c r="AK128" i="6"/>
  <c r="AL170" i="6"/>
  <c r="BG170" i="6" s="1"/>
  <c r="AM170" i="6"/>
  <c r="BH170" i="6" s="1"/>
  <c r="AN170" i="6"/>
  <c r="BI170" i="6" s="1"/>
  <c r="AN128" i="6"/>
  <c r="AO170" i="6"/>
  <c r="BJ170" i="6" s="1"/>
  <c r="AP170" i="6"/>
  <c r="AQ128" i="6"/>
  <c r="BI4" i="6"/>
  <c r="BJ4" i="6"/>
  <c r="BJ5" i="6"/>
  <c r="BK4" i="6"/>
  <c r="BL4" i="6"/>
  <c r="BI5" i="6"/>
  <c r="BK5" i="6"/>
  <c r="BL5" i="6"/>
  <c r="BI10" i="6"/>
  <c r="AP167" i="6"/>
  <c r="BJ10" i="6"/>
  <c r="BK10" i="6"/>
  <c r="BL10" i="6"/>
  <c r="BI29" i="6"/>
  <c r="BJ29" i="6"/>
  <c r="BK29" i="6"/>
  <c r="BL29" i="6"/>
  <c r="AQ153" i="6"/>
  <c r="AN153" i="6"/>
  <c r="AO153" i="6"/>
  <c r="AP153" i="6"/>
  <c r="BI70" i="6"/>
  <c r="BI67" i="6"/>
  <c r="BJ70" i="6"/>
  <c r="BJ67" i="6"/>
  <c r="BK70" i="6"/>
  <c r="BK67" i="6"/>
  <c r="BL70" i="6"/>
  <c r="BL67" i="6"/>
  <c r="BI73" i="6"/>
  <c r="BI79" i="6"/>
  <c r="BI127" i="6"/>
  <c r="BI128" i="6"/>
  <c r="BI84" i="6"/>
  <c r="BI94" i="6"/>
  <c r="BI88" i="6"/>
  <c r="BI86" i="6"/>
  <c r="BI147" i="6"/>
  <c r="BI132" i="6"/>
  <c r="BI173" i="6"/>
  <c r="BJ73" i="6"/>
  <c r="BJ79" i="6"/>
  <c r="BJ127" i="6"/>
  <c r="BJ128" i="6"/>
  <c r="BJ84" i="6"/>
  <c r="BJ94" i="6"/>
  <c r="BJ88" i="6"/>
  <c r="BJ86" i="6"/>
  <c r="BJ147" i="6"/>
  <c r="BJ132" i="6"/>
  <c r="AO157" i="6"/>
  <c r="AP157" i="6"/>
  <c r="AQ157" i="6"/>
  <c r="BK73" i="6"/>
  <c r="BK79" i="6"/>
  <c r="BK127" i="6"/>
  <c r="BK128" i="6"/>
  <c r="BK84" i="6"/>
  <c r="BK94" i="6"/>
  <c r="BK88" i="6"/>
  <c r="BK86" i="6"/>
  <c r="BK147" i="6"/>
  <c r="AP132" i="6"/>
  <c r="AQ132" i="6"/>
  <c r="BL132" i="6" s="1"/>
  <c r="BL73" i="6"/>
  <c r="BL79" i="6"/>
  <c r="BL127" i="6"/>
  <c r="BL128" i="6"/>
  <c r="BL84" i="6"/>
  <c r="BL88" i="6"/>
  <c r="BL86" i="6"/>
  <c r="BL147" i="6"/>
  <c r="AN4" i="6"/>
  <c r="AN5" i="6"/>
  <c r="AN29" i="6"/>
  <c r="AL153" i="6"/>
  <c r="AM153" i="6"/>
  <c r="AN70" i="6"/>
  <c r="AN67" i="6"/>
  <c r="AN73" i="6"/>
  <c r="AN79" i="6"/>
  <c r="AN127" i="6"/>
  <c r="AN86" i="6"/>
  <c r="AN147" i="6"/>
  <c r="AN132" i="6"/>
  <c r="AN157" i="6"/>
  <c r="AO4" i="6"/>
  <c r="AP4" i="6"/>
  <c r="AQ4" i="6"/>
  <c r="AO5" i="6"/>
  <c r="AP5" i="6"/>
  <c r="AQ5" i="6"/>
  <c r="AO29" i="6"/>
  <c r="AP29" i="6"/>
  <c r="AQ29" i="6"/>
  <c r="AP70" i="6"/>
  <c r="AP67" i="6"/>
  <c r="AP73" i="6"/>
  <c r="AP79" i="6"/>
  <c r="AP127" i="6"/>
  <c r="AP86" i="6"/>
  <c r="AP147" i="6"/>
  <c r="AO70" i="6"/>
  <c r="AO67" i="6"/>
  <c r="AQ70" i="6"/>
  <c r="AQ67" i="6"/>
  <c r="AO73" i="6"/>
  <c r="AO79" i="6"/>
  <c r="AO127" i="6"/>
  <c r="AO86" i="6"/>
  <c r="AO147" i="6"/>
  <c r="AO132" i="6"/>
  <c r="AQ73" i="6"/>
  <c r="AQ79" i="6"/>
  <c r="AQ127" i="6"/>
  <c r="AQ86" i="6"/>
  <c r="AQ147" i="6"/>
  <c r="AL127" i="6"/>
  <c r="AK127" i="6"/>
  <c r="AJ127" i="6"/>
  <c r="AH127" i="6"/>
  <c r="AG127" i="6"/>
  <c r="BH173" i="6"/>
  <c r="BF173" i="6"/>
  <c r="BD173" i="6"/>
  <c r="AM132" i="6"/>
  <c r="AM157" i="6"/>
  <c r="AI132" i="6"/>
  <c r="AI157" i="6"/>
  <c r="AI153" i="6"/>
  <c r="AJ167" i="6"/>
  <c r="AK167" i="6"/>
  <c r="AL167" i="6"/>
  <c r="AM73" i="6"/>
  <c r="AM79" i="6"/>
  <c r="AM29" i="6"/>
  <c r="AM5" i="6"/>
  <c r="AM70" i="6"/>
  <c r="AM67" i="6"/>
  <c r="AM127" i="6"/>
  <c r="AM86" i="6"/>
  <c r="AM147" i="6"/>
  <c r="AL73" i="6"/>
  <c r="AL5" i="6"/>
  <c r="AL70" i="6"/>
  <c r="AL79" i="6"/>
  <c r="AL67" i="6"/>
  <c r="AL86" i="6"/>
  <c r="AL147" i="6"/>
  <c r="AL132" i="6"/>
  <c r="AL157" i="6"/>
  <c r="AK73" i="6"/>
  <c r="AK5" i="6"/>
  <c r="AK70" i="6"/>
  <c r="AK79" i="6"/>
  <c r="AK67" i="6"/>
  <c r="AK86" i="6"/>
  <c r="AK147" i="6"/>
  <c r="AK153" i="6"/>
  <c r="AK132" i="6"/>
  <c r="AK157" i="6"/>
  <c r="AJ73" i="6"/>
  <c r="AJ5" i="6"/>
  <c r="AJ70" i="6"/>
  <c r="AJ79" i="6"/>
  <c r="AJ67" i="6"/>
  <c r="AJ86" i="6"/>
  <c r="AJ147" i="6"/>
  <c r="AJ153" i="6"/>
  <c r="AJ132" i="6"/>
  <c r="AI73" i="6"/>
  <c r="AI79" i="6"/>
  <c r="AI5" i="6"/>
  <c r="AI67" i="6"/>
  <c r="AI127" i="6"/>
  <c r="AI86" i="6"/>
  <c r="AI147" i="6"/>
  <c r="AH5" i="6"/>
  <c r="AH70" i="6"/>
  <c r="AH79" i="6"/>
  <c r="AH67" i="6"/>
  <c r="AH128" i="6"/>
  <c r="AH86" i="6"/>
  <c r="AH147" i="6"/>
  <c r="AH157" i="6"/>
  <c r="AG73" i="6"/>
  <c r="AG5" i="6"/>
  <c r="AG67" i="6"/>
  <c r="AG79" i="6"/>
  <c r="AG86" i="6"/>
  <c r="AG147" i="6"/>
  <c r="BH128" i="6"/>
  <c r="BG128" i="6"/>
  <c r="BF128" i="6"/>
  <c r="BE128" i="6"/>
  <c r="BD128" i="6"/>
  <c r="BC128" i="6"/>
  <c r="BB128" i="6"/>
  <c r="BA128" i="6"/>
  <c r="BH127" i="6"/>
  <c r="BG127" i="6"/>
  <c r="BF127" i="6"/>
  <c r="BE127" i="6"/>
  <c r="BD127" i="6"/>
  <c r="BC127" i="6"/>
  <c r="BB127" i="6"/>
  <c r="BA127" i="6"/>
  <c r="BH4" i="6"/>
  <c r="BH29" i="6"/>
  <c r="BH5" i="6"/>
  <c r="BH70" i="6"/>
  <c r="BH73" i="6"/>
  <c r="BH79" i="6"/>
  <c r="BH67" i="6"/>
  <c r="BH10" i="6"/>
  <c r="BH84" i="6"/>
  <c r="BH88" i="6"/>
  <c r="BH94" i="6"/>
  <c r="BH86" i="6"/>
  <c r="BH147" i="6"/>
  <c r="BF132" i="6"/>
  <c r="BF4" i="6"/>
  <c r="BF5" i="6"/>
  <c r="BF70" i="6"/>
  <c r="BF73" i="6"/>
  <c r="BF79" i="6"/>
  <c r="BF67" i="6"/>
  <c r="BF10" i="6"/>
  <c r="BF84" i="6"/>
  <c r="BF94" i="6"/>
  <c r="BF88" i="6"/>
  <c r="BF86" i="6"/>
  <c r="BF147" i="6"/>
  <c r="BD4" i="6"/>
  <c r="BD70" i="6"/>
  <c r="BD73" i="6"/>
  <c r="BD79" i="6"/>
  <c r="BD67" i="6"/>
  <c r="BD10" i="6"/>
  <c r="BD84" i="6"/>
  <c r="BD94" i="6"/>
  <c r="BD88" i="6"/>
  <c r="BD86" i="6"/>
  <c r="BD147" i="6"/>
  <c r="BB4" i="6"/>
  <c r="BB5" i="6"/>
  <c r="BB10" i="6"/>
  <c r="BB70" i="6"/>
  <c r="BB67" i="6"/>
  <c r="BB73" i="6"/>
  <c r="BB79" i="6"/>
  <c r="BA79" i="6"/>
  <c r="BC79" i="6"/>
  <c r="BE79" i="6"/>
  <c r="BG79" i="6"/>
  <c r="BB94" i="6"/>
  <c r="BB88" i="6"/>
  <c r="BB86" i="6"/>
  <c r="BB147" i="6"/>
  <c r="AZ157" i="6"/>
  <c r="AZ147" i="6"/>
  <c r="BG73" i="6"/>
  <c r="BG4" i="6"/>
  <c r="BG5" i="6"/>
  <c r="BG70" i="6"/>
  <c r="BG67" i="6"/>
  <c r="BG10" i="6"/>
  <c r="BG84" i="6"/>
  <c r="BG94" i="6"/>
  <c r="BG88" i="6"/>
  <c r="BG86" i="6"/>
  <c r="BG147" i="6"/>
  <c r="BE73" i="6"/>
  <c r="BE4" i="6"/>
  <c r="BE10" i="6"/>
  <c r="BE5" i="6"/>
  <c r="BE70" i="6"/>
  <c r="BE67" i="6"/>
  <c r="BE84" i="6"/>
  <c r="BE94" i="6"/>
  <c r="BE88" i="6"/>
  <c r="BE86" i="6"/>
  <c r="BE147" i="6"/>
  <c r="BE132" i="6"/>
  <c r="BC73" i="6"/>
  <c r="BC4" i="6"/>
  <c r="BC5" i="6"/>
  <c r="BC70" i="6"/>
  <c r="BC67" i="6"/>
  <c r="BC10" i="6"/>
  <c r="BC84" i="6"/>
  <c r="BC94" i="6"/>
  <c r="BC88" i="6"/>
  <c r="BC86" i="6"/>
  <c r="BC147" i="6"/>
  <c r="BA73" i="6"/>
  <c r="BA4" i="6"/>
  <c r="BA5" i="6"/>
  <c r="BA70" i="6"/>
  <c r="BA67" i="6"/>
  <c r="BA10" i="6"/>
  <c r="BA84" i="6"/>
  <c r="BA94" i="6"/>
  <c r="BA86" i="6"/>
  <c r="BA88" i="6"/>
  <c r="BA147" i="6"/>
  <c r="B70" i="6"/>
  <c r="B156" i="6"/>
  <c r="B132" i="6"/>
  <c r="B157" i="6"/>
  <c r="B158" i="6"/>
  <c r="B127" i="6"/>
  <c r="B170" i="6"/>
  <c r="B173" i="6"/>
  <c r="B67" i="6"/>
  <c r="B73" i="6"/>
  <c r="B79" i="6"/>
  <c r="A15" i="1"/>
  <c r="C50" i="1"/>
  <c r="D16" i="3"/>
  <c r="C47" i="2"/>
  <c r="E44" i="2"/>
  <c r="C44" i="2"/>
  <c r="E32" i="2"/>
  <c r="E30" i="2"/>
  <c r="C32" i="2"/>
  <c r="C30" i="2"/>
  <c r="E23" i="2"/>
  <c r="C23" i="2"/>
  <c r="G21" i="2"/>
  <c r="F21" i="2"/>
  <c r="E21" i="2"/>
  <c r="C21" i="2"/>
  <c r="C17" i="2"/>
  <c r="G17" i="2"/>
  <c r="D33" i="4"/>
  <c r="E33" i="4"/>
  <c r="F33" i="4"/>
  <c r="F37" i="4"/>
  <c r="C37" i="4"/>
  <c r="C33" i="4"/>
  <c r="D17" i="3"/>
  <c r="G17" i="3" s="1"/>
  <c r="M21" i="1"/>
  <c r="E26" i="4"/>
  <c r="E23" i="4"/>
  <c r="E19" i="4"/>
  <c r="D13" i="4"/>
  <c r="C19" i="4"/>
  <c r="C23" i="4"/>
  <c r="C26" i="4"/>
  <c r="F26" i="4"/>
  <c r="F23" i="4"/>
  <c r="F19" i="4"/>
  <c r="D26" i="4"/>
  <c r="D23" i="4"/>
  <c r="D19" i="4"/>
  <c r="B10" i="4"/>
  <c r="C27" i="3"/>
  <c r="C24" i="3"/>
  <c r="C20" i="3"/>
  <c r="C15" i="3"/>
  <c r="D4" i="4"/>
  <c r="D4" i="3"/>
  <c r="B8" i="3"/>
  <c r="B8" i="4" s="1"/>
  <c r="F27" i="3"/>
  <c r="E27" i="3"/>
  <c r="F24" i="3"/>
  <c r="E24" i="3"/>
  <c r="F20" i="3"/>
  <c r="F15" i="3"/>
  <c r="E20" i="3"/>
  <c r="E15" i="3"/>
  <c r="D37" i="4"/>
  <c r="M47" i="2"/>
  <c r="M52" i="2" s="1"/>
  <c r="D28" i="3"/>
  <c r="D27" i="3" s="1"/>
  <c r="D25" i="3"/>
  <c r="D24" i="3" s="1"/>
  <c r="BB157" i="6"/>
  <c r="M39" i="2"/>
  <c r="M44" i="2" s="1"/>
  <c r="AX157" i="6"/>
  <c r="D22" i="3"/>
  <c r="G22" i="3" s="1"/>
  <c r="AI128" i="6"/>
  <c r="AM128" i="6"/>
  <c r="AP128" i="6"/>
  <c r="AQ76" i="6"/>
  <c r="D185" i="6"/>
  <c r="AY128" i="6"/>
  <c r="D196" i="6"/>
  <c r="AD76" i="6"/>
  <c r="AL76" i="6"/>
  <c r="AM76" i="6"/>
  <c r="AO76" i="6"/>
  <c r="AJ76" i="6"/>
  <c r="AG128" i="6"/>
  <c r="AJ128" i="6"/>
  <c r="AD128" i="6"/>
  <c r="AC128" i="6"/>
  <c r="AO128" i="6"/>
  <c r="AD71" i="6"/>
  <c r="BA71" i="6"/>
  <c r="AC71" i="6"/>
  <c r="AL128" i="6"/>
  <c r="AH71" i="6"/>
  <c r="AG76" i="6"/>
  <c r="AM71" i="6"/>
  <c r="AJ71" i="6"/>
  <c r="AK71" i="6"/>
  <c r="AL71" i="6"/>
  <c r="AN71" i="6"/>
  <c r="AG71" i="6"/>
  <c r="BG132" i="6"/>
  <c r="AP71" i="6"/>
  <c r="AI71" i="6"/>
  <c r="AO71" i="6"/>
  <c r="AQ71" i="6"/>
  <c r="AY132" i="6"/>
  <c r="M32" i="2"/>
  <c r="M30" i="1"/>
  <c r="BC132" i="6"/>
  <c r="AK76" i="6"/>
  <c r="AN76" i="6"/>
  <c r="BE76" i="6"/>
  <c r="AH76" i="6"/>
  <c r="AP76" i="6"/>
  <c r="AI76" i="6"/>
  <c r="E47" i="2"/>
  <c r="F23" i="2"/>
  <c r="G44" i="2"/>
  <c r="G30" i="2"/>
  <c r="G23" i="2"/>
  <c r="G32" i="2"/>
  <c r="F44" i="2"/>
  <c r="G47" i="2"/>
  <c r="G52" i="2" s="1"/>
  <c r="F30" i="2"/>
  <c r="F47" i="2"/>
  <c r="F52" i="2" s="1"/>
  <c r="F32" i="2"/>
  <c r="D47" i="7" l="1"/>
  <c r="J47" i="7"/>
  <c r="H47" i="7"/>
  <c r="I47" i="7"/>
  <c r="BS157" i="6"/>
  <c r="BT173" i="6"/>
  <c r="BT167" i="6"/>
  <c r="BS88" i="6"/>
  <c r="BS4" i="6"/>
  <c r="BT67" i="6"/>
  <c r="BT83" i="6"/>
  <c r="BS178" i="6"/>
  <c r="BT178" i="6"/>
  <c r="BT177" i="6"/>
  <c r="BS177" i="6"/>
  <c r="BS71" i="6"/>
  <c r="BS179" i="6"/>
  <c r="BT179" i="6"/>
  <c r="BS36" i="6"/>
  <c r="BT94" i="6"/>
  <c r="BS82" i="6"/>
  <c r="BT180" i="6"/>
  <c r="BS180" i="6"/>
  <c r="BS67" i="6"/>
  <c r="BT79" i="6"/>
  <c r="BT128" i="6"/>
  <c r="BT73" i="6"/>
  <c r="BS81" i="6"/>
  <c r="BS186" i="6"/>
  <c r="BT186" i="6"/>
  <c r="BS34" i="6"/>
  <c r="BS70" i="6"/>
  <c r="BT37" i="6"/>
  <c r="BS128" i="6"/>
  <c r="BT132" i="6"/>
  <c r="BT70" i="6"/>
  <c r="BT36" i="6"/>
  <c r="BT80" i="6"/>
  <c r="BS188" i="6"/>
  <c r="BT188" i="6"/>
  <c r="BT68" i="6"/>
  <c r="BS37" i="6"/>
  <c r="BS196" i="6"/>
  <c r="BT196" i="6"/>
  <c r="BS127" i="6"/>
  <c r="BT153" i="6"/>
  <c r="BT5" i="6"/>
  <c r="BT76" i="6"/>
  <c r="BS35" i="6"/>
  <c r="BS83" i="6"/>
  <c r="BT189" i="6"/>
  <c r="BS189" i="6"/>
  <c r="BS68" i="6"/>
  <c r="BS84" i="6"/>
  <c r="BS147" i="6"/>
  <c r="BS79" i="6"/>
  <c r="BT147" i="6"/>
  <c r="BT29" i="6"/>
  <c r="BT88" i="6"/>
  <c r="BT84" i="6"/>
  <c r="BT82" i="6"/>
  <c r="BS190" i="6"/>
  <c r="BT190" i="6"/>
  <c r="BT185" i="6"/>
  <c r="BS185" i="6"/>
  <c r="BT71" i="6"/>
  <c r="BS86" i="6"/>
  <c r="BS73" i="6"/>
  <c r="BT86" i="6"/>
  <c r="BT4" i="6"/>
  <c r="BT81" i="6"/>
  <c r="BS191" i="6"/>
  <c r="BT191" i="6"/>
  <c r="BS29" i="6"/>
  <c r="BS94" i="6"/>
  <c r="BS5" i="6"/>
  <c r="BT127" i="6"/>
  <c r="BT35" i="6"/>
  <c r="BS80" i="6"/>
  <c r="BS195" i="6"/>
  <c r="BT195" i="6"/>
  <c r="BS76" i="6"/>
  <c r="BT152" i="6"/>
  <c r="BT133" i="6"/>
  <c r="BS10" i="6"/>
  <c r="BT10" i="6"/>
  <c r="B12" i="6"/>
  <c r="B26" i="6"/>
  <c r="B8" i="6"/>
  <c r="B20" i="6"/>
  <c r="B11" i="6"/>
  <c r="B21" i="6"/>
  <c r="B25" i="6"/>
  <c r="B103" i="6"/>
  <c r="B97" i="6"/>
  <c r="B118" i="6"/>
  <c r="E44" i="7"/>
  <c r="F44" i="7"/>
  <c r="G44" i="7"/>
  <c r="D44" i="7"/>
  <c r="E23" i="7"/>
  <c r="D23" i="7"/>
  <c r="F23" i="7"/>
  <c r="G23" i="7"/>
  <c r="D30" i="7"/>
  <c r="D17" i="7"/>
  <c r="F17" i="7"/>
  <c r="E17" i="7"/>
  <c r="G17" i="7"/>
  <c r="D32" i="7"/>
  <c r="E32" i="7"/>
  <c r="F32" i="7"/>
  <c r="G32" i="7"/>
  <c r="D21" i="7"/>
  <c r="E21" i="7"/>
  <c r="F21" i="7"/>
  <c r="G21" i="7"/>
  <c r="E47" i="7"/>
  <c r="F47" i="7"/>
  <c r="G47" i="7"/>
  <c r="B17" i="6"/>
  <c r="B22" i="6"/>
  <c r="B23" i="6"/>
  <c r="B27" i="6"/>
  <c r="B24" i="6"/>
  <c r="B13" i="6"/>
  <c r="B16" i="6"/>
  <c r="B117" i="6"/>
  <c r="B119" i="6"/>
  <c r="B124" i="6"/>
  <c r="B123" i="6"/>
  <c r="B122" i="6"/>
  <c r="E52" i="2"/>
  <c r="L26" i="2"/>
  <c r="L20" i="2"/>
  <c r="L35" i="2"/>
  <c r="L41" i="1"/>
  <c r="BR158" i="6"/>
  <c r="M17" i="2"/>
  <c r="L43" i="2"/>
  <c r="L50" i="2"/>
  <c r="L22" i="1"/>
  <c r="L24" i="2"/>
  <c r="BR70" i="6"/>
  <c r="BR83" i="6"/>
  <c r="BR152" i="6"/>
  <c r="BR94" i="6"/>
  <c r="BR135" i="6"/>
  <c r="BR71" i="6"/>
  <c r="BR147" i="6"/>
  <c r="BR5" i="6"/>
  <c r="BR36" i="6"/>
  <c r="BR86" i="6"/>
  <c r="BR29" i="6"/>
  <c r="BR76" i="6"/>
  <c r="BR80" i="6"/>
  <c r="BR37" i="6"/>
  <c r="BR127" i="6"/>
  <c r="BR4" i="6"/>
  <c r="BR68" i="6"/>
  <c r="BR67" i="6"/>
  <c r="BR88" i="6"/>
  <c r="BR84" i="6"/>
  <c r="BR82" i="6"/>
  <c r="BR128" i="6"/>
  <c r="BR79" i="6"/>
  <c r="BR35" i="6"/>
  <c r="BR81" i="6"/>
  <c r="BR10" i="6"/>
  <c r="BR73" i="6"/>
  <c r="C17" i="7"/>
  <c r="C32" i="7"/>
  <c r="C21" i="7"/>
  <c r="C44" i="7"/>
  <c r="C23" i="7"/>
  <c r="C47" i="7"/>
  <c r="C30" i="7"/>
  <c r="I36" i="2"/>
  <c r="H36" i="2"/>
  <c r="AW47" i="9"/>
  <c r="BA47" i="9"/>
  <c r="AS47" i="9"/>
  <c r="B4" i="9"/>
  <c r="B28" i="6"/>
  <c r="C52" i="2"/>
  <c r="E74" i="9"/>
  <c r="M37" i="1"/>
  <c r="M42" i="1" s="1"/>
  <c r="M15" i="1"/>
  <c r="BA43" i="9"/>
  <c r="B19" i="6"/>
  <c r="AZ45" i="9"/>
  <c r="BA49" i="9"/>
  <c r="F66" i="9"/>
  <c r="BD25" i="9"/>
  <c r="B99" i="6"/>
  <c r="B100" i="6"/>
  <c r="B75" i="6"/>
  <c r="B77" i="6"/>
  <c r="B72" i="6"/>
  <c r="B101" i="6"/>
  <c r="F29" i="4"/>
  <c r="E64" i="9"/>
  <c r="BB156" i="6"/>
  <c r="L48" i="1"/>
  <c r="L33" i="1"/>
  <c r="L24" i="1"/>
  <c r="B7" i="6"/>
  <c r="B6" i="6"/>
  <c r="BD9" i="9"/>
  <c r="AE18" i="9"/>
  <c r="BD34" i="9"/>
  <c r="AX44" i="9"/>
  <c r="AT44" i="9"/>
  <c r="AP44" i="9"/>
  <c r="U45" i="9"/>
  <c r="B14" i="6"/>
  <c r="B166" i="6"/>
  <c r="C29" i="4"/>
  <c r="M28" i="1"/>
  <c r="M34" i="1" s="1"/>
  <c r="M30" i="2"/>
  <c r="M36" i="2" s="1"/>
  <c r="AK17" i="9"/>
  <c r="AG17" i="9"/>
  <c r="AC17" i="9"/>
  <c r="Y17" i="9"/>
  <c r="AA18" i="9"/>
  <c r="BD21" i="9"/>
  <c r="Y45" i="9"/>
  <c r="U47" i="9"/>
  <c r="Z47" i="9"/>
  <c r="AO47" i="9" s="1"/>
  <c r="U50" i="9"/>
  <c r="M19" i="1"/>
  <c r="D21" i="3"/>
  <c r="G21" i="3" s="1"/>
  <c r="E197" i="6"/>
  <c r="BD13" i="9"/>
  <c r="AS17" i="9"/>
  <c r="AJ17" i="9"/>
  <c r="AF17" i="9"/>
  <c r="AB17" i="9"/>
  <c r="B104" i="6"/>
  <c r="D49" i="9"/>
  <c r="BA48" i="9"/>
  <c r="AW48" i="9"/>
  <c r="AY199" i="6"/>
  <c r="AF199" i="6"/>
  <c r="BD199" i="6"/>
  <c r="BA199" i="6"/>
  <c r="BK199" i="6"/>
  <c r="B90" i="6"/>
  <c r="B89" i="6"/>
  <c r="B91" i="6"/>
  <c r="B15" i="6"/>
  <c r="B165" i="6"/>
  <c r="D29" i="4"/>
  <c r="AX173" i="6"/>
  <c r="BF170" i="6"/>
  <c r="BJ199" i="6"/>
  <c r="AZ132" i="6"/>
  <c r="BR132" i="6" s="1"/>
  <c r="B94" i="6"/>
  <c r="C30" i="3"/>
  <c r="E79" i="9"/>
  <c r="M50" i="1"/>
  <c r="AX170" i="6"/>
  <c r="BD5" i="9"/>
  <c r="BD14" i="9"/>
  <c r="BD15" i="9"/>
  <c r="BD19" i="9"/>
  <c r="BD24" i="9"/>
  <c r="BD27" i="9"/>
  <c r="BD32" i="9"/>
  <c r="BD38" i="9"/>
  <c r="U48" i="9"/>
  <c r="E30" i="3"/>
  <c r="C27" i="2"/>
  <c r="E184" i="6"/>
  <c r="BD4" i="9"/>
  <c r="BD8" i="9"/>
  <c r="BD22" i="9"/>
  <c r="BD23" i="9"/>
  <c r="BD26" i="9"/>
  <c r="BD35" i="9"/>
  <c r="BD36" i="9"/>
  <c r="AV45" i="9"/>
  <c r="AR45" i="9"/>
  <c r="AN45" i="9"/>
  <c r="AX46" i="9"/>
  <c r="AT46" i="9"/>
  <c r="AP46" i="9"/>
  <c r="AO49" i="9"/>
  <c r="AY51" i="9"/>
  <c r="AU51" i="9"/>
  <c r="AQ51" i="9"/>
  <c r="U54" i="9"/>
  <c r="D74" i="9"/>
  <c r="F74" i="9" s="1"/>
  <c r="D48" i="9"/>
  <c r="M21" i="2"/>
  <c r="F30" i="3"/>
  <c r="E29" i="4"/>
  <c r="BD7" i="9"/>
  <c r="BD12" i="9"/>
  <c r="AC48" i="9"/>
  <c r="AS48" i="9" s="1"/>
  <c r="AS49" i="9"/>
  <c r="BD54" i="9"/>
  <c r="D64" i="9"/>
  <c r="BD6" i="9"/>
  <c r="BD10" i="9"/>
  <c r="BD11" i="9"/>
  <c r="BD16" i="9"/>
  <c r="BD20" i="9"/>
  <c r="BD33" i="9"/>
  <c r="BD40" i="9"/>
  <c r="AW43" i="9"/>
  <c r="AS43" i="9"/>
  <c r="AW49" i="9"/>
  <c r="B31" i="9"/>
  <c r="B88" i="6"/>
  <c r="B83" i="6"/>
  <c r="B28" i="9"/>
  <c r="B29" i="9"/>
  <c r="B30" i="9"/>
  <c r="B69" i="6"/>
  <c r="B61" i="9"/>
  <c r="B9" i="6"/>
  <c r="B80" i="6"/>
  <c r="B167" i="6"/>
  <c r="B5" i="6"/>
  <c r="B84" i="6"/>
  <c r="B4" i="6"/>
  <c r="AQ170" i="6"/>
  <c r="BT170" i="6" s="1"/>
  <c r="D181" i="6"/>
  <c r="AD34" i="6"/>
  <c r="AJ34" i="6"/>
  <c r="AJ199" i="6" s="1"/>
  <c r="AN34" i="6"/>
  <c r="D183" i="6"/>
  <c r="AG34" i="6"/>
  <c r="AG199" i="6" s="1"/>
  <c r="AK34" i="6"/>
  <c r="AO34" i="6"/>
  <c r="AH34" i="6"/>
  <c r="AH199" i="6" s="1"/>
  <c r="AL34" i="6"/>
  <c r="AP34" i="6"/>
  <c r="AC34" i="6"/>
  <c r="AI34" i="6"/>
  <c r="AI199" i="6" s="1"/>
  <c r="AM34" i="6"/>
  <c r="AQ34" i="6"/>
  <c r="AE34" i="6"/>
  <c r="D187" i="6"/>
  <c r="G16" i="3"/>
  <c r="BD37" i="9"/>
  <c r="F69" i="9"/>
  <c r="G28" i="3"/>
  <c r="G27" i="3" s="1"/>
  <c r="BL173" i="6"/>
  <c r="M23" i="2"/>
  <c r="AX156" i="6"/>
  <c r="BS156" i="6" s="1"/>
  <c r="AE157" i="6"/>
  <c r="BR157" i="6" s="1"/>
  <c r="AU18" i="9"/>
  <c r="AL18" i="9"/>
  <c r="AH18" i="9"/>
  <c r="AD18" i="9"/>
  <c r="Z18" i="9"/>
  <c r="AO43" i="9"/>
  <c r="AO48" i="9"/>
  <c r="BD48" i="9" s="1"/>
  <c r="AO55" i="9"/>
  <c r="BD55" i="9" s="1"/>
  <c r="AK18" i="9"/>
  <c r="AG18" i="9"/>
  <c r="AC18" i="9"/>
  <c r="Y18" i="9"/>
  <c r="U37" i="9"/>
  <c r="D18" i="3"/>
  <c r="G18" i="3" s="1"/>
  <c r="C36" i="2"/>
  <c r="G25" i="3"/>
  <c r="G24" i="3" s="1"/>
  <c r="AJ18" i="9"/>
  <c r="AF18" i="9"/>
  <c r="AB18" i="9"/>
  <c r="B26" i="9"/>
  <c r="B147" i="6"/>
  <c r="U49" i="9"/>
  <c r="BC173" i="6"/>
  <c r="BC199" i="6" s="1"/>
  <c r="B178" i="6"/>
  <c r="B62" i="9"/>
  <c r="B177" i="6"/>
  <c r="B188" i="6"/>
  <c r="B27" i="9"/>
  <c r="B63" i="9"/>
  <c r="E27" i="2"/>
  <c r="B5" i="9"/>
  <c r="B6" i="9"/>
  <c r="B10" i="6"/>
  <c r="B82" i="6"/>
  <c r="B7" i="9"/>
  <c r="B43" i="9"/>
  <c r="B59" i="9"/>
  <c r="F27" i="2"/>
  <c r="B81" i="6"/>
  <c r="B8" i="9"/>
  <c r="B40" i="9"/>
  <c r="B44" i="9"/>
  <c r="B51" i="9"/>
  <c r="B60" i="9"/>
  <c r="B70" i="9"/>
  <c r="B179" i="6"/>
  <c r="G36" i="2"/>
  <c r="G27" i="2"/>
  <c r="E36" i="2"/>
  <c r="F36" i="2"/>
  <c r="BE173" i="6"/>
  <c r="BH133" i="6"/>
  <c r="BR133" i="6" s="1"/>
  <c r="BG173" i="6"/>
  <c r="BB173" i="6"/>
  <c r="BR153" i="6"/>
  <c r="D192" i="6"/>
  <c r="D52" i="7" l="1"/>
  <c r="H52" i="7"/>
  <c r="I52" i="7"/>
  <c r="J52" i="7"/>
  <c r="D182" i="6"/>
  <c r="BT181" i="6"/>
  <c r="BS181" i="6"/>
  <c r="BT157" i="6"/>
  <c r="F187" i="6"/>
  <c r="BS187" i="6"/>
  <c r="BT187" i="6"/>
  <c r="F192" i="6"/>
  <c r="BT192" i="6"/>
  <c r="BS192" i="6"/>
  <c r="BS170" i="6"/>
  <c r="BS173" i="6"/>
  <c r="BS183" i="6"/>
  <c r="BT183" i="6"/>
  <c r="BS133" i="6"/>
  <c r="BT34" i="6"/>
  <c r="BS132" i="6"/>
  <c r="D36" i="7"/>
  <c r="E52" i="7"/>
  <c r="F52" i="7"/>
  <c r="G52" i="7"/>
  <c r="L19" i="2"/>
  <c r="C52" i="7"/>
  <c r="L42" i="2"/>
  <c r="H54" i="2"/>
  <c r="L49" i="2"/>
  <c r="I54" i="2"/>
  <c r="L41" i="2"/>
  <c r="L39" i="1"/>
  <c r="L38" i="1"/>
  <c r="L40" i="1"/>
  <c r="L18" i="2"/>
  <c r="BD44" i="9"/>
  <c r="BD51" i="9"/>
  <c r="L40" i="2"/>
  <c r="L34" i="2"/>
  <c r="L48" i="2"/>
  <c r="L33" i="2"/>
  <c r="L31" i="2"/>
  <c r="L25" i="2"/>
  <c r="L23" i="1"/>
  <c r="BR173" i="6"/>
  <c r="BR170" i="6"/>
  <c r="BR34" i="6"/>
  <c r="BR156" i="6"/>
  <c r="D184" i="6"/>
  <c r="C27" i="7"/>
  <c r="C36" i="7"/>
  <c r="BD49" i="9"/>
  <c r="M25" i="1"/>
  <c r="M52" i="1" s="1"/>
  <c r="D20" i="3"/>
  <c r="G20" i="3" s="1"/>
  <c r="G54" i="2"/>
  <c r="B50" i="7"/>
  <c r="B43" i="7"/>
  <c r="B20" i="7"/>
  <c r="B26" i="7"/>
  <c r="B35" i="7"/>
  <c r="B24" i="7"/>
  <c r="BD47" i="9"/>
  <c r="BD17" i="9"/>
  <c r="D57" i="9"/>
  <c r="BD45" i="9"/>
  <c r="BD46" i="9"/>
  <c r="BB199" i="6"/>
  <c r="L49" i="1"/>
  <c r="L31" i="1"/>
  <c r="L32" i="1"/>
  <c r="L29" i="1"/>
  <c r="BE199" i="6"/>
  <c r="AC199" i="6"/>
  <c r="F64" i="9"/>
  <c r="BD43" i="9"/>
  <c r="D1" i="9"/>
  <c r="AX199" i="6"/>
  <c r="AX200" i="6" s="1"/>
  <c r="AY200" i="6" s="1"/>
  <c r="E199" i="6"/>
  <c r="AE199" i="6"/>
  <c r="AD199" i="6"/>
  <c r="BL199" i="6"/>
  <c r="BH199" i="6"/>
  <c r="AK199" i="6"/>
  <c r="BF199" i="6"/>
  <c r="AZ199" i="6"/>
  <c r="AO199" i="6"/>
  <c r="BG199" i="6"/>
  <c r="AN199" i="6"/>
  <c r="AL199" i="6"/>
  <c r="AM199" i="6"/>
  <c r="AP199" i="6"/>
  <c r="M27" i="2"/>
  <c r="M54" i="2" s="1"/>
  <c r="C52" i="1"/>
  <c r="D52" i="1"/>
  <c r="C54" i="2"/>
  <c r="BD18" i="9"/>
  <c r="D15" i="3"/>
  <c r="G15" i="3" s="1"/>
  <c r="D75" i="9"/>
  <c r="D79" i="9" s="1"/>
  <c r="F79" i="9" s="1"/>
  <c r="F54" i="2"/>
  <c r="E54" i="2"/>
  <c r="D193" i="6"/>
  <c r="L46" i="1"/>
  <c r="L30" i="1" l="1"/>
  <c r="BT193" i="6"/>
  <c r="BS193" i="6"/>
  <c r="F184" i="6"/>
  <c r="BS184" i="6"/>
  <c r="BT184" i="6"/>
  <c r="BS182" i="6"/>
  <c r="BT182" i="6"/>
  <c r="L23" i="2"/>
  <c r="N23" i="2" s="1"/>
  <c r="L51" i="2"/>
  <c r="L32" i="2"/>
  <c r="AC200" i="6"/>
  <c r="AD200" i="6" s="1"/>
  <c r="AE200" i="6" s="1"/>
  <c r="AF200" i="6" s="1"/>
  <c r="AG200" i="6" s="1"/>
  <c r="AH200" i="6" s="1"/>
  <c r="AI200" i="6" s="1"/>
  <c r="AJ200" i="6" s="1"/>
  <c r="B19" i="7"/>
  <c r="G30" i="3"/>
  <c r="L15" i="1"/>
  <c r="B40" i="7"/>
  <c r="L47" i="1"/>
  <c r="B49" i="7" s="1"/>
  <c r="L17" i="2"/>
  <c r="N17" i="2" s="1"/>
  <c r="B18" i="7"/>
  <c r="B41" i="7"/>
  <c r="B34" i="7"/>
  <c r="L21" i="1"/>
  <c r="B25" i="7"/>
  <c r="B42" i="7"/>
  <c r="L28" i="1"/>
  <c r="B31" i="7"/>
  <c r="B33" i="7"/>
  <c r="B48" i="7"/>
  <c r="AZ200" i="6"/>
  <c r="BA200" i="6" s="1"/>
  <c r="BB200" i="6" s="1"/>
  <c r="BC200" i="6" s="1"/>
  <c r="BD200" i="6" s="1"/>
  <c r="BE200" i="6" s="1"/>
  <c r="BF200" i="6" s="1"/>
  <c r="D30" i="3"/>
  <c r="L37" i="1"/>
  <c r="L39" i="2"/>
  <c r="L44" i="2" s="1"/>
  <c r="L30" i="2"/>
  <c r="N30" i="2" s="1"/>
  <c r="B23" i="7" l="1"/>
  <c r="L47" i="2"/>
  <c r="L52" i="2" s="1"/>
  <c r="B21" i="5"/>
  <c r="B17" i="7"/>
  <c r="B30" i="7"/>
  <c r="B51" i="7"/>
  <c r="N28" i="1"/>
  <c r="L34" i="1"/>
  <c r="B32" i="7"/>
  <c r="L42" i="1"/>
  <c r="B44" i="7" s="1"/>
  <c r="B39" i="7"/>
  <c r="L45" i="1"/>
  <c r="AK200" i="6"/>
  <c r="BG200" i="6"/>
  <c r="N15" i="1"/>
  <c r="L36" i="2"/>
  <c r="N32" i="2"/>
  <c r="N37" i="1"/>
  <c r="N30" i="1"/>
  <c r="N39" i="2"/>
  <c r="N44" i="2" l="1"/>
  <c r="N47" i="2"/>
  <c r="N42" i="1"/>
  <c r="N34" i="1"/>
  <c r="B36" i="7"/>
  <c r="L50" i="1"/>
  <c r="B47" i="7"/>
  <c r="BH200" i="6"/>
  <c r="AL200" i="6"/>
  <c r="N36" i="2"/>
  <c r="N21" i="1"/>
  <c r="N45" i="1"/>
  <c r="N52" i="2" l="1"/>
  <c r="B52" i="7"/>
  <c r="AM200" i="6"/>
  <c r="N50" i="1"/>
  <c r="D27" i="2"/>
  <c r="H27" i="7" l="1"/>
  <c r="I27" i="7"/>
  <c r="G27" i="7"/>
  <c r="D27" i="7"/>
  <c r="E27" i="7"/>
  <c r="F27" i="7"/>
  <c r="AN200" i="6"/>
  <c r="D54" i="2"/>
  <c r="AO200" i="6" l="1"/>
  <c r="AQ199" i="6"/>
  <c r="L22" i="2" l="1"/>
  <c r="L21" i="2" s="1"/>
  <c r="N21" i="2" s="1"/>
  <c r="AP200" i="6"/>
  <c r="BI199" i="6"/>
  <c r="BI200" i="6" s="1"/>
  <c r="AQ200" i="6" l="1"/>
  <c r="BJ200" i="6"/>
  <c r="L27" i="2"/>
  <c r="N27" i="2"/>
  <c r="AR200" i="6" l="1"/>
  <c r="N54" i="2"/>
  <c r="BK200" i="6"/>
  <c r="L54" i="2"/>
  <c r="AS200" i="6" l="1"/>
  <c r="AT200" i="6" s="1"/>
  <c r="AU200" i="6" s="1"/>
  <c r="AV200" i="6" s="1"/>
  <c r="BL200" i="6"/>
  <c r="D1" i="6"/>
  <c r="D175" i="6"/>
  <c r="D194" i="6"/>
  <c r="D197" i="6" l="1"/>
  <c r="BS194" i="6"/>
  <c r="BT194" i="6"/>
  <c r="BS175" i="6"/>
  <c r="BT175" i="6"/>
  <c r="BM200" i="6"/>
  <c r="BN200" i="6" s="1"/>
  <c r="BO200" i="6" s="1"/>
  <c r="D199" i="6"/>
  <c r="F197" i="6" l="1"/>
  <c r="F199" i="6" s="1"/>
  <c r="BT197" i="6"/>
  <c r="BS197" i="6"/>
  <c r="R199" i="6"/>
  <c r="F28" i="1" l="1"/>
  <c r="H30" i="7" l="1"/>
  <c r="I30" i="7"/>
  <c r="J30" i="7"/>
  <c r="E30" i="7"/>
  <c r="G30" i="7"/>
  <c r="F30" i="7"/>
  <c r="F34" i="1"/>
  <c r="H36" i="7" l="1"/>
  <c r="I36" i="7"/>
  <c r="J36" i="7"/>
  <c r="G36" i="7"/>
  <c r="E36" i="7"/>
  <c r="F36" i="7"/>
  <c r="F52" i="1"/>
  <c r="J20" i="1" l="1"/>
  <c r="BR167" i="6"/>
  <c r="BP199" i="6"/>
  <c r="BP200" i="6" s="1"/>
  <c r="BQ200" i="6" s="1"/>
  <c r="BQ203" i="6" s="1"/>
  <c r="BQ205" i="6" s="1"/>
  <c r="L20" i="1" l="1"/>
  <c r="B22" i="7" s="1"/>
  <c r="J22" i="7"/>
  <c r="J19" i="1"/>
  <c r="J21" i="7" s="1"/>
  <c r="BR199" i="6"/>
  <c r="L19" i="1" l="1"/>
  <c r="N19" i="1" s="1"/>
  <c r="J25" i="1"/>
  <c r="J27" i="7" s="1"/>
  <c r="B21" i="7" l="1"/>
  <c r="L25" i="1"/>
  <c r="B27" i="7" s="1"/>
  <c r="N25" i="1"/>
  <c r="J52" i="1"/>
  <c r="L52" i="1" l="1"/>
  <c r="N52" i="1"/>
</calcChain>
</file>

<file path=xl/comments1.xml><?xml version="1.0" encoding="utf-8"?>
<comments xmlns="http://schemas.openxmlformats.org/spreadsheetml/2006/main">
  <authors>
    <author>Josue Andreé Ricart Vásquez</author>
    <author>Josue Ricart</author>
  </authors>
  <commentList>
    <comment ref="C4" authorId="0" shapeId="0">
      <text>
        <r>
          <rPr>
            <b/>
            <sz val="9"/>
            <color indexed="81"/>
            <rFont val="Tahoma"/>
            <family val="2"/>
          </rPr>
          <t>Josue Andreé Ricart Vásquez:</t>
        </r>
        <r>
          <rPr>
            <sz val="9"/>
            <color indexed="81"/>
            <rFont val="Tahoma"/>
            <family val="2"/>
          </rPr>
          <t xml:space="preserve">
FHI</t>
        </r>
      </text>
    </comment>
    <comment ref="C5" authorId="0" shapeId="0">
      <text>
        <r>
          <rPr>
            <b/>
            <sz val="9"/>
            <color indexed="81"/>
            <rFont val="Tahoma"/>
            <family val="2"/>
          </rPr>
          <t>Josue Andreé Ricart Vásquez:</t>
        </r>
        <r>
          <rPr>
            <sz val="9"/>
            <color indexed="81"/>
            <rFont val="Tahoma"/>
            <family val="2"/>
          </rPr>
          <t xml:space="preserve">
Universidades Programas de Formación</t>
        </r>
      </text>
    </comment>
    <comment ref="D5" authorId="0" shapeId="0">
      <text>
        <r>
          <rPr>
            <b/>
            <sz val="9"/>
            <color indexed="81"/>
            <rFont val="Tahoma"/>
            <family val="2"/>
          </rPr>
          <t>Josue Andreé Ricart Vásquez:</t>
        </r>
        <r>
          <rPr>
            <sz val="9"/>
            <color indexed="81"/>
            <rFont val="Tahoma"/>
            <family val="2"/>
          </rPr>
          <t xml:space="preserve">
Cambia de 3M a 4M ya *****
ADJUDICADO***
UPANA 1,185,760.00
INTERNACIONES 1,866,155.00
UNIVERSIDAD DEL VALLE 972,082.83</t>
        </r>
      </text>
    </comment>
    <comment ref="C11" authorId="0" shapeId="0">
      <text>
        <r>
          <rPr>
            <b/>
            <sz val="9"/>
            <color indexed="81"/>
            <rFont val="Tahoma"/>
            <family val="2"/>
          </rPr>
          <t>Josue Andreé Ricart Vásquez:</t>
        </r>
        <r>
          <rPr>
            <sz val="9"/>
            <color indexed="81"/>
            <rFont val="Tahoma"/>
            <family val="2"/>
          </rPr>
          <t xml:space="preserve">
Firma Consultora para la Revisión de dos carreras y creación de dos nuevas ENCA</t>
        </r>
      </text>
    </comment>
    <comment ref="D11" authorId="0" shapeId="0">
      <text>
        <r>
          <rPr>
            <b/>
            <sz val="9"/>
            <color indexed="81"/>
            <rFont val="Tahoma"/>
            <family val="2"/>
          </rPr>
          <t>Josue Andreé Ricart Vásquez:</t>
        </r>
        <r>
          <rPr>
            <sz val="9"/>
            <color indexed="81"/>
            <rFont val="Tahoma"/>
            <family val="2"/>
          </rPr>
          <t xml:space="preserve">
actualizar a 1,200,000.00
actualizado
</t>
        </r>
      </text>
    </comment>
    <comment ref="D13" authorId="0" shapeId="0">
      <text>
        <r>
          <rPr>
            <b/>
            <sz val="9"/>
            <color indexed="81"/>
            <rFont val="Tahoma"/>
            <family val="2"/>
          </rPr>
          <t>Josue Andreé Ricart Vásquez:</t>
        </r>
        <r>
          <rPr>
            <sz val="9"/>
            <color indexed="81"/>
            <rFont val="Tahoma"/>
            <family val="2"/>
          </rPr>
          <t xml:space="preserve">
no saben el monto exacto, liseth dice un monto pero no se sabe, mejor asi como está, se estima que se van a pagar en noviembre</t>
        </r>
      </text>
    </comment>
    <comment ref="D15" authorId="0" shapeId="0">
      <text>
        <r>
          <rPr>
            <b/>
            <sz val="9"/>
            <color indexed="81"/>
            <rFont val="Tahoma"/>
            <family val="2"/>
          </rPr>
          <t>Josue Andreé Ricart Vásquez:</t>
        </r>
        <r>
          <rPr>
            <sz val="9"/>
            <color indexed="81"/>
            <rFont val="Tahoma"/>
            <family val="2"/>
          </rPr>
          <t xml:space="preserve">
inicialmente tenía 90 oeri es necesario rebajar porque si no se desfinancia el componente.
Por rescición de contrato se rebaja el monto de 29954.00 a 1762.00</t>
        </r>
      </text>
    </comment>
    <comment ref="D17" authorId="0" shapeId="0">
      <text>
        <r>
          <rPr>
            <b/>
            <sz val="9"/>
            <color indexed="81"/>
            <rFont val="Tahoma"/>
            <family val="2"/>
          </rPr>
          <t>Josue Andreé Ricart Vásquez:</t>
        </r>
        <r>
          <rPr>
            <sz val="9"/>
            <color indexed="81"/>
            <rFont val="Tahoma"/>
            <family val="2"/>
          </rPr>
          <t xml:space="preserve">
se hará un nuevo evento pero la propuesta que mas barato había ofertado fue por un monto de alrededor de 10,000 dólares mas que la que ganó anteriormente</t>
        </r>
      </text>
    </comment>
    <comment ref="D18" authorId="0" shapeId="0">
      <text>
        <r>
          <rPr>
            <b/>
            <sz val="9"/>
            <color indexed="81"/>
            <rFont val="Tahoma"/>
            <family val="2"/>
          </rPr>
          <t>Josue Andreé Ricart Vásquez:</t>
        </r>
        <r>
          <rPr>
            <sz val="9"/>
            <color indexed="81"/>
            <rFont val="Tahoma"/>
            <family val="2"/>
          </rPr>
          <t xml:space="preserve">
Inicial mente se tenía contemplado un monto de 48,000 pero se fue una persona y le unieron 
dos contratos a marvin mas 2400 descontando un producto que el anterior ya no entrego es decir 1940 USD según contrato 
</t>
        </r>
      </text>
    </comment>
    <comment ref="D22" authorId="1" shapeId="0">
      <text>
        <r>
          <rPr>
            <b/>
            <sz val="9"/>
            <color indexed="81"/>
            <rFont val="Tahoma"/>
            <family val="2"/>
          </rPr>
          <t>Josue Ricart:</t>
        </r>
        <r>
          <rPr>
            <sz val="9"/>
            <color indexed="81"/>
            <rFont val="Tahoma"/>
            <family val="2"/>
          </rPr>
          <t xml:space="preserve">
verificar monto total
</t>
        </r>
      </text>
    </comment>
    <comment ref="D26" authorId="0" shapeId="0">
      <text>
        <r>
          <rPr>
            <b/>
            <sz val="9"/>
            <color indexed="81"/>
            <rFont val="Tahoma"/>
            <family val="2"/>
          </rPr>
          <t>Josue Andreé Ricart Vásquez:</t>
        </r>
        <r>
          <rPr>
            <sz val="9"/>
            <color indexed="81"/>
            <rFont val="Tahoma"/>
            <family val="2"/>
          </rPr>
          <t xml:space="preserve">
No tienen información sobre para cuando exactamente
**** se ampliará 150,000
</t>
        </r>
      </text>
    </comment>
    <comment ref="D28" authorId="0" shapeId="0">
      <text>
        <r>
          <rPr>
            <b/>
            <sz val="9"/>
            <color indexed="81"/>
            <rFont val="Tahoma"/>
            <family val="2"/>
          </rPr>
          <t>Josue Andreé Ricart Vásquez:</t>
        </r>
        <r>
          <rPr>
            <sz val="9"/>
            <color indexed="81"/>
            <rFont val="Tahoma"/>
            <family val="2"/>
          </rPr>
          <t xml:space="preserve">
solo 35,000 resto pasar a otra linea de los 90000 iniciales, monto varió en el q15, los 35000 resulta que eran quetzales pero el equipo de educación no informó bien, en q17 en la realización de la sd vimos que son aproximandamente 25,000.00</t>
        </r>
      </text>
    </comment>
    <comment ref="C29" authorId="0" shapeId="0">
      <text>
        <r>
          <rPr>
            <b/>
            <sz val="9"/>
            <color indexed="81"/>
            <rFont val="Tahoma"/>
            <family val="2"/>
          </rPr>
          <t>Josue Andreé Ricart Vásquez:</t>
        </r>
        <r>
          <rPr>
            <sz val="9"/>
            <color indexed="81"/>
            <rFont val="Tahoma"/>
            <family val="2"/>
          </rPr>
          <t xml:space="preserve">
FHI</t>
        </r>
      </text>
    </comment>
    <comment ref="C30" authorId="0" shapeId="0">
      <text>
        <r>
          <rPr>
            <b/>
            <sz val="9"/>
            <color indexed="81"/>
            <rFont val="Tahoma"/>
            <family val="2"/>
          </rPr>
          <t>Josue Andreé Ricart Vásquez:</t>
        </r>
        <r>
          <rPr>
            <sz val="9"/>
            <color indexed="81"/>
            <rFont val="Tahoma"/>
            <family val="2"/>
          </rPr>
          <t xml:space="preserve">
FHI</t>
        </r>
      </text>
    </comment>
    <comment ref="C35" authorId="0" shapeId="0">
      <text>
        <r>
          <rPr>
            <b/>
            <sz val="9"/>
            <color indexed="81"/>
            <rFont val="Tahoma"/>
            <family val="2"/>
          </rPr>
          <t>Josue Andreé Ricart Vásquez:</t>
        </r>
        <r>
          <rPr>
            <sz val="9"/>
            <color indexed="81"/>
            <rFont val="Tahoma"/>
            <family val="2"/>
          </rPr>
          <t xml:space="preserve">
PAGOS DICIEMBRE Y ENERO
</t>
        </r>
      </text>
    </comment>
    <comment ref="C36" authorId="0" shapeId="0">
      <text>
        <r>
          <rPr>
            <b/>
            <sz val="9"/>
            <color indexed="81"/>
            <rFont val="Tahoma"/>
            <family val="2"/>
          </rPr>
          <t>Josue Andreé Ricart Vásquez:</t>
        </r>
        <r>
          <rPr>
            <sz val="9"/>
            <color indexed="81"/>
            <rFont val="Tahoma"/>
            <family val="2"/>
          </rPr>
          <t xml:space="preserve">
LAS DATABASE YA FUERON PAGADAS</t>
        </r>
      </text>
    </comment>
    <comment ref="C37" authorId="0" shapeId="0">
      <text>
        <r>
          <rPr>
            <sz val="9"/>
            <color indexed="81"/>
            <rFont val="Tahoma"/>
            <family val="2"/>
          </rPr>
          <t>pagado</t>
        </r>
      </text>
    </comment>
    <comment ref="C39" authorId="0" shapeId="0">
      <text>
        <r>
          <rPr>
            <b/>
            <sz val="9"/>
            <color indexed="81"/>
            <rFont val="Tahoma"/>
            <family val="2"/>
          </rPr>
          <t>Josue Andreé Ricart Vásquez:</t>
        </r>
        <r>
          <rPr>
            <sz val="9"/>
            <color indexed="81"/>
            <rFont val="Tahoma"/>
            <family val="2"/>
          </rPr>
          <t xml:space="preserve">
Lilian Merlo contrato 2018
</t>
        </r>
      </text>
    </comment>
    <comment ref="C41" authorId="0" shapeId="0">
      <text>
        <r>
          <rPr>
            <b/>
            <sz val="9"/>
            <color indexed="81"/>
            <rFont val="Tahoma"/>
            <family val="2"/>
          </rPr>
          <t>Josue Andreé Ricart Vásquez:</t>
        </r>
        <r>
          <rPr>
            <sz val="9"/>
            <color indexed="81"/>
            <rFont val="Tahoma"/>
            <family val="2"/>
          </rPr>
          <t xml:space="preserve">
CONTRATACIONES 2018 Y PAGO DE FEBRERO 2018</t>
        </r>
      </text>
    </comment>
    <comment ref="C55" authorId="0" shapeId="0">
      <text>
        <r>
          <rPr>
            <b/>
            <sz val="9"/>
            <color indexed="81"/>
            <rFont val="Tahoma"/>
            <family val="2"/>
          </rPr>
          <t>investigadores de aduanas</t>
        </r>
        <r>
          <rPr>
            <sz val="9"/>
            <color indexed="81"/>
            <rFont val="Tahoma"/>
            <family val="2"/>
          </rPr>
          <t xml:space="preserve">
</t>
        </r>
      </text>
    </comment>
    <comment ref="C59" authorId="1" shapeId="0">
      <text>
        <r>
          <rPr>
            <b/>
            <sz val="9"/>
            <color indexed="81"/>
            <rFont val="Tahoma"/>
            <charset val="1"/>
          </rPr>
          <t>Josue Ricart:</t>
        </r>
        <r>
          <rPr>
            <sz val="9"/>
            <color indexed="81"/>
            <rFont val="Tahoma"/>
            <charset val="1"/>
          </rPr>
          <t xml:space="preserve">
cambiar a 48,000</t>
        </r>
      </text>
    </comment>
    <comment ref="C60" authorId="1" shapeId="0">
      <text>
        <r>
          <rPr>
            <b/>
            <sz val="9"/>
            <color indexed="81"/>
            <rFont val="Tahoma"/>
            <charset val="1"/>
          </rPr>
          <t>Josue Ricart:</t>
        </r>
        <r>
          <rPr>
            <sz val="9"/>
            <color indexed="81"/>
            <rFont val="Tahoma"/>
            <charset val="1"/>
          </rPr>
          <t xml:space="preserve">
cambiar a 48,000</t>
        </r>
      </text>
    </comment>
    <comment ref="C61" authorId="1" shapeId="0">
      <text>
        <r>
          <rPr>
            <b/>
            <sz val="9"/>
            <color indexed="81"/>
            <rFont val="Tahoma"/>
            <charset val="1"/>
          </rPr>
          <t>Josue Ricart:</t>
        </r>
        <r>
          <rPr>
            <sz val="9"/>
            <color indexed="81"/>
            <rFont val="Tahoma"/>
            <charset val="1"/>
          </rPr>
          <t xml:space="preserve">
</t>
        </r>
      </text>
    </comment>
    <comment ref="C62" authorId="1" shapeId="0">
      <text>
        <r>
          <rPr>
            <b/>
            <sz val="9"/>
            <color indexed="81"/>
            <rFont val="Tahoma"/>
            <charset val="1"/>
          </rPr>
          <t>Josue Ricart:</t>
        </r>
        <r>
          <rPr>
            <sz val="9"/>
            <color indexed="81"/>
            <rFont val="Tahoma"/>
            <charset val="1"/>
          </rPr>
          <t xml:space="preserve">
aun estan en proceso pero si hay seguridad en su contratación q17</t>
        </r>
      </text>
    </comment>
    <comment ref="C66" authorId="0" shapeId="0">
      <text>
        <r>
          <rPr>
            <b/>
            <sz val="9"/>
            <color indexed="81"/>
            <rFont val="Tahoma"/>
            <family val="2"/>
          </rPr>
          <t>Josue Andreé Ricart Vásquez:</t>
        </r>
        <r>
          <rPr>
            <sz val="9"/>
            <color indexed="81"/>
            <rFont val="Tahoma"/>
            <family val="2"/>
          </rPr>
          <t xml:space="preserve">
ya fue pagado en su totalidad PU-MCC-002-2016</t>
        </r>
      </text>
    </comment>
    <comment ref="D68" authorId="0" shapeId="0">
      <text>
        <r>
          <rPr>
            <b/>
            <sz val="9"/>
            <color indexed="81"/>
            <rFont val="Tahoma"/>
            <family val="2"/>
          </rPr>
          <t>Josue Andreé Ricart Vásquez:</t>
        </r>
        <r>
          <rPr>
            <sz val="9"/>
            <color indexed="81"/>
            <rFont val="Tahoma"/>
            <family val="2"/>
          </rPr>
          <t xml:space="preserve">
pago del q13 reprogramar all q14</t>
        </r>
      </text>
    </comment>
    <comment ref="C69" authorId="0" shapeId="0">
      <text>
        <r>
          <rPr>
            <b/>
            <sz val="9"/>
            <color indexed="81"/>
            <rFont val="Tahoma"/>
            <family val="2"/>
          </rPr>
          <t>Josue Andreé Ricart Vásquez:</t>
        </r>
        <r>
          <rPr>
            <sz val="9"/>
            <color indexed="81"/>
            <rFont val="Tahoma"/>
            <family val="2"/>
          </rPr>
          <t xml:space="preserve">
MGO</t>
        </r>
      </text>
    </comment>
    <comment ref="C70" authorId="0" shapeId="0">
      <text>
        <r>
          <rPr>
            <sz val="9"/>
            <color indexed="81"/>
            <rFont val="Tahoma"/>
            <family val="2"/>
          </rPr>
          <t>UNIVERSIDAD INTERNACIONES</t>
        </r>
      </text>
    </comment>
    <comment ref="C73" authorId="0" shapeId="0">
      <text>
        <r>
          <rPr>
            <b/>
            <sz val="9"/>
            <color indexed="81"/>
            <rFont val="Tahoma"/>
            <family val="2"/>
          </rPr>
          <t>Josue Andreé Ricart Vásquez:</t>
        </r>
        <r>
          <rPr>
            <sz val="9"/>
            <color indexed="81"/>
            <rFont val="Tahoma"/>
            <family val="2"/>
          </rPr>
          <t xml:space="preserve">
Deloitte</t>
        </r>
      </text>
    </comment>
    <comment ref="D74" authorId="0" shapeId="0">
      <text>
        <r>
          <rPr>
            <b/>
            <sz val="9"/>
            <color indexed="81"/>
            <rFont val="Tahoma"/>
            <family val="2"/>
          </rPr>
          <t>Josue Andreé Ricart Vásquez:</t>
        </r>
        <r>
          <rPr>
            <sz val="9"/>
            <color indexed="81"/>
            <rFont val="Tahoma"/>
            <family val="2"/>
          </rPr>
          <t xml:space="preserve">
no se va a pagar nada este trimestre</t>
        </r>
      </text>
    </comment>
    <comment ref="D75" authorId="0" shapeId="0">
      <text>
        <r>
          <rPr>
            <b/>
            <sz val="9"/>
            <color indexed="81"/>
            <rFont val="Tahoma"/>
            <family val="2"/>
          </rPr>
          <t>Josue Andreé Ricart Vásquez:</t>
        </r>
        <r>
          <rPr>
            <sz val="9"/>
            <color indexed="81"/>
            <rFont val="Tahoma"/>
            <family val="2"/>
          </rPr>
          <t xml:space="preserve">
Este monto surgió de una rebaja en el monto estimado de Metro Riel, ya que al momento de realizar la SD no se tenían monto suficiente para cubrir este compromiso.</t>
        </r>
      </text>
    </comment>
    <comment ref="C76" authorId="0" shapeId="0">
      <text>
        <r>
          <rPr>
            <sz val="9"/>
            <color indexed="81"/>
            <rFont val="Tahoma"/>
            <family val="2"/>
          </rPr>
          <t xml:space="preserve">Probablemente Sergio Bravo
</t>
        </r>
      </text>
    </comment>
    <comment ref="D78" authorId="0" shapeId="0">
      <text>
        <r>
          <rPr>
            <b/>
            <sz val="9"/>
            <color indexed="81"/>
            <rFont val="Tahoma"/>
            <family val="2"/>
          </rPr>
          <t>Josue Andreé Ricart Vásquez:</t>
        </r>
        <r>
          <rPr>
            <sz val="9"/>
            <color indexed="81"/>
            <rFont val="Tahoma"/>
            <family val="2"/>
          </rPr>
          <t xml:space="preserve">
reprogramar 2020</t>
        </r>
      </text>
    </comment>
    <comment ref="C79" authorId="0" shapeId="0">
      <text>
        <r>
          <rPr>
            <b/>
            <sz val="9"/>
            <color indexed="81"/>
            <rFont val="Tahoma"/>
            <family val="2"/>
          </rPr>
          <t>Josue Andreé Ricart Vásquez:</t>
        </r>
        <r>
          <rPr>
            <sz val="9"/>
            <color indexed="81"/>
            <rFont val="Tahoma"/>
            <family val="2"/>
          </rPr>
          <t xml:space="preserve">
ya están los terminos de referencia
están en proceso de evaluación 02/09/2019</t>
        </r>
      </text>
    </comment>
    <comment ref="D79" authorId="0" shapeId="0">
      <text>
        <r>
          <rPr>
            <b/>
            <sz val="9"/>
            <color indexed="81"/>
            <rFont val="Tahoma"/>
            <family val="2"/>
          </rPr>
          <t>Josue Andreé Ricart Vásquez:</t>
        </r>
        <r>
          <rPr>
            <sz val="9"/>
            <color indexed="81"/>
            <rFont val="Tahoma"/>
            <family val="2"/>
          </rPr>
          <t xml:space="preserve">
ES NECESARIO REBAJAR EL MONTO POR 75,000 DEBIDO A LA CAPACITACIÓN QUE TENDRAN CONGRESISTAS DE GUATEMALA EN EL REINO UNIDO, CASO CONTRARIO SE DESFINANCIA EL PROYECTO.
***De acuerdo a una nueva gestión se dividirá en dos fases Metro Riel. la primera se tiene un estimado de 900,000. y de la segunda desconozco el monto aun.
según nueva información para el siguiente trimestre, estiman que el valor de la consultoría será de 1.3 millones (18 de febrero 2019)</t>
        </r>
      </text>
    </comment>
    <comment ref="C86" authorId="0" shapeId="0">
      <text>
        <r>
          <rPr>
            <b/>
            <sz val="9"/>
            <color indexed="81"/>
            <rFont val="Tahoma"/>
            <family val="2"/>
          </rPr>
          <t>Josue Andreé Ricart Vásquez:</t>
        </r>
        <r>
          <rPr>
            <sz val="9"/>
            <color indexed="81"/>
            <rFont val="Tahoma"/>
            <family val="2"/>
          </rPr>
          <t xml:space="preserve">
incluye pago de corporación abiansha por 1652.68</t>
        </r>
      </text>
    </comment>
    <comment ref="C87" authorId="0" shapeId="0">
      <text>
        <r>
          <rPr>
            <b/>
            <sz val="9"/>
            <color indexed="81"/>
            <rFont val="Tahoma"/>
            <family val="2"/>
          </rPr>
          <t>Josue Andreé Ricart Vásquez:</t>
        </r>
        <r>
          <rPr>
            <sz val="9"/>
            <color indexed="81"/>
            <rFont val="Tahoma"/>
            <family val="2"/>
          </rPr>
          <t xml:space="preserve">
Incluye pago de rustika</t>
        </r>
      </text>
    </comment>
    <comment ref="D88" authorId="0" shapeId="0">
      <text>
        <r>
          <rPr>
            <b/>
            <sz val="9"/>
            <color indexed="81"/>
            <rFont val="Tahoma"/>
            <family val="2"/>
          </rPr>
          <t>Josue Andreé Ricart Vásquez:</t>
        </r>
        <r>
          <rPr>
            <sz val="9"/>
            <color indexed="81"/>
            <rFont val="Tahoma"/>
            <family val="2"/>
          </rPr>
          <t xml:space="preserve">
PARA LA ELABORACIÓN DEL Q13 CONSIGNAR VALOR PAGADO TOTAL DE 47118.49, PARA QUE AJUSTE CON MCDR DE ENERO</t>
        </r>
      </text>
    </comment>
    <comment ref="D89" authorId="0" shapeId="0">
      <text>
        <r>
          <rPr>
            <b/>
            <sz val="9"/>
            <color indexed="81"/>
            <rFont val="Tahoma"/>
            <family val="2"/>
          </rPr>
          <t>Josue Andreé Ricart Vásquez:</t>
        </r>
        <r>
          <rPr>
            <sz val="9"/>
            <color indexed="81"/>
            <rFont val="Tahoma"/>
            <family val="2"/>
          </rPr>
          <t xml:space="preserve">
original 45,000, se dejó de utilizar 6498.00 se reversó</t>
        </r>
      </text>
    </comment>
    <comment ref="C94" authorId="0" shapeId="0">
      <text>
        <r>
          <rPr>
            <sz val="9"/>
            <color indexed="81"/>
            <rFont val="Tahoma"/>
            <family val="2"/>
          </rPr>
          <t>Experto en escala vertical</t>
        </r>
      </text>
    </comment>
    <comment ref="C106" authorId="1" shapeId="0">
      <text>
        <r>
          <rPr>
            <b/>
            <sz val="9"/>
            <color indexed="81"/>
            <rFont val="Tahoma"/>
            <charset val="1"/>
          </rPr>
          <t>Josue Ricart:</t>
        </r>
        <r>
          <rPr>
            <sz val="9"/>
            <color indexed="81"/>
            <rFont val="Tahoma"/>
            <charset val="1"/>
          </rPr>
          <t xml:space="preserve">
SE BAJARÁ A 6,000 PARA CUANDO CIERRE EL PROGRAMA Q18 PERO LA IDEA ES EJECUTAR EN EL MES DE ENERO FEBRERO Y MARZO, es suficiente con el contrato de 20,000 que no sabemos incluso si se va a pagar completo</t>
        </r>
      </text>
    </comment>
    <comment ref="C128" authorId="0" shapeId="0">
      <text>
        <r>
          <rPr>
            <b/>
            <sz val="9"/>
            <color indexed="81"/>
            <rFont val="Tahoma"/>
            <family val="2"/>
          </rPr>
          <t>Josue Andreé Ricart Grupo Sega</t>
        </r>
      </text>
    </comment>
    <comment ref="C129" authorId="0" shapeId="0">
      <text>
        <r>
          <rPr>
            <b/>
            <sz val="9"/>
            <color indexed="81"/>
            <rFont val="Tahoma"/>
            <family val="2"/>
          </rPr>
          <t>Josue Andreé Ricart Vásquez:</t>
        </r>
        <r>
          <rPr>
            <sz val="9"/>
            <color indexed="81"/>
            <rFont val="Tahoma"/>
            <family val="2"/>
          </rPr>
          <t xml:space="preserve">
Tecnasa</t>
        </r>
      </text>
    </comment>
    <comment ref="C130" authorId="0" shapeId="0">
      <text>
        <r>
          <rPr>
            <b/>
            <sz val="9"/>
            <color indexed="81"/>
            <rFont val="Tahoma"/>
            <family val="2"/>
          </rPr>
          <t>Josue Andreé Ricart Vásquez:</t>
        </r>
        <r>
          <rPr>
            <sz val="9"/>
            <color indexed="81"/>
            <rFont val="Tahoma"/>
            <family val="2"/>
          </rPr>
          <t xml:space="preserve">
Tecnasa</t>
        </r>
      </text>
    </comment>
    <comment ref="C131" authorId="0" shapeId="0">
      <text>
        <r>
          <rPr>
            <b/>
            <sz val="9"/>
            <color indexed="81"/>
            <rFont val="Tahoma"/>
            <family val="2"/>
          </rPr>
          <t>Josue Andreé Ricart Vásquez:</t>
        </r>
        <r>
          <rPr>
            <sz val="9"/>
            <color indexed="81"/>
            <rFont val="Tahoma"/>
            <family val="2"/>
          </rPr>
          <t xml:space="preserve">
01-2017</t>
        </r>
      </text>
    </comment>
    <comment ref="C134" authorId="0" shapeId="0">
      <text>
        <r>
          <rPr>
            <b/>
            <sz val="9"/>
            <color indexed="81"/>
            <rFont val="Tahoma"/>
            <family val="2"/>
          </rPr>
          <t>Josue Andreé Ricart Vásquez:</t>
        </r>
        <r>
          <rPr>
            <sz val="9"/>
            <color indexed="81"/>
            <rFont val="Tahoma"/>
            <family val="2"/>
          </rPr>
          <t xml:space="preserve">
Reparación Impresora</t>
        </r>
      </text>
    </comment>
    <comment ref="C137" authorId="0" shapeId="0">
      <text>
        <r>
          <rPr>
            <b/>
            <sz val="9"/>
            <color indexed="81"/>
            <rFont val="Tahoma"/>
            <family val="2"/>
          </rPr>
          <t>Josue Andreé Ricart Vásquez:</t>
        </r>
        <r>
          <rPr>
            <sz val="9"/>
            <color indexed="81"/>
            <rFont val="Tahoma"/>
            <family val="2"/>
          </rPr>
          <t xml:space="preserve">
poliycom phone</t>
        </r>
      </text>
    </comment>
    <comment ref="C138" authorId="0" shapeId="0">
      <text>
        <r>
          <rPr>
            <b/>
            <sz val="9"/>
            <color indexed="81"/>
            <rFont val="Tahoma"/>
            <family val="2"/>
          </rPr>
          <t>Josue Andreé Ricart Vásquez:</t>
        </r>
        <r>
          <rPr>
            <sz val="9"/>
            <color indexed="81"/>
            <rFont val="Tahoma"/>
            <family val="2"/>
          </rPr>
          <t xml:space="preserve">
compra de credenzas</t>
        </r>
      </text>
    </comment>
    <comment ref="C139" authorId="0" shapeId="0">
      <text>
        <r>
          <rPr>
            <b/>
            <sz val="9"/>
            <color indexed="81"/>
            <rFont val="Tahoma"/>
            <family val="2"/>
          </rPr>
          <t>Josue Andreé Ricart Vásquez:</t>
        </r>
        <r>
          <rPr>
            <sz val="9"/>
            <color indexed="81"/>
            <rFont val="Tahoma"/>
            <family val="2"/>
          </rPr>
          <t xml:space="preserve">
PU-MCC-SNC-001-2016
</t>
        </r>
      </text>
    </comment>
    <comment ref="C140" authorId="0" shapeId="0">
      <text>
        <r>
          <rPr>
            <b/>
            <sz val="9"/>
            <color indexed="81"/>
            <rFont val="Tahoma"/>
            <family val="2"/>
          </rPr>
          <t>Josue Andreé Ricart Vásquez:</t>
        </r>
        <r>
          <rPr>
            <sz val="9"/>
            <color indexed="81"/>
            <rFont val="Tahoma"/>
            <family val="2"/>
          </rPr>
          <t xml:space="preserve">
03-2017
</t>
        </r>
      </text>
    </comment>
    <comment ref="C142" authorId="0" shapeId="0">
      <text>
        <r>
          <rPr>
            <b/>
            <sz val="9"/>
            <color indexed="81"/>
            <rFont val="Tahoma"/>
            <family val="2"/>
          </rPr>
          <t>Josue Andreé Ricart Vásquez:</t>
        </r>
        <r>
          <rPr>
            <sz val="9"/>
            <color indexed="81"/>
            <rFont val="Tahoma"/>
            <family val="2"/>
          </rPr>
          <t xml:space="preserve">
01-2018</t>
        </r>
      </text>
    </comment>
    <comment ref="BC153" authorId="0" shapeId="0">
      <text>
        <r>
          <rPr>
            <b/>
            <sz val="9"/>
            <color indexed="81"/>
            <rFont val="Tahoma"/>
            <family val="2"/>
          </rPr>
          <t>Josue Andreé Ricart Vásquez:</t>
        </r>
        <r>
          <rPr>
            <sz val="9"/>
            <color indexed="81"/>
            <rFont val="Tahoma"/>
            <family val="2"/>
          </rPr>
          <t xml:space="preserve">
ojo se debe quitar un usd 1.00 solo ejecuto 24999
</t>
        </r>
      </text>
    </comment>
    <comment ref="D170" authorId="1" shapeId="0">
      <text>
        <r>
          <rPr>
            <b/>
            <sz val="9"/>
            <color indexed="81"/>
            <rFont val="Tahoma"/>
            <family val="2"/>
          </rPr>
          <t>Josue Ricart:
Q16 increse 130,000.0</t>
        </r>
      </text>
    </comment>
    <comment ref="D173" authorId="1" shapeId="0">
      <text>
        <r>
          <rPr>
            <b/>
            <sz val="9"/>
            <color indexed="81"/>
            <rFont val="Tahoma"/>
            <family val="2"/>
          </rPr>
          <t>Josue Ricart:</t>
        </r>
        <r>
          <rPr>
            <sz val="9"/>
            <color indexed="81"/>
            <rFont val="Tahoma"/>
            <family val="2"/>
          </rPr>
          <t xml:space="preserve">
Increse 25,000
</t>
        </r>
      </text>
    </comment>
  </commentList>
</comments>
</file>

<file path=xl/sharedStrings.xml><?xml version="1.0" encoding="utf-8"?>
<sst xmlns="http://schemas.openxmlformats.org/spreadsheetml/2006/main" count="1211" uniqueCount="412">
  <si>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</si>
  <si>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</si>
  <si>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</si>
  <si>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</si>
  <si>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</si>
  <si>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</si>
  <si>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</si>
  <si>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</si>
  <si>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</si>
  <si>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</si>
  <si>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</si>
  <si>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</si>
  <si>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</si>
  <si>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</si>
  <si>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</si>
  <si>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</si>
  <si>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</si>
  <si>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</si>
  <si>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</si>
  <si>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</si>
  <si>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</si>
  <si>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</si>
  <si>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</si>
  <si>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</si>
  <si>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</si>
  <si>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</si>
  <si>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</si>
  <si>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</si>
  <si>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</si>
  <si>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</si>
  <si>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</si>
  <si>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</si>
  <si>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</si>
  <si>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</si>
  <si>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</si>
  <si>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</si>
  <si>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</si>
  <si>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</si>
  <si>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</si>
  <si>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</si>
  <si>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</si>
  <si>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</si>
  <si>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</si>
  <si>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</si>
  <si>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</si>
  <si>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</si>
  <si>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</si>
  <si>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</si>
  <si>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</si>
  <si>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</si>
  <si>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</si>
  <si>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</si>
  <si>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</si>
  <si>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</si>
  <si>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</si>
  <si>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</si>
  <si>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</si>
  <si>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</si>
  <si>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</si>
  <si>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</si>
  <si>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 xml:space="preserve">Name: </t>
  </si>
  <si>
    <t>TOTAL - Education</t>
  </si>
  <si>
    <t>TOTAL - Resource Mobilization</t>
  </si>
  <si>
    <t>Guatemala</t>
  </si>
  <si>
    <t>PRONACOM</t>
  </si>
  <si>
    <t>TR14GTM15001</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</si>
  <si>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</si>
  <si>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</si>
  <si>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</si>
  <si>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</si>
  <si>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</si>
  <si>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</si>
  <si>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</si>
  <si>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</si>
  <si>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</si>
  <si>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</si>
  <si>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</si>
  <si>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</si>
  <si>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</si>
  <si>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</si>
  <si>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</si>
  <si>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</si>
  <si>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</si>
  <si>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</si>
  <si>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</si>
  <si>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</si>
  <si>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</si>
  <si>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</si>
  <si>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</si>
  <si>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</si>
  <si>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</si>
  <si>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</si>
  <si>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</si>
  <si>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</si>
  <si>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</si>
  <si>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</si>
  <si>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</si>
  <si>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</si>
  <si>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</si>
  <si>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</si>
  <si>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</si>
  <si>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</si>
  <si>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</si>
  <si>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</si>
  <si>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</si>
  <si>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</si>
  <si>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</si>
  <si>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</si>
  <si>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</si>
  <si>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</si>
  <si>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</si>
  <si>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</si>
  <si>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</si>
  <si>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</si>
  <si>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</si>
  <si>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</si>
  <si>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</si>
  <si>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</si>
  <si>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</si>
  <si>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</si>
  <si>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</si>
  <si>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</si>
  <si>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</si>
  <si>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</si>
  <si>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</si>
  <si>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</si>
  <si>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</si>
  <si>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</si>
  <si>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</si>
  <si>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</si>
  <si>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</si>
  <si>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</si>
  <si>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</si>
  <si>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</si>
  <si>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</si>
  <si>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</si>
  <si>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</si>
  <si>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</si>
  <si>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</si>
  <si>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</si>
  <si>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</si>
  <si>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</si>
  <si>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</si>
  <si>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</si>
  <si>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</si>
  <si>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</si>
  <si>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</si>
  <si>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</si>
  <si>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</si>
  <si>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</si>
  <si>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</si>
  <si>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</si>
  <si>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</si>
  <si>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</si>
  <si>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</si>
  <si>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</si>
  <si>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</si>
  <si>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</si>
  <si>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</si>
  <si>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</si>
  <si>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</si>
  <si>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</si>
  <si>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</si>
  <si>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</si>
  <si>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</si>
  <si>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</si>
  <si>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</si>
  <si>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</si>
  <si>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</si>
  <si>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</si>
  <si>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</si>
  <si>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</si>
  <si>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</si>
  <si>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</si>
  <si>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</si>
  <si>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</si>
  <si>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</si>
  <si>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</si>
  <si>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</si>
  <si>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</si>
  <si>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</si>
  <si>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</si>
  <si>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</si>
  <si>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</si>
  <si>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</si>
  <si>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</si>
  <si>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</si>
  <si>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</si>
  <si>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</si>
  <si>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</si>
  <si>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</si>
  <si>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</si>
  <si>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</si>
  <si>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</si>
  <si>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</si>
  <si>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</si>
  <si>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</si>
  <si>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</si>
  <si>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FxT Coordinator</t>
  </si>
  <si>
    <t>Actual Cumulative Disbursements at Beginning of Current Period</t>
  </si>
  <si>
    <t>M&amp;E</t>
  </si>
  <si>
    <t>Total Comprometido a la fecha</t>
  </si>
  <si>
    <t>TVET place holder</t>
  </si>
  <si>
    <t>place holder</t>
  </si>
  <si>
    <t>q15</t>
  </si>
  <si>
    <t>MCC (Acting Fiscal Agent)</t>
  </si>
  <si>
    <t>Adjustment Reported/
Approved
(Q1 - 9/10/2016)</t>
  </si>
  <si>
    <t>data subscriptions</t>
  </si>
  <si>
    <t>IT consultants</t>
  </si>
  <si>
    <t>Managaement coach for customs and audit</t>
  </si>
  <si>
    <t>PPP coach option 1</t>
  </si>
  <si>
    <t>PPP coach option 2</t>
  </si>
  <si>
    <t>q8</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</si>
  <si>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</si>
  <si>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</si>
  <si>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</si>
  <si>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</si>
  <si>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</si>
  <si>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</si>
  <si>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</si>
  <si>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</si>
  <si>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</si>
  <si>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</si>
  <si>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</si>
  <si>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</si>
  <si>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</si>
  <si>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</si>
  <si>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</si>
  <si>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</si>
  <si>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Training (honorarios 4 facilitadores)</t>
  </si>
  <si>
    <t>PPP coach (valdez)</t>
  </si>
  <si>
    <t>Asesor Legal</t>
  </si>
  <si>
    <t>Apr '20
Jun '20</t>
  </si>
  <si>
    <t>* This activity has  MCC Managed (commitments and disbursements are reported on the quarterly MCC-Managed Report)</t>
  </si>
  <si>
    <t>* This activity (0443) is partially MCC-Managed</t>
  </si>
  <si>
    <t>PPP Conference</t>
  </si>
  <si>
    <t>Training option (gastos de capacitación en APP)</t>
  </si>
  <si>
    <t>IT consultants (Keny, Alvaro y Edgar)</t>
  </si>
  <si>
    <t>Projected Disbursements during Current Period</t>
  </si>
  <si>
    <t>q10</t>
  </si>
  <si>
    <t>PP Financial Adivisor (for MINFIN and ANADIE) Primer contrato sergio bravo</t>
  </si>
  <si>
    <t>PP Financial Adivisor (for MINFIN and ANADIE) (sergio bravo segundo contrato)</t>
  </si>
  <si>
    <t>1 curriculista para Pruebas de Educación de Nivel Medio. Patricia zuleta</t>
  </si>
  <si>
    <t>Un coordinador para Pruebas de Educación de Nivel Medio. Francisco Ureta</t>
  </si>
  <si>
    <t>Managaement coach for audit (mauricio)</t>
  </si>
  <si>
    <t>9 enumertors for Pilot</t>
  </si>
  <si>
    <t>CONSULTOR IPMS Patrick Cronin</t>
  </si>
  <si>
    <t>Especialista en seguimiento y control MCC-THP</t>
  </si>
  <si>
    <t>Asistente Bilingüe (Lilian)</t>
  </si>
  <si>
    <t>Managaement coach for audit (mauricio) 2 option</t>
  </si>
  <si>
    <t>q9</t>
  </si>
  <si>
    <t>Perdiem q6</t>
  </si>
  <si>
    <t>Perdiem q7</t>
  </si>
  <si>
    <t>Adjustment Reported/
Approved
(Q6 - 10/11/2017)</t>
  </si>
  <si>
    <t>recopilación de datos para linea base (HOTEL)</t>
  </si>
  <si>
    <t>recopilación de datos para linea base (ARRENDAMIENTO DE VEHÍCULOS)</t>
  </si>
  <si>
    <t>recopilación de datos para linea base (PERDIEM)</t>
  </si>
  <si>
    <t>recopilación de datos para linea base (IMPRESIONES)</t>
  </si>
  <si>
    <t>Perdiem q8</t>
  </si>
  <si>
    <t>Q16</t>
  </si>
  <si>
    <t>A-TVET Per diem</t>
  </si>
  <si>
    <t xml:space="preserve">Per diem </t>
  </si>
  <si>
    <t>Parking</t>
  </si>
  <si>
    <t xml:space="preserve">Furniture, fixtures and equipment </t>
  </si>
  <si>
    <t>IT Licences</t>
  </si>
  <si>
    <t>Threshold Program / Program Administration and Monitoring and Evaluation</t>
  </si>
  <si>
    <t>April 8, 2015/May 16, 2016</t>
  </si>
  <si>
    <t>rental of computer equipment for training</t>
  </si>
  <si>
    <t>Database subscriptions Base de datos datasur</t>
  </si>
  <si>
    <t>A-TVET Workshops</t>
  </si>
  <si>
    <t>PP Financial Adivisor (for MINFIN and ANADIE) (sergio bravo tercer contrato)</t>
  </si>
  <si>
    <t>PPP APP Conference UK</t>
  </si>
  <si>
    <t>Servicio de Traducción Jurada</t>
  </si>
  <si>
    <t>Metro Riel Transaction Advisor Fase 1</t>
  </si>
  <si>
    <t>Q17</t>
  </si>
  <si>
    <t>Q18</t>
  </si>
  <si>
    <t>Close Out</t>
  </si>
  <si>
    <t>Q19</t>
  </si>
  <si>
    <t>Jul '20
Sep '20</t>
  </si>
  <si>
    <t>Oct '20
Dec '20</t>
  </si>
  <si>
    <t>Jan '21
Mar '21</t>
  </si>
  <si>
    <t>Grant Quarter #17</t>
  </si>
  <si>
    <t>Grant Quarter #18</t>
  </si>
  <si>
    <t>Column 16</t>
  </si>
  <si>
    <t>Column 17</t>
  </si>
  <si>
    <t>Column 18</t>
  </si>
  <si>
    <t>q11</t>
  </si>
  <si>
    <t>Managaement coach for audit (mauricio) 3 option</t>
  </si>
  <si>
    <t>Experto en escala vertical 1</t>
  </si>
  <si>
    <t>Perdiem q9</t>
  </si>
  <si>
    <t>Parking (Contract PU-MCC-SNC-003-2017)</t>
  </si>
  <si>
    <t>Parking (CONTRACT PU-MCC-SNC-001-2018)</t>
  </si>
  <si>
    <t>Consultor duda razonable</t>
  </si>
  <si>
    <t>Servicio de Arrendamiento de vehículos (no linea base)</t>
  </si>
  <si>
    <t xml:space="preserve">Un coordinador para Pruebas de Educación de Nivel Medio. </t>
  </si>
  <si>
    <t>q14</t>
  </si>
  <si>
    <t>IT Equipment (incluye licencias Q10)</t>
  </si>
  <si>
    <t>Parking (NEW CONTRACT) PU-MCC-SNC-015-2018</t>
  </si>
  <si>
    <t>Asistente Bilingüe (Lilian 2018)</t>
  </si>
  <si>
    <t>Finance Assistant</t>
  </si>
  <si>
    <t>PPP APP Conference UK (IPA)</t>
  </si>
  <si>
    <t>IT consultants (Keny, Alvaro y Edgar) ENM 2</t>
  </si>
  <si>
    <t>Airport Feasiblity Study (Deloitte)</t>
  </si>
  <si>
    <t>Perdiem q5 (payed q6)</t>
  </si>
  <si>
    <t>Perdiem q10</t>
  </si>
  <si>
    <t>q13</t>
  </si>
  <si>
    <t>Asesor Político</t>
  </si>
  <si>
    <t>recopilación de datos para linea intermedia (Alquiler de vehículos linea intermedia 2)</t>
  </si>
  <si>
    <t>Consultor duda razonable (Guerra)</t>
  </si>
  <si>
    <t>Consultor Riesgo Mario Ramirez</t>
  </si>
  <si>
    <t>IT consultants (Keny, Alvaro) ENM 3</t>
  </si>
  <si>
    <t xml:space="preserve">PPP coach Asesor Minfin </t>
  </si>
  <si>
    <t>Adjustment Reported/ 
Approved 
(Q10 - 05/11/2018)</t>
  </si>
  <si>
    <t>PEM Training UVG MCC-SUBV-002-2018</t>
  </si>
  <si>
    <t>PEM Training UPANA MCC-SUBV-003-2018</t>
  </si>
  <si>
    <t>Programa de formación en inglés (Inglés) compra de libros</t>
  </si>
  <si>
    <t>Programa de formación en inglés (Inglés) compra de libros fase 2</t>
  </si>
  <si>
    <t xml:space="preserve">Contratación de Transporte para formación de docentes </t>
  </si>
  <si>
    <t>Programa de formación en inglés (Inglés) FORMADORES ACOMPAÑANTES</t>
  </si>
  <si>
    <t>GOPA (MINEDUC) TVET contract MCC-FC-003-2017</t>
  </si>
  <si>
    <t>A-TVET  (GOPA - ENCA) MCC-FC-002-2018</t>
  </si>
  <si>
    <t>Experto en escala vertical 2 opción</t>
  </si>
  <si>
    <t>Libros INTECAP</t>
  </si>
  <si>
    <t>gastos de capacitación en APP con Eduardo Escobal</t>
  </si>
  <si>
    <t>Adjustment Reported/ 
Approved 
(Q12- 01/04/2019)</t>
  </si>
  <si>
    <t>q17</t>
  </si>
  <si>
    <t>q18</t>
  </si>
  <si>
    <t>Apr-21</t>
  </si>
  <si>
    <t>Q20</t>
  </si>
  <si>
    <t>Column 19</t>
  </si>
  <si>
    <t>Apr '21
Jun '21</t>
  </si>
  <si>
    <t>Servicios logisticos para capacitación monitoreo Prueba avanzo 2019 (Hotel linea intermedia 2)</t>
  </si>
  <si>
    <t>Perdiem q12</t>
  </si>
  <si>
    <t>Taller de Capacitación con expertos</t>
  </si>
  <si>
    <t>TVET Training of Trainers (INTECAP) 003-2018</t>
  </si>
  <si>
    <t>Managaement coach for audit (mauricio) 4 option</t>
  </si>
  <si>
    <t>Redactores y validadores para pruebas docentes</t>
  </si>
  <si>
    <t>q19</t>
  </si>
  <si>
    <t>Parking (NEW CONTRACT) PU-MCC-SNC-xx-2019</t>
  </si>
  <si>
    <t>Procurement Assistant</t>
  </si>
  <si>
    <t>Capacitación Quickbooks</t>
  </si>
  <si>
    <t>Close Out
Grant Quarter #19</t>
  </si>
  <si>
    <t>Post Close Out
Grant Quarter #20</t>
  </si>
  <si>
    <t>PEM Training INTERNACIONES MCC-SUBV-001-2018</t>
  </si>
  <si>
    <t>Travel Renta de vehículos MCC-PRONACOM-SNC-007-2018</t>
  </si>
  <si>
    <t xml:space="preserve">cash, cash cash cash cash cash, cash cash cash cash cash, cash cash cash cash cash, cash cash cash cash cash, cash cash cash cash cash, cash cash cash cash cash, cash cash cash cash cash, cash cash cash cash cash, cash cash cash cash cash, cash cash cash cash </t>
  </si>
  <si>
    <t xml:space="preserve">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t>
  </si>
  <si>
    <t>Vehículos para monitoreo fase 1</t>
  </si>
  <si>
    <t>boletos aereos ecuador</t>
  </si>
  <si>
    <t>Perdiem q15</t>
  </si>
  <si>
    <t>q16</t>
  </si>
  <si>
    <t>IT consultants Keny ENM 4</t>
  </si>
  <si>
    <t>IT consultants Alvaro ENM 4</t>
  </si>
  <si>
    <t>Parking Procurement Assistant CONTRACT)</t>
  </si>
  <si>
    <t>Adjustment Reported/ 
Approved 
(Q15- 31/12/2019)</t>
  </si>
  <si>
    <t>consultor de cierre</t>
  </si>
  <si>
    <t>Ampliación Gopa Mineduc</t>
  </si>
  <si>
    <t>Impresión 22 libros elaborados por Gopa</t>
  </si>
  <si>
    <t>4 Consultores Individuales para revisión de Libros</t>
  </si>
  <si>
    <t>Ampliación Gopa Enca</t>
  </si>
  <si>
    <t xml:space="preserve">Consultor en técnología </t>
  </si>
  <si>
    <t>Contratación de consultor senior en Modelo de Riesgos,</t>
  </si>
  <si>
    <t>Consultor de duda razonable (coordinador TI)</t>
  </si>
  <si>
    <t>Licencias Programa de Inglés</t>
  </si>
  <si>
    <t>Consultor Legal en temas Aduaneros</t>
  </si>
  <si>
    <t>Consultor en investigación en fraude aduanero</t>
  </si>
  <si>
    <t>Programa de formación en inglés (Inglés) coordinador Maria José</t>
  </si>
  <si>
    <t>IT consultants Mario ENM 1</t>
  </si>
  <si>
    <t>Redactores y validadores para pruebas docentes 1 EVA</t>
  </si>
  <si>
    <t>Perdiem q9 Base line</t>
  </si>
  <si>
    <t>Director PU</t>
  </si>
  <si>
    <t>Coordinador MCC-THP / Coordinador Mov</t>
  </si>
  <si>
    <t>Licencias informaticas para laptop staff</t>
  </si>
  <si>
    <t>Name: Francisca de Jesús Cárdenas Morán</t>
  </si>
  <si>
    <t>Signed by the  THP  Director</t>
  </si>
  <si>
    <t>Date:  ____________________________________________________</t>
  </si>
  <si>
    <t>Adjustment Reported/ 
Approved 
(Q16- 04/04/2020)</t>
  </si>
  <si>
    <t>Equipo de técnología informatica para los docentes del profesorado. TABLETS</t>
  </si>
  <si>
    <t>x</t>
  </si>
  <si>
    <t>mcdr</t>
  </si>
  <si>
    <t>Mar '20</t>
  </si>
  <si>
    <t>Jul '20</t>
  </si>
  <si>
    <t>Aug `20</t>
  </si>
  <si>
    <t>Sep ´20</t>
  </si>
  <si>
    <t>Programa de formación en inglés (Inglés) coordinador Patricia Zuleta</t>
  </si>
  <si>
    <t>check contract= com</t>
  </si>
  <si>
    <t>check contract= Dev</t>
  </si>
  <si>
    <t>Contratación de consultor senior en Data Warehouse y Gobierno de Datos para la SAT (Neftali)</t>
  </si>
  <si>
    <t>Perdiem q18 PASAR A Q18</t>
  </si>
  <si>
    <t>Evaluation Dissemination Activities QUITAR DEL PLAN FINANCIERO</t>
  </si>
  <si>
    <t>Licencias de paquete estadistico PASAR A Q17 USD 5,000</t>
  </si>
  <si>
    <t>Evaluation Training (suscripciones de capacitación) PASAR A Q18 ES DE CAPACITACIÓN EN MONITOREO PARA STAFF DE MONITOREO</t>
  </si>
  <si>
    <t>Impresión de materiales linea final PASAR A Q17 PERO PAGAR EN EL 18</t>
  </si>
  <si>
    <t>Aplicadores y coordinadores (con viáticos incluidos) linea 2020</t>
  </si>
  <si>
    <t>Capacitación monitores LINEA 2020</t>
  </si>
  <si>
    <t>Vehículos para aplicación linea 2020</t>
  </si>
  <si>
    <t xml:space="preserve">Vehículos para monitoreo fase 2 </t>
  </si>
  <si>
    <t>Taller de Capacitación con expertos se va a definir con quien viclasa se cancela</t>
  </si>
  <si>
    <t>SAT Data collector  LO VOY A PONER AL Q18 irina no tiene seguridad si se va a dar sin embargo se va a dejar para adjudicar en el q18. depende de muchas aprobaciones</t>
  </si>
  <si>
    <t>DQR CAMBIAR A Q18 PROBABLE VA A QUEDAR FUERA muy probable, Irina debe entregar información antes del 12 de junio</t>
  </si>
  <si>
    <t>talleres de monitoreo del programa, VER SI SE VAN A UTILIZAR PORQUE SON TALLERES DE CIERRE. LO MEJOR ES REBAJARLO ya no vá se bajan USD 30,000.00</t>
  </si>
  <si>
    <t>Evaluation Training (Hosp y Alimentación) PASAR Q18 ES TRAER EXPERTOS INTERNACIONALES ENTRE OTRAS SON VIÁTICOS BOLETOS AEREOS Y HONORARIOS, SOLO SI SE EXTIENDE EL PROGRAMA. Rebajaré de 20,000 a 10,000</t>
  </si>
  <si>
    <t>Evaluation Training (Firmas consultora de capacitación) VER SI SE PUEDE PASAR Q18 ES UN PROFESIÓNAL SOLO SI SE EXTIENDE EL PROGRAMA. Baja de 40,000 a 25,000</t>
  </si>
  <si>
    <t>Consultor de apoyo logistico para implementación de la linea intermedia SOLO SI SE HACE LA LINEA 2020 PARA QUE ENTRE EN EL MES DE SEPTIEMBRE OSEA PASAR A Q17 3 MESES</t>
  </si>
  <si>
    <t>Equipo para 13 centros</t>
  </si>
  <si>
    <t xml:space="preserve">Taller de Capacitación con expertos </t>
  </si>
  <si>
    <t>Un coordinador para Pruebas de Educación de Nivel Medio. Fase 3</t>
  </si>
  <si>
    <t>Contratación de consultores en desarrollo de software MIGUEL GUERRA</t>
  </si>
  <si>
    <t>Contratación de consultores en desarrollo de software RONALD AYALA</t>
  </si>
  <si>
    <t>Date: June 22, 2020</t>
  </si>
  <si>
    <t>Out of Cycle Report:  Yes [ x ] | No [  ]</t>
  </si>
  <si>
    <t>OIL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</si>
</sst>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quot;#,##0;[Red]\-&quot;Q&quot;#,##0"/>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_);[Red]\(0\)"/>
    <numFmt numFmtId="169" formatCode="[$-409]mmmm\ d\,\ yyyy;@"/>
    <numFmt numFmtId="170" formatCode="[$-409]mmm\-yy;@"/>
    <numFmt numFmtId="171" formatCode="m/d/yy;@"/>
    <numFmt numFmtId="172" formatCode="_(&quot;$&quot;* #,##0_);_(&quot;$&quot;* \(#,##0\);_(&quot;$&quot;* &quot;-&quot;??_);_(@_)"/>
    <numFmt numFmtId="173" formatCode="0.0%"/>
    <numFmt numFmtId="174" formatCode="[$-409]dd\-mmm\-yy;@"/>
    <numFmt numFmtId="175" formatCode="_(&quot;$&quot;* #,##0.0000_);_(&quot;$&quot;* \(#,##0.0000\);_(&quot;$&quot;* &quot;-&quot;??_);_(@_)"/>
    <numFmt numFmtId="176" formatCode="_(&quot;$&quot;* #,##0.00000_);_(&quot;$&quot;* \(#,##0.00000\);_(&quot;$&quot;* &quot;-&quot;??_);_(@_)"/>
    <numFmt numFmtId="177" formatCode="_(&quot;$&quot;* #,##0.000000_);_(&quot;$&quot;* \(#,##0.000000\);_(&quot;$&quot;* &quot;-&quot;??_);_(@_)"/>
    <numFmt numFmtId="178" formatCode="_(* #,##0.00000_);_(* \(#,##0.00000\);_(* &quot;-&quot;??_);_(@_)"/>
    <numFmt numFmtId="179" formatCode="_(&quot;$&quot;* #,##0.0_);_(&quot;$&quot;* \(#,##0.0\);_(&quot;$&quot;* &quot;-&quot;??_);_(@_)"/>
    <numFmt numFmtId="180" formatCode="0.00000000;[Red]0.00000000"/>
  </numFmts>
  <fonts count="43"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
      <sz val="9"/>
      <color theme="1"/>
      <name val="Calibri"/>
      <family val="2"/>
      <scheme val="minor"/>
    </font>
    <font>
      <b/>
      <sz val="16"/>
      <color theme="1"/>
      <name val="Calibri"/>
      <family val="2"/>
      <scheme val="minor"/>
    </font>
    <font>
      <sz val="11"/>
      <color rgb="FF006100"/>
      <name val="Calibri"/>
      <family val="2"/>
      <scheme val="minor"/>
    </font>
    <font>
      <b/>
      <sz val="14"/>
      <color theme="1"/>
      <name val="Calibri"/>
      <family val="2"/>
      <scheme val="minor"/>
    </font>
    <font>
      <b/>
      <sz val="11"/>
      <color theme="0"/>
      <name val="Calibri"/>
      <family val="2"/>
      <scheme val="minor"/>
    </font>
    <font>
      <sz val="9"/>
      <color indexed="81"/>
      <name val="Tahoma"/>
      <charset val="1"/>
    </font>
    <font>
      <b/>
      <sz val="9"/>
      <color indexed="81"/>
      <name val="Tahoma"/>
      <charset val="1"/>
    </font>
    <font>
      <b/>
      <sz val="12"/>
      <color theme="1"/>
      <name val="Century Gothic"/>
      <family val="2"/>
    </font>
  </fonts>
  <fills count="32">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C6EFCE"/>
      </patternFill>
    </fill>
    <fill>
      <patternFill patternType="solid">
        <fgColor theme="5"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70C0"/>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4" tint="0.39997558519241921"/>
        <bgColor indexed="64"/>
      </patternFill>
    </fill>
  </fills>
  <borders count="5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indexed="64"/>
      </top>
      <bottom/>
      <diagonal/>
    </border>
  </borders>
  <cellStyleXfs count="21">
    <xf numFmtId="0" fontId="0"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9" fontId="1" fillId="0" borderId="0" applyFont="0" applyFill="0" applyBorder="0" applyAlignment="0" applyProtection="0"/>
    <xf numFmtId="0" fontId="37" fillId="23" borderId="0" applyNumberFormat="0" applyBorder="0" applyAlignment="0" applyProtection="0"/>
  </cellStyleXfs>
  <cellXfs count="529">
    <xf numFmtId="0" fontId="0" fillId="0" borderId="0" xfId="0"/>
    <xf numFmtId="167" fontId="2" fillId="0" borderId="0" xfId="2" applyNumberFormat="1"/>
    <xf numFmtId="167" fontId="3" fillId="0" borderId="1" xfId="3" applyNumberFormat="1" applyFont="1" applyBorder="1"/>
    <xf numFmtId="167" fontId="2" fillId="0" borderId="2" xfId="2" applyNumberFormat="1" applyFill="1" applyBorder="1"/>
    <xf numFmtId="167" fontId="2" fillId="0" borderId="3" xfId="2" applyNumberFormat="1" applyBorder="1"/>
    <xf numFmtId="167" fontId="2" fillId="0" borderId="0" xfId="2" applyNumberFormat="1" applyBorder="1"/>
    <xf numFmtId="168" fontId="2" fillId="0" borderId="0" xfId="2" applyNumberFormat="1"/>
    <xf numFmtId="0" fontId="2" fillId="0" borderId="0" xfId="4"/>
    <xf numFmtId="167" fontId="4" fillId="0" borderId="1" xfId="2" applyNumberFormat="1" applyFont="1" applyBorder="1"/>
    <xf numFmtId="167" fontId="2" fillId="0" borderId="0" xfId="2" applyNumberFormat="1" applyFont="1"/>
    <xf numFmtId="0" fontId="2" fillId="0" borderId="0" xfId="4" applyBorder="1"/>
    <xf numFmtId="167" fontId="2" fillId="0" borderId="4" xfId="2" applyNumberFormat="1" applyFill="1" applyBorder="1" applyAlignment="1">
      <alignment horizontal="right"/>
    </xf>
    <xf numFmtId="167" fontId="2" fillId="0" borderId="5" xfId="2" applyNumberFormat="1" applyFill="1" applyBorder="1"/>
    <xf numFmtId="0" fontId="0" fillId="0" borderId="6" xfId="0" applyBorder="1" applyAlignment="1">
      <alignment horizontal="left" indent="1"/>
    </xf>
    <xf numFmtId="167" fontId="2" fillId="0" borderId="7" xfId="2" applyNumberFormat="1" applyFill="1" applyBorder="1" applyAlignment="1">
      <alignment horizontal="right"/>
    </xf>
    <xf numFmtId="167" fontId="2" fillId="0" borderId="0" xfId="2" applyNumberFormat="1" applyFill="1" applyBorder="1"/>
    <xf numFmtId="0" fontId="0" fillId="0" borderId="8" xfId="0" applyBorder="1" applyAlignment="1">
      <alignment horizontal="left" indent="1"/>
    </xf>
    <xf numFmtId="167" fontId="2" fillId="0" borderId="7" xfId="2" applyNumberFormat="1" applyFont="1" applyFill="1" applyBorder="1" applyAlignment="1">
      <alignment horizontal="right"/>
    </xf>
    <xf numFmtId="167" fontId="2" fillId="0" borderId="9" xfId="2" applyNumberFormat="1" applyFont="1" applyBorder="1" applyAlignment="1">
      <alignment horizontal="right"/>
    </xf>
    <xf numFmtId="167" fontId="2" fillId="0" borderId="10" xfId="2" applyNumberFormat="1" applyFill="1" applyBorder="1" applyAlignment="1"/>
    <xf numFmtId="167" fontId="2" fillId="0" borderId="0" xfId="2" applyNumberFormat="1" applyAlignment="1"/>
    <xf numFmtId="167" fontId="2" fillId="0" borderId="0" xfId="2" applyNumberFormat="1" applyFill="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8" fontId="4" fillId="0" borderId="0" xfId="2" applyNumberFormat="1" applyFont="1" applyFill="1"/>
    <xf numFmtId="167" fontId="4" fillId="0" borderId="0" xfId="2" applyNumberFormat="1" applyFont="1" applyFill="1"/>
    <xf numFmtId="167" fontId="2" fillId="0" borderId="0" xfId="2" applyNumberFormat="1" applyFont="1" applyFill="1" applyBorder="1" applyAlignment="1">
      <alignment horizontal="left"/>
    </xf>
    <xf numFmtId="167"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8" fontId="4" fillId="6" borderId="12"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168" fontId="4" fillId="0" borderId="0" xfId="2" applyNumberFormat="1" applyFont="1" applyFill="1" applyBorder="1" applyAlignment="1">
      <alignment horizontal="center" vertical="center" wrapText="1"/>
    </xf>
    <xf numFmtId="167" fontId="2" fillId="0" borderId="13" xfId="2" applyNumberFormat="1" applyBorder="1"/>
    <xf numFmtId="167" fontId="2" fillId="0" borderId="12" xfId="2" applyNumberFormat="1" applyBorder="1"/>
    <xf numFmtId="167"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7" fontId="4" fillId="5" borderId="12" xfId="2" applyNumberFormat="1" applyFont="1" applyFill="1" applyBorder="1"/>
    <xf numFmtId="167" fontId="4" fillId="8" borderId="12" xfId="2" applyNumberFormat="1" applyFont="1" applyFill="1" applyBorder="1" applyAlignment="1">
      <alignment horizontal="center"/>
    </xf>
    <xf numFmtId="167" fontId="4" fillId="8" borderId="13" xfId="2" applyNumberFormat="1" applyFont="1" applyFill="1" applyBorder="1" applyAlignment="1">
      <alignment horizontal="center"/>
    </xf>
    <xf numFmtId="167" fontId="10" fillId="2" borderId="12" xfId="2" applyNumberFormat="1" applyFont="1" applyFill="1" applyBorder="1" applyAlignment="1">
      <alignment wrapText="1"/>
    </xf>
    <xf numFmtId="167" fontId="4" fillId="2" borderId="13" xfId="2" applyNumberFormat="1" applyFont="1" applyFill="1" applyBorder="1" applyAlignment="1">
      <alignment horizontal="center"/>
    </xf>
    <xf numFmtId="167" fontId="4" fillId="2" borderId="12" xfId="2" applyNumberFormat="1" applyFont="1" applyFill="1" applyBorder="1" applyAlignment="1">
      <alignment horizontal="center"/>
    </xf>
    <xf numFmtId="168" fontId="4" fillId="2" borderId="12" xfId="2" applyNumberFormat="1" applyFont="1" applyFill="1" applyBorder="1" applyAlignment="1">
      <alignment horizontal="center"/>
    </xf>
    <xf numFmtId="1" fontId="2" fillId="0" borderId="0" xfId="2" applyNumberFormat="1" applyBorder="1"/>
    <xf numFmtId="167" fontId="3" fillId="5" borderId="12" xfId="2" applyNumberFormat="1" applyFont="1" applyFill="1" applyBorder="1" applyAlignment="1">
      <alignment horizontal="left" vertical="center" wrapText="1"/>
    </xf>
    <xf numFmtId="167" fontId="3" fillId="9" borderId="12" xfId="2" applyNumberFormat="1" applyFont="1" applyFill="1" applyBorder="1" applyAlignment="1">
      <alignment horizontal="left" wrapText="1"/>
    </xf>
    <xf numFmtId="167" fontId="4" fillId="9" borderId="13" xfId="2" applyNumberFormat="1" applyFont="1" applyFill="1" applyBorder="1"/>
    <xf numFmtId="167" fontId="3" fillId="0" borderId="12" xfId="2" applyNumberFormat="1" applyFont="1" applyBorder="1" applyAlignment="1">
      <alignment wrapText="1"/>
    </xf>
    <xf numFmtId="167" fontId="4" fillId="0" borderId="13" xfId="2" applyNumberFormat="1" applyFont="1" applyBorder="1"/>
    <xf numFmtId="167" fontId="4" fillId="0" borderId="12" xfId="2" applyNumberFormat="1" applyFont="1" applyBorder="1"/>
    <xf numFmtId="167" fontId="4" fillId="2" borderId="13" xfId="2" applyNumberFormat="1" applyFont="1" applyFill="1" applyBorder="1"/>
    <xf numFmtId="167" fontId="4" fillId="2" borderId="12" xfId="2" applyNumberFormat="1" applyFont="1" applyFill="1" applyBorder="1"/>
    <xf numFmtId="167"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7"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7" fontId="2" fillId="0" borderId="0" xfId="2" applyNumberFormat="1" applyFill="1"/>
    <xf numFmtId="0" fontId="2" fillId="0" borderId="0" xfId="4" applyFont="1"/>
    <xf numFmtId="167" fontId="14" fillId="0" borderId="0" xfId="2" applyNumberFormat="1" applyFont="1"/>
    <xf numFmtId="168" fontId="14" fillId="0" borderId="0" xfId="2" applyNumberFormat="1" applyFont="1"/>
    <xf numFmtId="167"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9"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7" fontId="2" fillId="0" borderId="0" xfId="1" applyNumberFormat="1" applyFont="1" applyBorder="1"/>
    <xf numFmtId="171"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7"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9"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2" fontId="2" fillId="0" borderId="12" xfId="6" applyNumberFormat="1" applyFont="1" applyFill="1" applyBorder="1" applyAlignment="1">
      <alignment horizontal="center"/>
    </xf>
    <xf numFmtId="172"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9"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6" fontId="4" fillId="5" borderId="12" xfId="0" applyNumberFormat="1" applyFont="1" applyFill="1" applyBorder="1"/>
    <xf numFmtId="4" fontId="2" fillId="11" borderId="12"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4" fillId="6" borderId="37" xfId="0" applyNumberFormat="1" applyFont="1" applyFill="1" applyBorder="1"/>
    <xf numFmtId="166"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69" fontId="0" fillId="0" borderId="15" xfId="0" applyNumberFormat="1" applyBorder="1" applyAlignment="1">
      <alignment horizontal="left" indent="1"/>
    </xf>
    <xf numFmtId="166" fontId="4" fillId="5" borderId="17" xfId="0" applyNumberFormat="1" applyFont="1" applyFill="1" applyBorder="1"/>
    <xf numFmtId="166" fontId="2" fillId="9" borderId="12" xfId="0" applyNumberFormat="1" applyFont="1" applyFill="1" applyBorder="1"/>
    <xf numFmtId="166" fontId="2" fillId="11" borderId="10" xfId="0" applyNumberFormat="1" applyFont="1" applyFill="1" applyBorder="1"/>
    <xf numFmtId="166" fontId="4" fillId="7" borderId="29" xfId="0" applyNumberFormat="1" applyFont="1" applyFill="1" applyBorder="1" applyAlignment="1"/>
    <xf numFmtId="166" fontId="4" fillId="5" borderId="25" xfId="0" applyNumberFormat="1" applyFont="1" applyFill="1" applyBorder="1"/>
    <xf numFmtId="166" fontId="2" fillId="11" borderId="27" xfId="0" applyNumberFormat="1" applyFont="1" applyFill="1" applyBorder="1"/>
    <xf numFmtId="166" fontId="4" fillId="5" borderId="27" xfId="0" applyNumberFormat="1" applyFont="1" applyFill="1" applyBorder="1"/>
    <xf numFmtId="166" fontId="4" fillId="11" borderId="27" xfId="0" applyNumberFormat="1" applyFont="1" applyFill="1" applyBorder="1"/>
    <xf numFmtId="166" fontId="2" fillId="11" borderId="11" xfId="0" applyNumberFormat="1" applyFont="1" applyFill="1" applyBorder="1"/>
    <xf numFmtId="166" fontId="4" fillId="7" borderId="43" xfId="0" applyNumberFormat="1" applyFont="1" applyFill="1" applyBorder="1" applyAlignment="1"/>
    <xf numFmtId="167" fontId="3" fillId="10" borderId="12" xfId="1" applyNumberFormat="1" applyFont="1" applyFill="1" applyBorder="1" applyAlignment="1">
      <alignment horizontal="center"/>
    </xf>
    <xf numFmtId="0" fontId="2" fillId="0" borderId="11" xfId="2" applyNumberFormat="1" applyFont="1" applyBorder="1" applyAlignment="1">
      <alignment horizontal="center"/>
    </xf>
    <xf numFmtId="167" fontId="2" fillId="0" borderId="0" xfId="2" applyNumberFormat="1" applyAlignment="1">
      <alignment vertical="top"/>
    </xf>
    <xf numFmtId="167" fontId="2" fillId="0" borderId="0" xfId="2" applyNumberFormat="1" applyFont="1" applyAlignment="1">
      <alignment vertical="top"/>
    </xf>
    <xf numFmtId="0" fontId="2" fillId="0" borderId="0" xfId="4" applyAlignment="1">
      <alignment vertical="top"/>
    </xf>
    <xf numFmtId="168" fontId="4" fillId="6" borderId="12" xfId="2" applyNumberFormat="1" applyFont="1" applyFill="1" applyBorder="1" applyAlignment="1">
      <alignment horizontal="center" vertical="top"/>
    </xf>
    <xf numFmtId="167" fontId="3" fillId="10" borderId="12" xfId="1" applyNumberFormat="1" applyFont="1" applyFill="1" applyBorder="1" applyAlignment="1">
      <alignment horizontal="center" vertical="top"/>
    </xf>
    <xf numFmtId="167" fontId="4" fillId="2" borderId="12" xfId="2" applyNumberFormat="1" applyFont="1" applyFill="1" applyBorder="1" applyAlignment="1">
      <alignment horizontal="center" vertical="top"/>
    </xf>
    <xf numFmtId="166" fontId="4" fillId="5" borderId="13" xfId="2" applyNumberFormat="1" applyFont="1" applyFill="1" applyBorder="1"/>
    <xf numFmtId="166" fontId="4" fillId="9" borderId="13" xfId="2" applyNumberFormat="1" applyFont="1" applyFill="1" applyBorder="1"/>
    <xf numFmtId="166" fontId="4" fillId="5" borderId="12" xfId="2" applyNumberFormat="1" applyFont="1" applyFill="1" applyBorder="1" applyAlignment="1">
      <alignment vertical="top"/>
    </xf>
    <xf numFmtId="166" fontId="4" fillId="9" borderId="12" xfId="2" applyNumberFormat="1" applyFont="1" applyFill="1" applyBorder="1" applyAlignment="1">
      <alignment vertical="top"/>
    </xf>
    <xf numFmtId="167" fontId="23" fillId="14" borderId="12" xfId="2" applyNumberFormat="1" applyFont="1" applyFill="1" applyBorder="1" applyAlignment="1">
      <alignment horizontal="left" vertical="center" wrapText="1"/>
    </xf>
    <xf numFmtId="166" fontId="2" fillId="14" borderId="12" xfId="2" applyNumberFormat="1" applyFont="1" applyFill="1" applyBorder="1"/>
    <xf numFmtId="166" fontId="2" fillId="14" borderId="12" xfId="2" applyNumberFormat="1" applyFont="1" applyFill="1" applyBorder="1" applyAlignment="1">
      <alignment vertical="top"/>
    </xf>
    <xf numFmtId="1" fontId="2" fillId="0" borderId="0" xfId="2" applyNumberFormat="1" applyFont="1" applyBorder="1"/>
    <xf numFmtId="167" fontId="2" fillId="0" borderId="0" xfId="2" applyNumberFormat="1" applyFont="1" applyBorder="1"/>
    <xf numFmtId="167" fontId="2" fillId="0" borderId="13" xfId="2" applyNumberFormat="1" applyFont="1" applyBorder="1"/>
    <xf numFmtId="167" fontId="2" fillId="0" borderId="12" xfId="2" applyNumberFormat="1" applyFont="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7" fontId="23" fillId="14" borderId="12" xfId="2" applyNumberFormat="1" applyFont="1" applyFill="1" applyBorder="1" applyAlignment="1">
      <alignment horizontal="left" wrapText="1"/>
    </xf>
    <xf numFmtId="166" fontId="4" fillId="0" borderId="12" xfId="2" applyNumberFormat="1" applyFont="1" applyBorder="1"/>
    <xf numFmtId="166" fontId="4" fillId="2" borderId="12" xfId="2" applyNumberFormat="1" applyFont="1" applyFill="1" applyBorder="1"/>
    <xf numFmtId="166" fontId="4" fillId="0" borderId="12" xfId="2" applyNumberFormat="1" applyFont="1" applyFill="1" applyBorder="1"/>
    <xf numFmtId="166"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6"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7" fontId="4" fillId="6" borderId="15" xfId="2" applyNumberFormat="1" applyFont="1" applyFill="1" applyBorder="1" applyAlignment="1">
      <alignment horizontal="center" vertical="center"/>
    </xf>
    <xf numFmtId="170" fontId="0" fillId="0" borderId="0" xfId="0" applyNumberFormat="1"/>
    <xf numFmtId="173" fontId="0" fillId="0" borderId="0" xfId="0" applyNumberFormat="1"/>
    <xf numFmtId="172" fontId="0" fillId="0" borderId="0" xfId="12" applyNumberFormat="1" applyFon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0" fontId="24" fillId="6" borderId="0" xfId="0" applyNumberFormat="1" applyFont="1" applyFill="1"/>
    <xf numFmtId="4" fontId="0" fillId="0" borderId="0" xfId="0" applyNumberFormat="1"/>
    <xf numFmtId="172" fontId="0" fillId="0" borderId="0" xfId="0" applyNumberFormat="1" applyFill="1"/>
    <xf numFmtId="0" fontId="0" fillId="18" borderId="0" xfId="0" applyFill="1"/>
    <xf numFmtId="166" fontId="4" fillId="0" borderId="0" xfId="0" applyNumberFormat="1" applyFont="1"/>
    <xf numFmtId="0" fontId="0" fillId="0" borderId="0" xfId="0" applyFill="1"/>
    <xf numFmtId="0" fontId="26" fillId="0" borderId="0" xfId="0" applyFont="1" applyFill="1"/>
    <xf numFmtId="166" fontId="26" fillId="0" borderId="0" xfId="1" applyFont="1" applyFill="1"/>
    <xf numFmtId="166" fontId="26" fillId="0" borderId="0" xfId="0" applyNumberFormat="1" applyFont="1" applyFill="1"/>
    <xf numFmtId="172" fontId="24" fillId="6" borderId="0" xfId="0" applyNumberFormat="1" applyFont="1" applyFill="1"/>
    <xf numFmtId="166" fontId="0" fillId="0" borderId="0" xfId="0" applyNumberFormat="1"/>
    <xf numFmtId="43" fontId="0" fillId="0" borderId="0" xfId="0" applyNumberFormat="1"/>
    <xf numFmtId="172"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6" fontId="2" fillId="0" borderId="0" xfId="2" applyNumberFormat="1" applyBorder="1"/>
    <xf numFmtId="166" fontId="2" fillId="0" borderId="0" xfId="2" applyNumberFormat="1" applyFont="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6" fontId="5" fillId="0" borderId="0" xfId="2" applyNumberFormat="1" applyFont="1" applyFill="1" applyBorder="1" applyAlignment="1">
      <alignment horizontal="left"/>
    </xf>
    <xf numFmtId="166" fontId="3" fillId="10" borderId="12" xfId="1" applyNumberFormat="1" applyFont="1" applyFill="1" applyBorder="1" applyAlignment="1">
      <alignment horizontal="center"/>
    </xf>
    <xf numFmtId="166" fontId="4" fillId="8" borderId="12" xfId="2" applyNumberFormat="1" applyFont="1" applyFill="1" applyBorder="1" applyAlignment="1">
      <alignment horizontal="center"/>
    </xf>
    <xf numFmtId="166" fontId="4" fillId="2" borderId="12" xfId="2" applyNumberFormat="1" applyFont="1" applyFill="1" applyBorder="1" applyAlignment="1">
      <alignment horizontal="center"/>
    </xf>
    <xf numFmtId="166" fontId="4" fillId="2" borderId="12" xfId="4" applyNumberFormat="1" applyFont="1" applyFill="1" applyBorder="1"/>
    <xf numFmtId="166" fontId="2" fillId="0" borderId="0" xfId="2" applyNumberFormat="1"/>
    <xf numFmtId="14" fontId="3" fillId="5" borderId="12" xfId="0" applyNumberFormat="1" applyFont="1" applyFill="1" applyBorder="1" applyAlignment="1">
      <alignment horizontal="center" vertical="center" wrapText="1"/>
    </xf>
    <xf numFmtId="166" fontId="4" fillId="0" borderId="12" xfId="2" applyNumberFormat="1" applyFont="1" applyFill="1" applyBorder="1" applyAlignment="1">
      <alignment vertical="top"/>
    </xf>
    <xf numFmtId="166" fontId="4" fillId="2" borderId="12" xfId="2" applyNumberFormat="1" applyFont="1" applyFill="1" applyBorder="1" applyAlignment="1">
      <alignment vertical="top"/>
    </xf>
    <xf numFmtId="166" fontId="2" fillId="14" borderId="13" xfId="2" applyNumberFormat="1" applyFont="1" applyFill="1" applyBorder="1" applyAlignment="1">
      <alignment vertical="top"/>
    </xf>
    <xf numFmtId="166" fontId="4" fillId="9" borderId="13" xfId="2" applyNumberFormat="1" applyFont="1" applyFill="1" applyBorder="1" applyAlignment="1">
      <alignment vertical="top"/>
    </xf>
    <xf numFmtId="166" fontId="4" fillId="0" borderId="13" xfId="2" applyNumberFormat="1" applyFont="1" applyBorder="1"/>
    <xf numFmtId="166" fontId="4" fillId="2" borderId="13" xfId="2" applyNumberFormat="1" applyFont="1" applyFill="1" applyBorder="1"/>
    <xf numFmtId="166" fontId="4" fillId="2" borderId="13" xfId="4" applyNumberFormat="1" applyFont="1" applyFill="1" applyBorder="1"/>
    <xf numFmtId="166" fontId="2" fillId="0" borderId="0" xfId="2" applyNumberFormat="1" applyFill="1"/>
    <xf numFmtId="166"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6" fontId="2" fillId="14" borderId="13" xfId="2" applyNumberFormat="1" applyFont="1" applyFill="1" applyBorder="1"/>
    <xf numFmtId="166" fontId="2" fillId="14" borderId="12" xfId="2" applyNumberFormat="1" applyFont="1" applyFill="1" applyBorder="1"/>
    <xf numFmtId="9" fontId="0" fillId="0" borderId="0" xfId="0" applyNumberFormat="1"/>
    <xf numFmtId="172" fontId="0" fillId="0" borderId="0" xfId="0" applyNumberFormat="1"/>
    <xf numFmtId="172" fontId="0" fillId="6" borderId="0" xfId="0" applyNumberFormat="1" applyFill="1"/>
    <xf numFmtId="172" fontId="26" fillId="17" borderId="0" xfId="12" applyNumberFormat="1" applyFont="1" applyFill="1"/>
    <xf numFmtId="172" fontId="22" fillId="0" borderId="0" xfId="12" applyNumberFormat="1" applyFont="1"/>
    <xf numFmtId="174" fontId="0" fillId="0" borderId="8" xfId="0" applyNumberFormat="1" applyBorder="1" applyAlignment="1">
      <alignment horizontal="left" indent="1"/>
    </xf>
    <xf numFmtId="0" fontId="31" fillId="21" borderId="0" xfId="0" applyFont="1" applyFill="1" applyAlignment="1">
      <alignment horizontal="left"/>
    </xf>
    <xf numFmtId="172" fontId="24" fillId="21" borderId="0" xfId="12" applyNumberFormat="1" applyFont="1" applyFill="1" applyAlignment="1">
      <alignment horizontal="left"/>
    </xf>
    <xf numFmtId="172" fontId="24" fillId="21" borderId="0" xfId="12" applyNumberFormat="1" applyFont="1" applyFill="1"/>
    <xf numFmtId="0" fontId="30" fillId="19" borderId="0" xfId="0" applyFont="1" applyFill="1"/>
    <xf numFmtId="172" fontId="30" fillId="19" borderId="0" xfId="0" applyNumberFormat="1" applyFont="1" applyFill="1"/>
    <xf numFmtId="0" fontId="2" fillId="0" borderId="0" xfId="2" applyNumberFormat="1" applyFont="1" applyBorder="1" applyAlignment="1">
      <alignment horizontal="center"/>
    </xf>
    <xf numFmtId="9" fontId="0" fillId="0" borderId="0" xfId="19" applyFont="1"/>
    <xf numFmtId="172" fontId="27" fillId="22" borderId="0" xfId="12" applyNumberFormat="1" applyFont="1" applyFill="1"/>
    <xf numFmtId="0" fontId="30" fillId="0" borderId="0" xfId="0" applyFont="1"/>
    <xf numFmtId="170" fontId="30" fillId="0" borderId="0" xfId="0" applyNumberFormat="1" applyFont="1"/>
    <xf numFmtId="173" fontId="30" fillId="0" borderId="0" xfId="0" applyNumberFormat="1" applyFont="1"/>
    <xf numFmtId="9" fontId="30" fillId="0" borderId="0" xfId="0" applyNumberFormat="1" applyFont="1"/>
    <xf numFmtId="9" fontId="30" fillId="0" borderId="0" xfId="19" applyFont="1"/>
    <xf numFmtId="172"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2" fontId="1" fillId="0" borderId="0" xfId="12" applyNumberFormat="1" applyFont="1" applyFill="1"/>
    <xf numFmtId="172" fontId="0" fillId="13" borderId="0" xfId="12" applyNumberFormat="1" applyFont="1" applyFill="1"/>
    <xf numFmtId="172" fontId="27" fillId="13" borderId="0" xfId="12" applyNumberFormat="1" applyFont="1" applyFill="1"/>
    <xf numFmtId="164" fontId="2" fillId="0" borderId="12" xfId="6" applyNumberFormat="1" applyFont="1" applyFill="1" applyBorder="1" applyAlignment="1"/>
    <xf numFmtId="167" fontId="4" fillId="0" borderId="0" xfId="2" applyNumberFormat="1" applyFont="1" applyFill="1" applyBorder="1"/>
    <xf numFmtId="0" fontId="0" fillId="0" borderId="0" xfId="0" applyBorder="1"/>
    <xf numFmtId="166" fontId="13" fillId="10" borderId="18" xfId="1" applyFont="1" applyFill="1" applyBorder="1" applyAlignment="1">
      <alignment horizontal="center" vertical="center"/>
    </xf>
    <xf numFmtId="0" fontId="4" fillId="0" borderId="33" xfId="5" applyFont="1" applyFill="1" applyBorder="1"/>
    <xf numFmtId="0" fontId="17" fillId="0" borderId="12" xfId="5" applyFont="1" applyFill="1" applyBorder="1" applyAlignment="1">
      <alignment horizontal="left" vertical="top" wrapText="1"/>
    </xf>
    <xf numFmtId="169" fontId="35" fillId="0" borderId="8" xfId="0" applyNumberFormat="1" applyFont="1" applyBorder="1" applyAlignment="1">
      <alignment horizontal="left" indent="1"/>
    </xf>
    <xf numFmtId="4" fontId="0" fillId="0" borderId="0" xfId="0" applyNumberFormat="1" applyFill="1"/>
    <xf numFmtId="166" fontId="2" fillId="22" borderId="12" xfId="0" applyNumberFormat="1" applyFont="1" applyFill="1" applyBorder="1"/>
    <xf numFmtId="172" fontId="36" fillId="0" borderId="0" xfId="0" applyNumberFormat="1" applyFont="1"/>
    <xf numFmtId="166" fontId="2" fillId="11" borderId="46" xfId="0" applyNumberFormat="1" applyFont="1" applyFill="1" applyBorder="1"/>
    <xf numFmtId="166" fontId="2" fillId="11" borderId="31" xfId="0" applyNumberFormat="1" applyFont="1" applyFill="1" applyBorder="1"/>
    <xf numFmtId="166" fontId="24" fillId="0" borderId="0" xfId="1" applyFont="1" applyFill="1"/>
    <xf numFmtId="172" fontId="32" fillId="0" borderId="0" xfId="12" applyNumberFormat="1" applyFont="1" applyFill="1"/>
    <xf numFmtId="170" fontId="0" fillId="0" borderId="0" xfId="0" applyNumberFormat="1" applyAlignment="1">
      <alignment horizontal="center" vertical="center"/>
    </xf>
    <xf numFmtId="170" fontId="30" fillId="0" borderId="0" xfId="0" applyNumberFormat="1" applyFont="1" applyAlignment="1">
      <alignment horizontal="center" vertical="center"/>
    </xf>
    <xf numFmtId="0" fontId="24" fillId="6" borderId="0" xfId="0" applyFont="1" applyFill="1" applyAlignment="1">
      <alignment horizontal="center" vertical="center"/>
    </xf>
    <xf numFmtId="49" fontId="24" fillId="6" borderId="0" xfId="0" applyNumberFormat="1" applyFont="1" applyFill="1" applyAlignment="1">
      <alignment horizontal="center" vertical="center"/>
    </xf>
    <xf numFmtId="166" fontId="0" fillId="0" borderId="0" xfId="1" applyFont="1"/>
    <xf numFmtId="166" fontId="30" fillId="0" borderId="0" xfId="1" applyFont="1" applyFill="1"/>
    <xf numFmtId="166" fontId="4" fillId="5" borderId="13" xfId="1" applyFont="1" applyFill="1" applyBorder="1"/>
    <xf numFmtId="0" fontId="4" fillId="7" borderId="12" xfId="4" applyFont="1" applyFill="1" applyBorder="1" applyAlignment="1">
      <alignment horizontal="center" vertical="center" wrapText="1"/>
    </xf>
    <xf numFmtId="0" fontId="4" fillId="7" borderId="12" xfId="4" applyFont="1" applyFill="1" applyBorder="1" applyAlignment="1">
      <alignment horizontal="center" vertical="center" wrapText="1"/>
    </xf>
    <xf numFmtId="0" fontId="0" fillId="0" borderId="0" xfId="0" applyAlignment="1">
      <alignment horizontal="center"/>
    </xf>
    <xf numFmtId="170" fontId="24" fillId="6" borderId="0" xfId="0" applyNumberFormat="1" applyFont="1" applyFill="1" applyAlignment="1">
      <alignment horizontal="center"/>
    </xf>
    <xf numFmtId="0" fontId="30" fillId="0" borderId="0" xfId="0" applyFont="1" applyAlignment="1">
      <alignment horizontal="center"/>
    </xf>
    <xf numFmtId="0" fontId="0" fillId="14" borderId="0" xfId="0" applyFill="1" applyAlignment="1">
      <alignment horizontal="center"/>
    </xf>
    <xf numFmtId="49" fontId="0" fillId="0" borderId="0" xfId="0" applyNumberFormat="1" applyAlignment="1">
      <alignment horizontal="center"/>
    </xf>
    <xf numFmtId="0" fontId="24" fillId="6" borderId="0" xfId="0" applyFont="1" applyFill="1" applyAlignment="1">
      <alignment horizontal="center"/>
    </xf>
    <xf numFmtId="6" fontId="0" fillId="6" borderId="0" xfId="0" applyNumberFormat="1" applyFill="1" applyAlignment="1">
      <alignment horizontal="center"/>
    </xf>
    <xf numFmtId="0" fontId="30" fillId="0" borderId="0" xfId="20" applyFont="1" applyFill="1"/>
    <xf numFmtId="9" fontId="30" fillId="0" borderId="0" xfId="20" applyNumberFormat="1" applyFont="1" applyFill="1" applyAlignment="1">
      <alignment vertical="center"/>
    </xf>
    <xf numFmtId="172" fontId="30" fillId="0" borderId="0" xfId="20" applyNumberFormat="1" applyFont="1" applyFill="1"/>
    <xf numFmtId="172" fontId="30" fillId="0" borderId="0" xfId="0" applyNumberFormat="1" applyFont="1" applyFill="1"/>
    <xf numFmtId="6" fontId="0" fillId="0" borderId="0" xfId="0" applyNumberFormat="1" applyAlignment="1">
      <alignment horizontal="center"/>
    </xf>
    <xf numFmtId="167" fontId="4" fillId="8" borderId="12" xfId="2" applyNumberFormat="1" applyFont="1" applyFill="1" applyBorder="1" applyAlignment="1">
      <alignment horizontal="center" vertical="center"/>
    </xf>
    <xf numFmtId="0" fontId="0" fillId="0" borderId="0" xfId="0" applyAlignment="1">
      <alignment vertical="center"/>
    </xf>
    <xf numFmtId="166" fontId="0" fillId="0" borderId="0" xfId="1" applyFont="1" applyAlignment="1">
      <alignment vertical="center"/>
    </xf>
    <xf numFmtId="49" fontId="0" fillId="0" borderId="12" xfId="0" applyNumberFormat="1" applyBorder="1"/>
    <xf numFmtId="0" fontId="0" fillId="0" borderId="12" xfId="0" applyBorder="1"/>
    <xf numFmtId="166" fontId="0" fillId="0" borderId="12" xfId="1" applyFont="1" applyBorder="1"/>
    <xf numFmtId="0" fontId="0" fillId="24" borderId="12" xfId="0" applyFill="1" applyBorder="1" applyAlignment="1">
      <alignment vertical="center" wrapText="1"/>
    </xf>
    <xf numFmtId="166" fontId="0" fillId="24" borderId="12" xfId="1" applyFont="1" applyFill="1" applyBorder="1" applyAlignment="1">
      <alignment vertical="center" wrapText="1"/>
    </xf>
    <xf numFmtId="166" fontId="2" fillId="14" borderId="13" xfId="1" applyFont="1" applyFill="1" applyBorder="1"/>
    <xf numFmtId="49" fontId="30" fillId="0" borderId="0" xfId="20" applyNumberFormat="1" applyFont="1" applyFill="1"/>
    <xf numFmtId="0" fontId="0" fillId="25" borderId="0" xfId="0" applyFill="1"/>
    <xf numFmtId="166" fontId="0" fillId="0" borderId="0" xfId="1" applyFont="1" applyFill="1"/>
    <xf numFmtId="0" fontId="4" fillId="0" borderId="47" xfId="0" applyFont="1" applyFill="1" applyBorder="1" applyAlignment="1">
      <alignment horizontal="center"/>
    </xf>
    <xf numFmtId="40" fontId="2" fillId="0" borderId="14" xfId="0" applyNumberFormat="1" applyFont="1" applyFill="1" applyBorder="1"/>
    <xf numFmtId="40" fontId="2" fillId="0" borderId="48" xfId="0" applyNumberFormat="1" applyFont="1" applyFill="1" applyBorder="1"/>
    <xf numFmtId="0" fontId="4" fillId="7" borderId="12" xfId="4" applyFont="1" applyFill="1" applyBorder="1" applyAlignment="1">
      <alignment horizontal="center" vertical="center" wrapText="1"/>
    </xf>
    <xf numFmtId="6" fontId="24" fillId="6" borderId="0" xfId="0" applyNumberFormat="1" applyFont="1" applyFill="1" applyAlignment="1">
      <alignment horizontal="center"/>
    </xf>
    <xf numFmtId="166" fontId="2" fillId="14" borderId="12" xfId="1" applyFont="1" applyFill="1" applyBorder="1"/>
    <xf numFmtId="167" fontId="2" fillId="0" borderId="0" xfId="2" applyNumberFormat="1" applyFill="1" applyAlignment="1">
      <alignment vertical="top"/>
    </xf>
    <xf numFmtId="166" fontId="30" fillId="26" borderId="0" xfId="20" applyNumberFormat="1" applyFont="1" applyFill="1"/>
    <xf numFmtId="166" fontId="30" fillId="26" borderId="0" xfId="1" applyFont="1" applyFill="1"/>
    <xf numFmtId="172" fontId="30" fillId="0" borderId="0" xfId="20" applyNumberFormat="1" applyFont="1" applyFill="1" applyBorder="1"/>
    <xf numFmtId="0" fontId="31" fillId="0" borderId="0" xfId="0" applyFont="1" applyFill="1" applyAlignment="1">
      <alignment horizontal="left"/>
    </xf>
    <xf numFmtId="172" fontId="24" fillId="0" borderId="0" xfId="12" applyNumberFormat="1" applyFont="1" applyFill="1" applyAlignment="1">
      <alignment horizontal="left"/>
    </xf>
    <xf numFmtId="172" fontId="24" fillId="0" borderId="0" xfId="12" applyNumberFormat="1" applyFont="1" applyFill="1"/>
    <xf numFmtId="166" fontId="0" fillId="0" borderId="0" xfId="0" applyNumberFormat="1" applyFill="1"/>
    <xf numFmtId="0" fontId="0" fillId="27" borderId="0" xfId="0" applyFill="1"/>
    <xf numFmtId="166" fontId="0" fillId="27" borderId="0" xfId="1" applyFont="1" applyFill="1"/>
    <xf numFmtId="43" fontId="0" fillId="27" borderId="0" xfId="0" applyNumberFormat="1" applyFill="1"/>
    <xf numFmtId="0" fontId="0" fillId="26" borderId="0" xfId="0" applyFill="1"/>
    <xf numFmtId="0" fontId="30" fillId="26" borderId="0" xfId="20" applyFont="1" applyFill="1"/>
    <xf numFmtId="9" fontId="30" fillId="26" borderId="0" xfId="20" applyNumberFormat="1" applyFont="1" applyFill="1"/>
    <xf numFmtId="172" fontId="30" fillId="26" borderId="0" xfId="20" applyNumberFormat="1" applyFont="1" applyFill="1"/>
    <xf numFmtId="9" fontId="30" fillId="26" borderId="0" xfId="20" applyNumberFormat="1" applyFont="1" applyFill="1" applyAlignment="1">
      <alignment vertical="center"/>
    </xf>
    <xf numFmtId="0" fontId="30" fillId="26" borderId="0" xfId="20" applyFont="1" applyFill="1" applyAlignment="1">
      <alignment vertical="center"/>
    </xf>
    <xf numFmtId="0" fontId="0" fillId="28" borderId="0" xfId="0" applyFill="1"/>
    <xf numFmtId="166" fontId="0" fillId="28" borderId="0" xfId="1" applyFont="1" applyFill="1"/>
    <xf numFmtId="172" fontId="0" fillId="28" borderId="0" xfId="12" applyNumberFormat="1" applyFont="1" applyFill="1"/>
    <xf numFmtId="166" fontId="2" fillId="0" borderId="0" xfId="1" applyFont="1"/>
    <xf numFmtId="166" fontId="4" fillId="9" borderId="13" xfId="1" applyFont="1" applyFill="1" applyBorder="1"/>
    <xf numFmtId="166" fontId="4" fillId="5" borderId="12" xfId="1" applyFont="1" applyFill="1" applyBorder="1"/>
    <xf numFmtId="166" fontId="26" fillId="28" borderId="0" xfId="1" applyFont="1" applyFill="1"/>
    <xf numFmtId="166" fontId="0" fillId="14" borderId="0" xfId="1" applyFont="1" applyFill="1"/>
    <xf numFmtId="166" fontId="0" fillId="14" borderId="0" xfId="0" applyNumberFormat="1" applyFill="1"/>
    <xf numFmtId="43" fontId="0" fillId="14" borderId="0" xfId="0" applyNumberFormat="1" applyFill="1"/>
    <xf numFmtId="172" fontId="30" fillId="27" borderId="0" xfId="20" applyNumberFormat="1" applyFont="1" applyFill="1" applyBorder="1"/>
    <xf numFmtId="166" fontId="0" fillId="27" borderId="0" xfId="0" applyNumberFormat="1" applyFill="1"/>
    <xf numFmtId="10" fontId="30" fillId="26" borderId="0" xfId="20" applyNumberFormat="1" applyFont="1" applyFill="1" applyAlignment="1">
      <alignment vertical="center"/>
    </xf>
    <xf numFmtId="9" fontId="30" fillId="26" borderId="0" xfId="19" applyFont="1" applyFill="1" applyAlignment="1">
      <alignment vertical="center"/>
    </xf>
    <xf numFmtId="0" fontId="26" fillId="26" borderId="0" xfId="0" applyFont="1" applyFill="1"/>
    <xf numFmtId="0" fontId="37" fillId="26" borderId="0" xfId="20" applyFill="1"/>
    <xf numFmtId="166" fontId="37" fillId="26" borderId="0" xfId="20" applyNumberFormat="1" applyFill="1"/>
    <xf numFmtId="172" fontId="37" fillId="26" borderId="0" xfId="20" applyNumberFormat="1" applyFill="1"/>
    <xf numFmtId="43" fontId="0" fillId="0" borderId="0" xfId="0" applyNumberFormat="1" applyFill="1"/>
    <xf numFmtId="172" fontId="30" fillId="19" borderId="0" xfId="20" applyNumberFormat="1" applyFont="1" applyFill="1"/>
    <xf numFmtId="166" fontId="30" fillId="19" borderId="0" xfId="20" applyNumberFormat="1" applyFont="1" applyFill="1"/>
    <xf numFmtId="0" fontId="30" fillId="19" borderId="0" xfId="20" applyFont="1" applyFill="1"/>
    <xf numFmtId="166" fontId="39" fillId="28" borderId="0" xfId="1" applyFont="1" applyFill="1"/>
    <xf numFmtId="166" fontId="0" fillId="22" borderId="0" xfId="1" applyFont="1" applyFill="1"/>
    <xf numFmtId="178" fontId="0" fillId="0" borderId="0" xfId="1" applyNumberFormat="1" applyFont="1"/>
    <xf numFmtId="166" fontId="4" fillId="0" borderId="0" xfId="1" applyFont="1" applyFill="1" applyBorder="1" applyAlignment="1">
      <alignment horizontal="center" vertical="center" wrapText="1"/>
    </xf>
    <xf numFmtId="0" fontId="30" fillId="0" borderId="49" xfId="20" applyFont="1" applyFill="1" applyBorder="1"/>
    <xf numFmtId="9" fontId="30" fillId="0" borderId="49" xfId="19" applyFont="1" applyFill="1" applyBorder="1" applyAlignment="1">
      <alignment vertical="center"/>
    </xf>
    <xf numFmtId="172" fontId="30" fillId="0" borderId="49" xfId="20" applyNumberFormat="1" applyFont="1" applyFill="1" applyBorder="1"/>
    <xf numFmtId="0" fontId="30" fillId="0" borderId="0" xfId="20" applyFont="1" applyFill="1" applyBorder="1"/>
    <xf numFmtId="9" fontId="30" fillId="0" borderId="0" xfId="20" applyNumberFormat="1" applyFont="1" applyFill="1" applyBorder="1" applyAlignment="1">
      <alignment vertical="center"/>
    </xf>
    <xf numFmtId="166" fontId="30" fillId="0" borderId="0" xfId="20" applyNumberFormat="1" applyFont="1" applyFill="1"/>
    <xf numFmtId="9" fontId="30" fillId="0" borderId="0" xfId="20" applyNumberFormat="1" applyFont="1" applyFill="1"/>
    <xf numFmtId="0" fontId="30" fillId="0" borderId="0" xfId="20" applyFont="1" applyFill="1" applyAlignment="1">
      <alignment vertical="center"/>
    </xf>
    <xf numFmtId="9" fontId="30" fillId="0" borderId="0" xfId="19" applyFont="1" applyFill="1" applyAlignment="1">
      <alignment vertical="center"/>
    </xf>
    <xf numFmtId="173" fontId="30" fillId="0" borderId="0" xfId="20" applyNumberFormat="1" applyFont="1" applyFill="1" applyAlignment="1">
      <alignment vertical="center"/>
    </xf>
    <xf numFmtId="9" fontId="30" fillId="0" borderId="0" xfId="19" applyFont="1" applyFill="1" applyBorder="1" applyAlignment="1">
      <alignment vertical="center"/>
    </xf>
    <xf numFmtId="166" fontId="30" fillId="0" borderId="0" xfId="20" applyNumberFormat="1" applyFont="1" applyFill="1" applyAlignment="1">
      <alignment vertical="center"/>
    </xf>
    <xf numFmtId="0" fontId="0" fillId="0" borderId="0" xfId="0" applyFont="1" applyFill="1"/>
    <xf numFmtId="165" fontId="30" fillId="0" borderId="0" xfId="20" applyNumberFormat="1" applyFont="1" applyFill="1"/>
    <xf numFmtId="10" fontId="30" fillId="0" borderId="0" xfId="20" applyNumberFormat="1" applyFont="1" applyFill="1" applyAlignment="1">
      <alignment vertical="center"/>
    </xf>
    <xf numFmtId="10" fontId="30" fillId="0" borderId="0" xfId="20" applyNumberFormat="1" applyFont="1" applyFill="1"/>
    <xf numFmtId="172" fontId="30" fillId="0" borderId="0" xfId="20" applyNumberFormat="1" applyFont="1" applyFill="1" applyAlignment="1">
      <alignment vertical="center"/>
    </xf>
    <xf numFmtId="176" fontId="30" fillId="0" borderId="0" xfId="20" applyNumberFormat="1" applyFont="1" applyFill="1" applyBorder="1"/>
    <xf numFmtId="175" fontId="30" fillId="0" borderId="0" xfId="20" applyNumberFormat="1" applyFont="1" applyFill="1" applyBorder="1"/>
    <xf numFmtId="0" fontId="28" fillId="0" borderId="0" xfId="20" applyFont="1" applyFill="1"/>
    <xf numFmtId="177" fontId="30" fillId="0" borderId="0" xfId="20" applyNumberFormat="1" applyFont="1" applyFill="1" applyBorder="1"/>
    <xf numFmtId="166" fontId="37" fillId="0" borderId="0" xfId="1" applyFont="1" applyFill="1"/>
    <xf numFmtId="172" fontId="37" fillId="0" borderId="0" xfId="20" applyNumberFormat="1" applyFill="1"/>
    <xf numFmtId="165" fontId="30" fillId="0" borderId="0" xfId="20" applyNumberFormat="1" applyFont="1" applyFill="1" applyBorder="1"/>
    <xf numFmtId="172" fontId="30" fillId="22" borderId="0" xfId="20" applyNumberFormat="1" applyFont="1" applyFill="1"/>
    <xf numFmtId="166" fontId="30" fillId="22" borderId="0" xfId="20" applyNumberFormat="1" applyFont="1" applyFill="1"/>
    <xf numFmtId="172" fontId="30" fillId="14" borderId="0" xfId="20" applyNumberFormat="1" applyFont="1" applyFill="1"/>
    <xf numFmtId="172" fontId="37" fillId="14" borderId="0" xfId="20" applyNumberFormat="1" applyFill="1"/>
    <xf numFmtId="40" fontId="4" fillId="5" borderId="14" xfId="0" applyNumberFormat="1" applyFont="1" applyFill="1" applyBorder="1"/>
    <xf numFmtId="40" fontId="0" fillId="0" borderId="0" xfId="0" applyNumberFormat="1"/>
    <xf numFmtId="172" fontId="30" fillId="22" borderId="0" xfId="20" applyNumberFormat="1" applyFont="1" applyFill="1" applyBorder="1"/>
    <xf numFmtId="166" fontId="30" fillId="22" borderId="0" xfId="1" applyFont="1" applyFill="1"/>
    <xf numFmtId="0" fontId="0" fillId="22" borderId="0" xfId="0" applyFill="1"/>
    <xf numFmtId="0" fontId="30" fillId="22" borderId="0" xfId="20" applyFont="1" applyFill="1"/>
    <xf numFmtId="9" fontId="30" fillId="22" borderId="0" xfId="20" applyNumberFormat="1" applyFont="1" applyFill="1" applyAlignment="1">
      <alignment vertical="center"/>
    </xf>
    <xf numFmtId="9" fontId="30" fillId="22" borderId="0" xfId="20" applyNumberFormat="1" applyFont="1" applyFill="1"/>
    <xf numFmtId="0" fontId="30" fillId="22" borderId="0" xfId="20" applyFont="1" applyFill="1" applyAlignment="1">
      <alignment vertical="center"/>
    </xf>
    <xf numFmtId="166" fontId="4" fillId="5" borderId="12" xfId="2" applyNumberFormat="1" applyFont="1" applyFill="1" applyBorder="1" applyAlignment="1">
      <alignment horizontal="right" vertical="center"/>
    </xf>
    <xf numFmtId="0" fontId="0" fillId="22" borderId="0" xfId="0" applyFont="1" applyFill="1"/>
    <xf numFmtId="166" fontId="30" fillId="19" borderId="0" xfId="1" applyFont="1" applyFill="1"/>
    <xf numFmtId="43" fontId="0" fillId="22" borderId="0" xfId="0" applyNumberFormat="1" applyFill="1"/>
    <xf numFmtId="0" fontId="0" fillId="0" borderId="31" xfId="0" applyFill="1" applyBorder="1"/>
    <xf numFmtId="0" fontId="0" fillId="0" borderId="49" xfId="0" applyFill="1" applyBorder="1"/>
    <xf numFmtId="166" fontId="31" fillId="0" borderId="49" xfId="20" applyNumberFormat="1" applyFont="1" applyFill="1" applyBorder="1"/>
    <xf numFmtId="0" fontId="31" fillId="0" borderId="49" xfId="20" applyFont="1" applyFill="1" applyBorder="1" applyAlignment="1">
      <alignment horizontal="center" vertical="center"/>
    </xf>
    <xf numFmtId="9" fontId="30" fillId="0" borderId="49" xfId="20" applyNumberFormat="1" applyFont="1" applyFill="1" applyBorder="1" applyAlignment="1">
      <alignment vertical="center"/>
    </xf>
    <xf numFmtId="9" fontId="30" fillId="0" borderId="49" xfId="20" applyNumberFormat="1" applyFont="1" applyFill="1" applyBorder="1"/>
    <xf numFmtId="0" fontId="0" fillId="0" borderId="33" xfId="0" applyFill="1" applyBorder="1"/>
    <xf numFmtId="0" fontId="0" fillId="0" borderId="0" xfId="0" applyFill="1" applyBorder="1"/>
    <xf numFmtId="166" fontId="31" fillId="0" borderId="0" xfId="20" applyNumberFormat="1" applyFont="1" applyFill="1" applyBorder="1"/>
    <xf numFmtId="0" fontId="31" fillId="0" borderId="0" xfId="20" applyFont="1" applyFill="1" applyBorder="1" applyAlignment="1">
      <alignment horizontal="center" vertical="center"/>
    </xf>
    <xf numFmtId="9" fontId="30" fillId="0" borderId="0" xfId="20" applyNumberFormat="1" applyFont="1" applyFill="1" applyBorder="1"/>
    <xf numFmtId="9" fontId="0" fillId="0" borderId="0" xfId="19" applyFont="1" applyFill="1"/>
    <xf numFmtId="0" fontId="0" fillId="0" borderId="35" xfId="0" applyFill="1" applyBorder="1"/>
    <xf numFmtId="0" fontId="0" fillId="0" borderId="23" xfId="0" applyFill="1" applyBorder="1"/>
    <xf numFmtId="0" fontId="30" fillId="0" borderId="23" xfId="20" applyFont="1" applyFill="1" applyBorder="1"/>
    <xf numFmtId="166" fontId="31" fillId="0" borderId="23" xfId="20" applyNumberFormat="1" applyFont="1" applyFill="1" applyBorder="1"/>
    <xf numFmtId="0" fontId="31" fillId="0" borderId="23" xfId="20" applyFont="1" applyFill="1" applyBorder="1" applyAlignment="1">
      <alignment horizontal="center" vertical="center"/>
    </xf>
    <xf numFmtId="9" fontId="30" fillId="0" borderId="23" xfId="20" applyNumberFormat="1" applyFont="1" applyFill="1" applyBorder="1" applyAlignment="1">
      <alignment vertical="center"/>
    </xf>
    <xf numFmtId="9" fontId="30" fillId="0" borderId="23" xfId="20" applyNumberFormat="1" applyFont="1" applyFill="1" applyBorder="1"/>
    <xf numFmtId="0" fontId="30" fillId="0" borderId="0" xfId="20" applyFont="1" applyFill="1" applyAlignment="1">
      <alignment horizontal="center" vertical="center"/>
    </xf>
    <xf numFmtId="166" fontId="1" fillId="0" borderId="0" xfId="20" applyNumberFormat="1" applyFont="1" applyFill="1"/>
    <xf numFmtId="0" fontId="30" fillId="0" borderId="0" xfId="20" applyFont="1" applyFill="1" applyAlignment="1">
      <alignment wrapText="1"/>
    </xf>
    <xf numFmtId="166" fontId="30" fillId="0" borderId="0" xfId="20" applyNumberFormat="1" applyFont="1" applyFill="1" applyAlignment="1">
      <alignment horizontal="center" vertical="center"/>
    </xf>
    <xf numFmtId="166" fontId="30" fillId="0" borderId="49" xfId="20" applyNumberFormat="1" applyFont="1" applyFill="1" applyBorder="1"/>
    <xf numFmtId="166" fontId="30" fillId="0" borderId="49" xfId="1" applyFont="1" applyFill="1" applyBorder="1"/>
    <xf numFmtId="166" fontId="30" fillId="0" borderId="0" xfId="20" applyNumberFormat="1" applyFont="1" applyFill="1" applyBorder="1"/>
    <xf numFmtId="166" fontId="30" fillId="0" borderId="0" xfId="1" applyFont="1" applyFill="1" applyBorder="1"/>
    <xf numFmtId="179" fontId="30" fillId="0" borderId="0" xfId="20" applyNumberFormat="1" applyFont="1" applyFill="1" applyBorder="1"/>
    <xf numFmtId="172" fontId="30" fillId="0" borderId="23" xfId="20" applyNumberFormat="1" applyFont="1" applyFill="1" applyBorder="1"/>
    <xf numFmtId="166" fontId="30" fillId="0" borderId="23" xfId="1" applyFont="1" applyFill="1" applyBorder="1"/>
    <xf numFmtId="0" fontId="0" fillId="19" borderId="0" xfId="0" applyFill="1"/>
    <xf numFmtId="0" fontId="0" fillId="19" borderId="0" xfId="0" applyFont="1" applyFill="1"/>
    <xf numFmtId="0" fontId="30" fillId="19" borderId="0" xfId="20" applyFont="1" applyFill="1" applyAlignment="1">
      <alignment vertical="center"/>
    </xf>
    <xf numFmtId="9" fontId="30" fillId="19" borderId="0" xfId="20" applyNumberFormat="1" applyFont="1" applyFill="1" applyAlignment="1">
      <alignment vertical="center"/>
    </xf>
    <xf numFmtId="9" fontId="30" fillId="19" borderId="0" xfId="20" applyNumberFormat="1" applyFont="1" applyFill="1"/>
    <xf numFmtId="166" fontId="42" fillId="30" borderId="0" xfId="1" applyFont="1" applyFill="1" applyAlignment="1">
      <alignment vertical="center"/>
    </xf>
    <xf numFmtId="166" fontId="30" fillId="31" borderId="0" xfId="1" applyFont="1" applyFill="1"/>
    <xf numFmtId="180" fontId="2" fillId="0" borderId="0" xfId="2" applyNumberFormat="1"/>
    <xf numFmtId="0" fontId="2" fillId="0" borderId="0" xfId="4" applyFont="1" applyAlignment="1">
      <alignment horizontal="left" wrapText="1"/>
    </xf>
    <xf numFmtId="168" fontId="4" fillId="7" borderId="12" xfId="2" applyNumberFormat="1" applyFont="1" applyFill="1" applyBorder="1" applyAlignment="1">
      <alignment horizontal="center" vertical="top" wrapText="1"/>
    </xf>
    <xf numFmtId="167" fontId="6" fillId="2" borderId="12" xfId="3"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166" fontId="3" fillId="5" borderId="12" xfId="0" applyNumberFormat="1" applyFont="1" applyFill="1" applyBorder="1" applyAlignment="1">
      <alignment horizontal="center" vertical="center" wrapText="1"/>
    </xf>
    <xf numFmtId="4" fontId="3" fillId="5" borderId="12" xfId="0" applyNumberFormat="1" applyFont="1" applyFill="1" applyBorder="1" applyAlignment="1">
      <alignment horizontal="center" vertical="center" wrapText="1"/>
    </xf>
    <xf numFmtId="168"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166" fontId="3" fillId="5" borderId="14" xfId="0"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166" fontId="3" fillId="5" borderId="13"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0" fontId="38" fillId="29" borderId="0" xfId="0" applyFont="1" applyFill="1" applyAlignment="1">
      <alignment horizontal="center"/>
    </xf>
    <xf numFmtId="0" fontId="0" fillId="29" borderId="0" xfId="0" applyFill="1" applyAlignment="1">
      <alignment horizontal="center"/>
    </xf>
    <xf numFmtId="0" fontId="26" fillId="28" borderId="0" xfId="0" applyFont="1" applyFill="1" applyAlignment="1">
      <alignment horizontal="left"/>
    </xf>
    <xf numFmtId="0" fontId="0" fillId="24" borderId="14" xfId="0" applyFill="1" applyBorder="1" applyAlignment="1">
      <alignment horizontal="center" vertical="center" wrapText="1"/>
    </xf>
    <xf numFmtId="0" fontId="0" fillId="24" borderId="15" xfId="0" applyFill="1" applyBorder="1" applyAlignment="1">
      <alignment horizontal="center" vertical="center" wrapText="1"/>
    </xf>
    <xf numFmtId="0" fontId="0" fillId="24" borderId="13" xfId="0" applyFill="1" applyBorder="1" applyAlignment="1">
      <alignment horizontal="center" vertical="center" wrapText="1"/>
    </xf>
    <xf numFmtId="0" fontId="26" fillId="20" borderId="0" xfId="0" applyFont="1" applyFill="1" applyAlignment="1">
      <alignment horizontal="left"/>
    </xf>
  </cellXfs>
  <cellStyles count="21">
    <cellStyle name="Bueno" xfId="20" builtinId="26"/>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 name="Porcentaje" xfId="19" builtinId="5"/>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pronacom\MCC-Josue-Jorge\Users\jricart\Downloads\QDRP%20Guatemala_Q6%20Draft%20_DA%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sheetData sheetId="1"/>
      <sheetData sheetId="2"/>
      <sheetData sheetId="3">
        <row r="34">
          <cell r="G34">
            <v>1800000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O84"/>
  <sheetViews>
    <sheetView showGridLines="0" topLeftCell="D7" zoomScale="85" zoomScaleNormal="85" zoomScaleSheetLayoutView="70" zoomScalePageLayoutView="81" workbookViewId="0">
      <selection activeCell="D22" sqref="D22"/>
    </sheetView>
  </sheetViews>
  <sheetFormatPr baseColWidth="10" defaultColWidth="0" defaultRowHeight="12.75" outlineLevelRow="1" outlineLevelCol="1" x14ac:dyDescent="0.2"/>
  <cols>
    <col min="1" max="1" width="9.140625" style="1" hidden="1" customWidth="1" outlineLevel="1"/>
    <col min="2" max="2" width="50.42578125" style="1" customWidth="1" collapsed="1"/>
    <col min="3" max="3" width="17.42578125" style="66" customWidth="1" outlineLevel="1"/>
    <col min="4" max="4" width="17.42578125" style="1" customWidth="1"/>
    <col min="5" max="7" width="17.42578125" style="255" customWidth="1" outlineLevel="1"/>
    <col min="8" max="11" width="17.42578125" style="1" customWidth="1"/>
    <col min="12" max="12" width="17.42578125" style="6" customWidth="1"/>
    <col min="13" max="13" width="28.7109375" style="185" customWidth="1"/>
    <col min="14" max="14" width="17.7109375" style="7" customWidth="1"/>
    <col min="15" max="16384" width="0" style="1" hidden="1"/>
  </cols>
  <sheetData>
    <row r="1" spans="1:15" ht="13.5" outlineLevel="1" thickBot="1" x14ac:dyDescent="0.25">
      <c r="B1" s="2" t="s">
        <v>0</v>
      </c>
      <c r="C1" s="3"/>
      <c r="D1" s="4"/>
      <c r="E1" s="246"/>
      <c r="F1" s="246"/>
      <c r="G1" s="246"/>
    </row>
    <row r="2" spans="1:15" ht="13.5" outlineLevel="1" thickBot="1" x14ac:dyDescent="0.25">
      <c r="B2" s="8"/>
      <c r="C2" s="3"/>
      <c r="D2" s="4"/>
      <c r="E2" s="246"/>
      <c r="F2" s="246"/>
      <c r="G2" s="246"/>
      <c r="M2" s="186"/>
    </row>
    <row r="3" spans="1:15" ht="12.75" customHeight="1" outlineLevel="1" x14ac:dyDescent="0.25">
      <c r="B3" s="11" t="s">
        <v>1</v>
      </c>
      <c r="C3" s="12"/>
      <c r="D3" s="13" t="s">
        <v>63</v>
      </c>
      <c r="E3" s="247"/>
      <c r="F3" s="247"/>
      <c r="G3" s="247"/>
    </row>
    <row r="4" spans="1:15" ht="12.75" customHeight="1" outlineLevel="1" x14ac:dyDescent="0.25">
      <c r="B4" s="14" t="s">
        <v>2</v>
      </c>
      <c r="C4" s="15"/>
      <c r="D4" s="16" t="s">
        <v>64</v>
      </c>
      <c r="E4" s="247"/>
      <c r="F4" s="247"/>
      <c r="G4" s="247"/>
    </row>
    <row r="5" spans="1:15" ht="12.75" customHeight="1" outlineLevel="1" x14ac:dyDescent="0.25">
      <c r="B5" s="17" t="s">
        <v>3</v>
      </c>
      <c r="C5" s="15"/>
      <c r="D5" s="16" t="str">
        <f>'THP DR'!B7</f>
        <v>TR14GTM15001</v>
      </c>
      <c r="E5" s="247"/>
      <c r="F5" s="247"/>
      <c r="G5" s="247"/>
    </row>
    <row r="6" spans="1:15" ht="12.75" customHeight="1" outlineLevel="1" x14ac:dyDescent="0.25">
      <c r="B6" s="14" t="s">
        <v>4</v>
      </c>
      <c r="C6" s="15"/>
      <c r="D6" s="293">
        <v>44004</v>
      </c>
      <c r="E6" s="247"/>
      <c r="F6" s="247"/>
      <c r="G6" s="247"/>
      <c r="M6" s="187"/>
    </row>
    <row r="7" spans="1:15" ht="13.5" customHeight="1" outlineLevel="1" thickBot="1" x14ac:dyDescent="0.25">
      <c r="B7" s="18" t="s">
        <v>5</v>
      </c>
      <c r="C7" s="19"/>
      <c r="D7" s="184">
        <v>17</v>
      </c>
      <c r="E7" s="247"/>
      <c r="F7" s="247"/>
      <c r="G7" s="247"/>
    </row>
    <row r="8" spans="1:15" s="25" customFormat="1" ht="13.5" customHeight="1" outlineLevel="1" x14ac:dyDescent="0.2">
      <c r="B8" s="26"/>
      <c r="C8" s="27"/>
      <c r="D8" s="28"/>
      <c r="E8" s="250"/>
      <c r="F8" s="250"/>
      <c r="G8" s="250"/>
      <c r="L8" s="24"/>
      <c r="M8" s="185"/>
      <c r="N8" s="7"/>
    </row>
    <row r="9" spans="1:15" ht="11.25" customHeight="1" outlineLevel="1" x14ac:dyDescent="0.2">
      <c r="A9" s="5"/>
      <c r="B9" s="491" t="s">
        <v>6</v>
      </c>
      <c r="C9" s="29" t="s">
        <v>7</v>
      </c>
      <c r="D9" s="30" t="s">
        <v>8</v>
      </c>
      <c r="E9" s="496" t="s">
        <v>9</v>
      </c>
      <c r="F9" s="496"/>
      <c r="G9" s="496"/>
      <c r="H9" s="221"/>
      <c r="I9" s="221"/>
      <c r="J9" s="221"/>
      <c r="K9" s="221"/>
      <c r="L9" s="31" t="s">
        <v>10</v>
      </c>
      <c r="M9" s="188" t="s">
        <v>10</v>
      </c>
      <c r="N9" s="31" t="s">
        <v>11</v>
      </c>
    </row>
    <row r="10" spans="1:15" s="37" customFormat="1" ht="72.75" customHeight="1" x14ac:dyDescent="0.2">
      <c r="A10" s="5"/>
      <c r="B10" s="491"/>
      <c r="C10" s="33" t="s">
        <v>12</v>
      </c>
      <c r="D10" s="34" t="s">
        <v>13</v>
      </c>
      <c r="E10" s="495" t="str">
        <f>"Grant Quarter #"&amp;$D$7</f>
        <v>Grant Quarter #17</v>
      </c>
      <c r="F10" s="495"/>
      <c r="G10" s="495"/>
      <c r="H10" s="336" t="s">
        <v>281</v>
      </c>
      <c r="I10" s="336" t="s">
        <v>282</v>
      </c>
      <c r="J10" s="336" t="s">
        <v>341</v>
      </c>
      <c r="K10" s="364" t="s">
        <v>342</v>
      </c>
      <c r="L10" s="493" t="s">
        <v>14</v>
      </c>
      <c r="M10" s="492" t="s">
        <v>114</v>
      </c>
      <c r="N10" s="490" t="s">
        <v>15</v>
      </c>
      <c r="O10" s="36"/>
    </row>
    <row r="11" spans="1:15" s="37" customFormat="1" ht="25.5" x14ac:dyDescent="0.2">
      <c r="A11" s="5"/>
      <c r="B11" s="38" t="s">
        <v>16</v>
      </c>
      <c r="C11" s="39" t="s">
        <v>380</v>
      </c>
      <c r="D11" s="40" t="s">
        <v>232</v>
      </c>
      <c r="E11" s="256" t="s">
        <v>381</v>
      </c>
      <c r="F11" s="256" t="s">
        <v>382</v>
      </c>
      <c r="G11" s="256" t="s">
        <v>383</v>
      </c>
      <c r="H11" s="336" t="s">
        <v>278</v>
      </c>
      <c r="I11" s="336" t="s">
        <v>279</v>
      </c>
      <c r="J11" s="336" t="s">
        <v>280</v>
      </c>
      <c r="K11" s="364" t="s">
        <v>330</v>
      </c>
      <c r="L11" s="494"/>
      <c r="M11" s="492"/>
      <c r="N11" s="490"/>
      <c r="O11" s="36"/>
    </row>
    <row r="12" spans="1:15" customFormat="1" ht="15" x14ac:dyDescent="0.25">
      <c r="B12" s="183" t="s">
        <v>85</v>
      </c>
      <c r="C12" s="183" t="s">
        <v>86</v>
      </c>
      <c r="D12" s="183" t="s">
        <v>87</v>
      </c>
      <c r="E12" s="251" t="s">
        <v>88</v>
      </c>
      <c r="F12" s="251" t="s">
        <v>89</v>
      </c>
      <c r="G12" s="245" t="s">
        <v>90</v>
      </c>
      <c r="H12" s="251" t="s">
        <v>283</v>
      </c>
      <c r="I12" s="245" t="s">
        <v>284</v>
      </c>
      <c r="J12" s="251" t="s">
        <v>285</v>
      </c>
      <c r="K12" s="251" t="s">
        <v>329</v>
      </c>
      <c r="L12" s="183" t="s">
        <v>91</v>
      </c>
      <c r="M12" s="189" t="s">
        <v>92</v>
      </c>
      <c r="N12" s="183" t="s">
        <v>93</v>
      </c>
    </row>
    <row r="13" spans="1:15" s="37" customFormat="1" x14ac:dyDescent="0.2">
      <c r="A13" s="5"/>
      <c r="B13" s="42"/>
      <c r="C13" s="43"/>
      <c r="D13" s="42"/>
      <c r="E13" s="252"/>
      <c r="F13" s="252"/>
      <c r="G13" s="252"/>
      <c r="H13" s="42"/>
      <c r="I13" s="42"/>
      <c r="J13" s="42"/>
      <c r="K13" s="42"/>
      <c r="L13" s="42"/>
      <c r="M13" s="42"/>
      <c r="N13" s="42"/>
      <c r="O13" s="36"/>
    </row>
    <row r="14" spans="1:15" s="37" customFormat="1" x14ac:dyDescent="0.2">
      <c r="A14" s="5"/>
      <c r="B14" s="44" t="s">
        <v>67</v>
      </c>
      <c r="C14" s="45"/>
      <c r="D14" s="46"/>
      <c r="E14" s="253"/>
      <c r="F14" s="253"/>
      <c r="G14" s="253"/>
      <c r="H14" s="46"/>
      <c r="I14" s="46"/>
      <c r="J14" s="46"/>
      <c r="K14" s="46"/>
      <c r="L14" s="47"/>
      <c r="M14" s="190"/>
      <c r="N14" s="47"/>
      <c r="O14" s="36"/>
    </row>
    <row r="15" spans="1:15" s="201" customFormat="1" outlineLevel="1" x14ac:dyDescent="0.2">
      <c r="A15" s="198" t="str">
        <f>LEFT(B15,4)</f>
        <v xml:space="preserve">1.1 </v>
      </c>
      <c r="B15" s="49" t="s">
        <v>68</v>
      </c>
      <c r="C15" s="191">
        <f>SUM(C16:C18)</f>
        <v>11984163.199999999</v>
      </c>
      <c r="D15" s="191">
        <f>SUM(D16:D18)</f>
        <v>1843</v>
      </c>
      <c r="E15" s="191">
        <f t="shared" ref="E15:G15" si="0">SUM(E16:E18)</f>
        <v>0</v>
      </c>
      <c r="F15" s="191">
        <f t="shared" si="0"/>
        <v>0</v>
      </c>
      <c r="G15" s="191">
        <f t="shared" si="0"/>
        <v>0</v>
      </c>
      <c r="H15" s="191"/>
      <c r="I15" s="191"/>
      <c r="J15" s="191"/>
      <c r="K15" s="191"/>
      <c r="L15" s="191">
        <f>SUM(L16:L18)</f>
        <v>11986006.199999999</v>
      </c>
      <c r="M15" s="193">
        <f>'QFR - B'!J15</f>
        <v>12000000</v>
      </c>
      <c r="N15" s="272">
        <f>M15-L15</f>
        <v>13993.800000000745</v>
      </c>
      <c r="O15" s="200"/>
    </row>
    <row r="16" spans="1:15" s="201" customFormat="1" outlineLevel="1" x14ac:dyDescent="0.2">
      <c r="A16" s="198" t="s">
        <v>124</v>
      </c>
      <c r="B16" s="195" t="s">
        <v>94</v>
      </c>
      <c r="C16" s="287">
        <v>7593016.0899999999</v>
      </c>
      <c r="D16" s="287">
        <v>0</v>
      </c>
      <c r="E16" s="287">
        <v>0</v>
      </c>
      <c r="F16" s="287">
        <v>0</v>
      </c>
      <c r="G16" s="287"/>
      <c r="H16" s="287">
        <f>SUMIF('Contract level'!$A:$A,"="&amp;'DFP-Com'!$A16,'Contract level'!BN:BN)</f>
        <v>0</v>
      </c>
      <c r="I16" s="287">
        <f>SUMIF('Contract level'!$A:$A,"="&amp;'DFP-Com'!$A16,'Contract level'!BO:BO)</f>
        <v>0</v>
      </c>
      <c r="J16" s="287">
        <f>SUMIF('Contract level'!$A:$A,"="&amp;'DFP-Com'!$A16,'Contract level'!BP:BP)</f>
        <v>0</v>
      </c>
      <c r="K16" s="287">
        <f>SUMIF('Contract level'!$A:$A,"="&amp;'DFP-Com'!$A16,'Contract level'!BQ:BQ)</f>
        <v>0</v>
      </c>
      <c r="L16" s="287">
        <f>SUM(H16:K16)+D16+C16</f>
        <v>7593016.0899999999</v>
      </c>
      <c r="M16" s="197">
        <v>0</v>
      </c>
      <c r="N16" s="273"/>
      <c r="O16" s="200"/>
    </row>
    <row r="17" spans="1:15" s="201" customFormat="1" outlineLevel="1" x14ac:dyDescent="0.2">
      <c r="A17" s="198" t="s">
        <v>125</v>
      </c>
      <c r="B17" s="195" t="s">
        <v>95</v>
      </c>
      <c r="C17" s="287">
        <v>4390617.6499999994</v>
      </c>
      <c r="D17" s="287">
        <v>0</v>
      </c>
      <c r="E17" s="287">
        <v>0</v>
      </c>
      <c r="F17" s="287">
        <v>0</v>
      </c>
      <c r="G17" s="287">
        <v>0</v>
      </c>
      <c r="H17" s="287">
        <f>SUMIF('Contract level'!$A:$A,"="&amp;'DFP-Com'!$A17,'Contract level'!BN:BN)</f>
        <v>0</v>
      </c>
      <c r="I17" s="287">
        <f>SUMIF('Contract level'!$A:$A,"="&amp;'DFP-Com'!$A17,'Contract level'!BO:BO)</f>
        <v>0</v>
      </c>
      <c r="J17" s="287">
        <f>SUMIF('Contract level'!$A:$A,"="&amp;'DFP-Com'!$A17,'Contract level'!BP:BP)</f>
        <v>0</v>
      </c>
      <c r="K17" s="287">
        <f>SUMIF('Contract level'!$A:$A,"="&amp;'DFP-Com'!$A17,'Contract level'!BQ:BQ)</f>
        <v>0</v>
      </c>
      <c r="L17" s="287">
        <f>SUM(H17:K17)+D17+C17</f>
        <v>4390617.6499999994</v>
      </c>
      <c r="M17" s="197">
        <v>0</v>
      </c>
      <c r="N17" s="273"/>
      <c r="O17" s="200"/>
    </row>
    <row r="18" spans="1:15" s="201" customFormat="1" outlineLevel="1" x14ac:dyDescent="0.2">
      <c r="A18" s="198" t="s">
        <v>126</v>
      </c>
      <c r="B18" s="195" t="s">
        <v>102</v>
      </c>
      <c r="C18" s="287">
        <v>529.46</v>
      </c>
      <c r="D18" s="287">
        <v>1843</v>
      </c>
      <c r="E18" s="287">
        <v>0</v>
      </c>
      <c r="F18" s="287"/>
      <c r="G18" s="287"/>
      <c r="H18" s="287">
        <f>SUMIF('Contract level'!$A:$A,"="&amp;'DFP-Com'!$A18,'Contract level'!BN:BN)</f>
        <v>0</v>
      </c>
      <c r="I18" s="287">
        <f>SUMIF('Contract level'!$A:$A,"="&amp;'DFP-Com'!$A18,'Contract level'!BO:BO)</f>
        <v>0</v>
      </c>
      <c r="J18" s="287">
        <f>SUMIF('Contract level'!$A:$A,"="&amp;'DFP-Com'!$A18,'Contract level'!BP:BP)</f>
        <v>0</v>
      </c>
      <c r="K18" s="287">
        <f>SUMIF('Contract level'!$A:$A,"="&amp;'DFP-Com'!$A18,'Contract level'!BQ:BQ)</f>
        <v>0</v>
      </c>
      <c r="L18" s="287">
        <f>SUM(H18:K18)+D18+C18</f>
        <v>2372.46</v>
      </c>
      <c r="M18" s="197">
        <v>0</v>
      </c>
      <c r="N18" s="273"/>
      <c r="O18" s="200"/>
    </row>
    <row r="19" spans="1:15" s="201" customFormat="1" ht="12.95" customHeight="1" outlineLevel="1" x14ac:dyDescent="0.2">
      <c r="A19" s="198" t="str">
        <f>LEFT(B19,4)</f>
        <v xml:space="preserve">1.2 </v>
      </c>
      <c r="B19" s="49" t="s">
        <v>69</v>
      </c>
      <c r="C19" s="191">
        <f t="shared" ref="C19:L19" si="1">C20</f>
        <v>4029814.6300000004</v>
      </c>
      <c r="D19" s="191">
        <f t="shared" si="1"/>
        <v>60208.22</v>
      </c>
      <c r="E19" s="191">
        <f t="shared" si="1"/>
        <v>41000</v>
      </c>
      <c r="F19" s="191">
        <f t="shared" si="1"/>
        <v>0</v>
      </c>
      <c r="G19" s="191">
        <f t="shared" si="1"/>
        <v>413000</v>
      </c>
      <c r="H19" s="191">
        <f t="shared" si="1"/>
        <v>454000</v>
      </c>
      <c r="I19" s="191">
        <f t="shared" si="1"/>
        <v>150000</v>
      </c>
      <c r="J19" s="191">
        <f t="shared" si="1"/>
        <v>18571.678125000002</v>
      </c>
      <c r="K19" s="191">
        <f t="shared" si="1"/>
        <v>0</v>
      </c>
      <c r="L19" s="191">
        <f t="shared" si="1"/>
        <v>4712594.5281250002</v>
      </c>
      <c r="M19" s="193">
        <f>'QFR - B'!J16</f>
        <v>4790000</v>
      </c>
      <c r="N19" s="272">
        <f>M19-L19</f>
        <v>77405.471874999814</v>
      </c>
      <c r="O19" s="200"/>
    </row>
    <row r="20" spans="1:15" s="201" customFormat="1" ht="12.95" customHeight="1" outlineLevel="1" x14ac:dyDescent="0.2">
      <c r="A20" s="198" t="s">
        <v>127</v>
      </c>
      <c r="B20" s="195" t="s">
        <v>103</v>
      </c>
      <c r="C20" s="287">
        <v>4029814.6300000004</v>
      </c>
      <c r="D20" s="287">
        <f>59858.22+350</f>
        <v>60208.22</v>
      </c>
      <c r="E20" s="287">
        <v>41000</v>
      </c>
      <c r="F20" s="287">
        <v>0</v>
      </c>
      <c r="G20" s="287">
        <v>413000</v>
      </c>
      <c r="H20" s="287">
        <f>SUMIF('Contract level'!$A:$A,"="&amp;'DFP-Com'!$A20,'Contract level'!BN:BN)</f>
        <v>454000</v>
      </c>
      <c r="I20" s="287">
        <f>SUMIF('Contract level'!$A:$A,"="&amp;'DFP-Com'!$A20,'Contract level'!BO:BO)</f>
        <v>150000</v>
      </c>
      <c r="J20" s="287">
        <f>SUMIF('Contract level'!$A:$A,"="&amp;'DFP-Com'!$A20,'Contract level'!BP:BP)</f>
        <v>18571.678125000002</v>
      </c>
      <c r="K20" s="287">
        <f>SUMIF('Contract level'!$A:$A,"="&amp;'DFP-Com'!$A20,'Contract level'!BQ:BQ)</f>
        <v>0</v>
      </c>
      <c r="L20" s="196">
        <f>SUM(H20:J20)+D20+C20</f>
        <v>4712594.5281250002</v>
      </c>
      <c r="M20" s="197">
        <v>0</v>
      </c>
      <c r="N20" s="273"/>
      <c r="O20" s="200"/>
    </row>
    <row r="21" spans="1:15" s="201" customFormat="1" outlineLevel="1" x14ac:dyDescent="0.2">
      <c r="A21" s="198">
        <v>1.3</v>
      </c>
      <c r="B21" s="49" t="s">
        <v>70</v>
      </c>
      <c r="C21" s="191">
        <f>SUM(C22:C24)</f>
        <v>3052533.65</v>
      </c>
      <c r="D21" s="191">
        <f>SUM(D22:D24)</f>
        <v>0</v>
      </c>
      <c r="E21" s="191">
        <f t="shared" ref="E21:G21" si="2">SUM(E22:E24)</f>
        <v>0</v>
      </c>
      <c r="F21" s="191">
        <f t="shared" si="2"/>
        <v>0</v>
      </c>
      <c r="G21" s="191">
        <f t="shared" si="2"/>
        <v>0</v>
      </c>
      <c r="H21" s="191">
        <f>SUM(H22:H24)</f>
        <v>175000</v>
      </c>
      <c r="I21" s="191">
        <f>SUM(I22:I24)</f>
        <v>0</v>
      </c>
      <c r="J21" s="191">
        <f>SUM(J22:J24)</f>
        <v>45545.175000000003</v>
      </c>
      <c r="K21" s="191">
        <f t="shared" ref="K21" si="3">SUM(K22:K24)</f>
        <v>0</v>
      </c>
      <c r="L21" s="191">
        <f>SUM(L22:L24)</f>
        <v>3273078.8250000002</v>
      </c>
      <c r="M21" s="193">
        <f>'QFR - B'!J17</f>
        <v>3098100</v>
      </c>
      <c r="N21" s="272">
        <f>M21-L21</f>
        <v>-174978.82500000019</v>
      </c>
      <c r="O21" s="200"/>
    </row>
    <row r="22" spans="1:15" s="201" customFormat="1" ht="12.95" customHeight="1" outlineLevel="1" x14ac:dyDescent="0.2">
      <c r="A22" s="198" t="s">
        <v>128</v>
      </c>
      <c r="B22" s="195" t="s">
        <v>96</v>
      </c>
      <c r="C22" s="287">
        <v>2772876.18</v>
      </c>
      <c r="D22" s="287"/>
      <c r="E22" s="287">
        <v>0</v>
      </c>
      <c r="F22" s="287">
        <v>0</v>
      </c>
      <c r="G22" s="287"/>
      <c r="H22" s="287">
        <f>SUMIF('Contract level'!$A:$A,"="&amp;'DFP-Com'!$A22,'Contract level'!BN:BN)</f>
        <v>175000</v>
      </c>
      <c r="I22" s="287">
        <f>SUMIF('Contract level'!$A:$A,"="&amp;'DFP-Com'!$A22,'Contract level'!BO:BO)</f>
        <v>0</v>
      </c>
      <c r="J22" s="287">
        <f>SUMIF('Contract level'!$A:$A,"="&amp;'DFP-Com'!$A22,'Contract level'!BP:BP)</f>
        <v>0</v>
      </c>
      <c r="K22" s="287">
        <f>SUMIF('Contract level'!$A:$A,"="&amp;'DFP-Com'!$A22,'Contract level'!BQ:BQ)</f>
        <v>0</v>
      </c>
      <c r="L22" s="287">
        <f>SUM(H22:K22)+D22+C22</f>
        <v>2947876.18</v>
      </c>
      <c r="M22" s="197"/>
      <c r="N22" s="273"/>
      <c r="O22" s="200"/>
    </row>
    <row r="23" spans="1:15" s="201" customFormat="1" ht="12.95" customHeight="1" outlineLevel="1" x14ac:dyDescent="0.2">
      <c r="A23" s="198" t="s">
        <v>129</v>
      </c>
      <c r="B23" s="195" t="s">
        <v>112</v>
      </c>
      <c r="C23" s="287">
        <v>279240.86</v>
      </c>
      <c r="D23" s="287"/>
      <c r="E23" s="287">
        <v>0</v>
      </c>
      <c r="F23" s="287">
        <v>0</v>
      </c>
      <c r="G23" s="287"/>
      <c r="H23" s="287">
        <f>SUMIF('Contract level'!$A:$A,"="&amp;'DFP-Com'!$A23,'Contract level'!BN:BN)</f>
        <v>0</v>
      </c>
      <c r="I23" s="287">
        <f>SUMIF('Contract level'!$A:$A,"="&amp;'DFP-Com'!$A23,'Contract level'!BO:BO)</f>
        <v>0</v>
      </c>
      <c r="J23" s="287">
        <f>SUMIF('Contract level'!$A:$A,"="&amp;'DFP-Com'!$A23,'Contract level'!BP:BP)</f>
        <v>45545.175000000003</v>
      </c>
      <c r="K23" s="287">
        <f>SUMIF('Contract level'!$A:$A,"="&amp;'DFP-Com'!$A23,'Contract level'!BQ:BQ)</f>
        <v>0</v>
      </c>
      <c r="L23" s="287">
        <f>SUM(H23:K23)+D23+C23</f>
        <v>324786.03499999997</v>
      </c>
      <c r="M23" s="197"/>
      <c r="N23" s="273"/>
      <c r="O23" s="200"/>
    </row>
    <row r="24" spans="1:15" s="201" customFormat="1" outlineLevel="1" x14ac:dyDescent="0.2">
      <c r="A24" s="198" t="s">
        <v>130</v>
      </c>
      <c r="B24" s="195" t="s">
        <v>111</v>
      </c>
      <c r="C24" s="287">
        <v>416.61</v>
      </c>
      <c r="D24" s="287">
        <v>0</v>
      </c>
      <c r="E24" s="287">
        <v>0</v>
      </c>
      <c r="F24" s="287">
        <v>0</v>
      </c>
      <c r="G24" s="287">
        <v>0</v>
      </c>
      <c r="H24" s="287">
        <f>SUMIF('Contract level'!$A:$A,"="&amp;'DFP-Com'!$A24,'Contract level'!BN:BN)</f>
        <v>0</v>
      </c>
      <c r="I24" s="287">
        <f>SUMIF('Contract level'!$A:$A,"="&amp;'DFP-Com'!$A24,'Contract level'!BO:BO)</f>
        <v>0</v>
      </c>
      <c r="J24" s="287">
        <f>SUMIF('Contract level'!$A:$A,"="&amp;'DFP-Com'!$A24,'Contract level'!BP:BP)</f>
        <v>0</v>
      </c>
      <c r="K24" s="287">
        <f>SUMIF('Contract level'!$A:$A,"="&amp;'DFP-Com'!$A24,'Contract level'!BQ:BQ)</f>
        <v>0</v>
      </c>
      <c r="L24" s="287">
        <f>SUM(H24:J24)+D24+C24</f>
        <v>416.61</v>
      </c>
      <c r="M24" s="197"/>
      <c r="N24" s="273"/>
      <c r="O24" s="200"/>
    </row>
    <row r="25" spans="1:15" s="201" customFormat="1" x14ac:dyDescent="0.2">
      <c r="A25" s="198" t="str">
        <f>LEFT(B25,4)</f>
        <v>TOTA</v>
      </c>
      <c r="B25" s="50" t="s">
        <v>61</v>
      </c>
      <c r="C25" s="192">
        <f>C21+C19+C15</f>
        <v>19066511.48</v>
      </c>
      <c r="D25" s="192">
        <f>D21+D19+D15</f>
        <v>62051.22</v>
      </c>
      <c r="E25" s="192">
        <f t="shared" ref="E25:L25" si="4">E21+E19+E15</f>
        <v>41000</v>
      </c>
      <c r="F25" s="192">
        <f t="shared" si="4"/>
        <v>0</v>
      </c>
      <c r="G25" s="192">
        <f t="shared" si="4"/>
        <v>413000</v>
      </c>
      <c r="H25" s="192">
        <f>H21+H19+H15</f>
        <v>629000</v>
      </c>
      <c r="I25" s="192">
        <f>I21+I19+I15</f>
        <v>150000</v>
      </c>
      <c r="J25" s="192">
        <f>J21+J19+J15</f>
        <v>64116.853125000009</v>
      </c>
      <c r="K25" s="192">
        <f t="shared" ref="K25" si="5">K21+K19+K15</f>
        <v>0</v>
      </c>
      <c r="L25" s="192">
        <f t="shared" si="4"/>
        <v>19971679.553125001</v>
      </c>
      <c r="M25" s="194">
        <f>M15+M19+M21</f>
        <v>19888100</v>
      </c>
      <c r="N25" s="274">
        <f>N15+N19+N21</f>
        <v>-83579.553124999627</v>
      </c>
      <c r="O25" s="200"/>
    </row>
    <row r="26" spans="1:15" s="37" customFormat="1" x14ac:dyDescent="0.2">
      <c r="A26" s="198" t="str">
        <f>LEFT(B26,4)</f>
        <v/>
      </c>
      <c r="B26" s="52"/>
      <c r="C26" s="261"/>
      <c r="D26" s="208"/>
      <c r="E26" s="208"/>
      <c r="F26" s="208"/>
      <c r="G26" s="208"/>
      <c r="H26" s="208"/>
      <c r="I26" s="208"/>
      <c r="J26" s="208"/>
      <c r="K26" s="208"/>
      <c r="L26" s="208"/>
      <c r="M26" s="257"/>
      <c r="N26" s="275"/>
      <c r="O26" s="36"/>
    </row>
    <row r="27" spans="1:15" s="37" customFormat="1" x14ac:dyDescent="0.2">
      <c r="A27" s="198" t="str">
        <f>LEFT(B27,4)</f>
        <v>2. R</v>
      </c>
      <c r="B27" s="44" t="s">
        <v>73</v>
      </c>
      <c r="C27" s="262"/>
      <c r="D27" s="209"/>
      <c r="E27" s="209"/>
      <c r="F27" s="209"/>
      <c r="G27" s="209"/>
      <c r="H27" s="209"/>
      <c r="I27" s="209"/>
      <c r="J27" s="209"/>
      <c r="K27" s="209"/>
      <c r="L27" s="209"/>
      <c r="M27" s="258"/>
      <c r="N27" s="276"/>
      <c r="O27" s="36"/>
    </row>
    <row r="28" spans="1:15" s="37" customFormat="1" outlineLevel="1" x14ac:dyDescent="0.2">
      <c r="A28" s="198">
        <v>2.1</v>
      </c>
      <c r="B28" s="49" t="s">
        <v>113</v>
      </c>
      <c r="C28" s="211">
        <f t="shared" ref="C28:L28" si="6">SUM(C29:C29)</f>
        <v>825604.34</v>
      </c>
      <c r="D28" s="211">
        <f t="shared" si="6"/>
        <v>131953.18</v>
      </c>
      <c r="E28" s="211">
        <f t="shared" si="6"/>
        <v>74979.5</v>
      </c>
      <c r="F28" s="211">
        <f t="shared" si="6"/>
        <v>3630.86</v>
      </c>
      <c r="G28" s="211">
        <f t="shared" si="6"/>
        <v>5000</v>
      </c>
      <c r="H28" s="211">
        <f t="shared" si="6"/>
        <v>83610.36</v>
      </c>
      <c r="I28" s="211">
        <f t="shared" si="6"/>
        <v>0</v>
      </c>
      <c r="J28" s="211">
        <f t="shared" si="6"/>
        <v>0</v>
      </c>
      <c r="K28" s="211">
        <f t="shared" si="6"/>
        <v>0</v>
      </c>
      <c r="L28" s="211">
        <f t="shared" si="6"/>
        <v>1041167.8799999999</v>
      </c>
      <c r="M28" s="193">
        <f>'QFR - B'!J20</f>
        <v>1215000</v>
      </c>
      <c r="N28" s="272">
        <f>M28-L28</f>
        <v>173832.12000000011</v>
      </c>
      <c r="O28" s="36"/>
    </row>
    <row r="29" spans="1:15" s="201" customFormat="1" outlineLevel="1" x14ac:dyDescent="0.2">
      <c r="A29" s="198" t="s">
        <v>131</v>
      </c>
      <c r="B29" s="195" t="s">
        <v>106</v>
      </c>
      <c r="C29" s="287">
        <v>825604.34</v>
      </c>
      <c r="D29" s="287">
        <v>131953.18</v>
      </c>
      <c r="E29" s="287">
        <v>74979.5</v>
      </c>
      <c r="F29" s="287">
        <v>3630.86</v>
      </c>
      <c r="G29" s="287">
        <v>5000</v>
      </c>
      <c r="H29" s="287">
        <f>SUMIF('Contract level'!$A:$A,"="&amp;'DFP-Com'!$A29,'Contract level'!BN:BN)</f>
        <v>83610.36</v>
      </c>
      <c r="I29" s="287">
        <f>SUMIF('Contract level'!$A:$A,"="&amp;'DFP-Com'!$A29,'Contract level'!BO:BO)</f>
        <v>0</v>
      </c>
      <c r="J29" s="287">
        <f>SUMIF('Contract level'!$A:$A,"="&amp;'DFP-Com'!$A29,'Contract level'!BP:BP)</f>
        <v>0</v>
      </c>
      <c r="K29" s="287">
        <f>SUMIF('Contract level'!$A:$A,"="&amp;'DFP-Com'!$A29,'Contract level'!BQ:BQ)</f>
        <v>0</v>
      </c>
      <c r="L29" s="196">
        <f>SUM(H29:J29)+D29+C29</f>
        <v>1041167.8799999999</v>
      </c>
      <c r="M29" s="197"/>
      <c r="N29" s="273"/>
      <c r="O29" s="200"/>
    </row>
    <row r="30" spans="1:15" s="37" customFormat="1" outlineLevel="1" x14ac:dyDescent="0.2">
      <c r="A30" s="198">
        <v>2.2000000000000002</v>
      </c>
      <c r="B30" s="49" t="s">
        <v>77</v>
      </c>
      <c r="C30" s="191">
        <f>SUM(C31:C33)</f>
        <v>1582420.44</v>
      </c>
      <c r="D30" s="191">
        <f>SUM(D31:D33)</f>
        <v>0</v>
      </c>
      <c r="E30" s="191">
        <f t="shared" ref="E30:G30" si="7">SUM(E31:E33)</f>
        <v>0</v>
      </c>
      <c r="F30" s="191">
        <f t="shared" si="7"/>
        <v>0</v>
      </c>
      <c r="G30" s="191">
        <f t="shared" si="7"/>
        <v>0</v>
      </c>
      <c r="H30" s="191">
        <f>SUM(H31:H33)</f>
        <v>0</v>
      </c>
      <c r="I30" s="191">
        <f>SUM(I31:I33)</f>
        <v>0</v>
      </c>
      <c r="J30" s="191">
        <f>SUM(J31:J33)</f>
        <v>0</v>
      </c>
      <c r="K30" s="191">
        <f t="shared" ref="K30" si="8">SUM(K31:K33)</f>
        <v>0</v>
      </c>
      <c r="L30" s="191">
        <f>SUM(L31:L33)</f>
        <v>1582420.44</v>
      </c>
      <c r="M30" s="193">
        <f>'QFR - B'!J21</f>
        <v>2152400</v>
      </c>
      <c r="N30" s="272">
        <f>M30-L30</f>
        <v>569979.56000000006</v>
      </c>
      <c r="O30" s="36"/>
    </row>
    <row r="31" spans="1:15" s="201" customFormat="1" outlineLevel="1" x14ac:dyDescent="0.2">
      <c r="A31" s="198" t="s">
        <v>132</v>
      </c>
      <c r="B31" s="195" t="s">
        <v>107</v>
      </c>
      <c r="C31" s="287">
        <v>511547.66999999993</v>
      </c>
      <c r="D31" s="287">
        <v>0</v>
      </c>
      <c r="E31" s="287"/>
      <c r="F31" s="287">
        <v>0</v>
      </c>
      <c r="G31" s="287"/>
      <c r="H31" s="287">
        <f>SUMIF('Contract level'!$A:$A,"="&amp;'DFP-Com'!$A31,'Contract level'!BN:BN)</f>
        <v>0</v>
      </c>
      <c r="I31" s="287">
        <f>SUMIF('Contract level'!$A:$A,"="&amp;'DFP-Com'!$A31,'Contract level'!BO:BO)</f>
        <v>0</v>
      </c>
      <c r="J31" s="287">
        <f>SUMIF('Contract level'!$A:$A,"="&amp;'DFP-Com'!$A31,'Contract level'!BP:BP)</f>
        <v>0</v>
      </c>
      <c r="K31" s="287">
        <f>SUMIF('Contract level'!$A:$A,"="&amp;'DFP-Com'!$A31,'Contract level'!BQ:BQ)</f>
        <v>0</v>
      </c>
      <c r="L31" s="196">
        <f>SUM(H31:J31)+D31+C31</f>
        <v>511547.66999999993</v>
      </c>
      <c r="M31" s="197"/>
      <c r="N31" s="273"/>
      <c r="O31" s="200"/>
    </row>
    <row r="32" spans="1:15" s="201" customFormat="1" outlineLevel="1" x14ac:dyDescent="0.2">
      <c r="A32" s="198" t="s">
        <v>133</v>
      </c>
      <c r="B32" s="195" t="s">
        <v>108</v>
      </c>
      <c r="C32" s="287">
        <v>1030229</v>
      </c>
      <c r="D32" s="287">
        <v>0</v>
      </c>
      <c r="E32" s="287">
        <v>0</v>
      </c>
      <c r="F32" s="287"/>
      <c r="G32" s="287"/>
      <c r="H32" s="287">
        <f>SUMIF('Contract level'!$A:$A,"="&amp;'DFP-Com'!$A32,'Contract level'!BN:BN)</f>
        <v>0</v>
      </c>
      <c r="I32" s="287">
        <f>SUMIF('Contract level'!$A:$A,"="&amp;'DFP-Com'!$A32,'Contract level'!BO:BO)</f>
        <v>0</v>
      </c>
      <c r="J32" s="287">
        <f>SUMIF('Contract level'!$A:$A,"="&amp;'DFP-Com'!$A32,'Contract level'!BP:BP)</f>
        <v>0</v>
      </c>
      <c r="K32" s="287">
        <f>SUMIF('Contract level'!$A:$A,"="&amp;'DFP-Com'!$A32,'Contract level'!BQ:BQ)</f>
        <v>0</v>
      </c>
      <c r="L32" s="287">
        <f>SUM(H32:J32)+D32+C32</f>
        <v>1030229</v>
      </c>
      <c r="M32" s="197"/>
      <c r="N32" s="273"/>
      <c r="O32" s="200"/>
    </row>
    <row r="33" spans="1:15" s="201" customFormat="1" outlineLevel="1" x14ac:dyDescent="0.2">
      <c r="A33" s="198" t="s">
        <v>134</v>
      </c>
      <c r="B33" s="195" t="s">
        <v>110</v>
      </c>
      <c r="C33" s="287">
        <v>40643.769999999997</v>
      </c>
      <c r="D33" s="287">
        <v>0</v>
      </c>
      <c r="E33" s="287"/>
      <c r="F33" s="287"/>
      <c r="G33" s="287"/>
      <c r="H33" s="287">
        <f>SUMIF('Contract level'!$A:$A,"="&amp;'DFP-Com'!$A33,'Contract level'!BN:BN)</f>
        <v>0</v>
      </c>
      <c r="I33" s="287">
        <f>SUMIF('Contract level'!$A:$A,"="&amp;'DFP-Com'!$A33,'Contract level'!BO:BO)</f>
        <v>0</v>
      </c>
      <c r="J33" s="287">
        <f>SUMIF('Contract level'!$A:$A,"="&amp;'DFP-Com'!$A33,'Contract level'!BP:BP)</f>
        <v>0</v>
      </c>
      <c r="K33" s="287">
        <f>SUMIF('Contract level'!$A:$A,"="&amp;'DFP-Com'!$A33,'Contract level'!BQ:BQ)</f>
        <v>0</v>
      </c>
      <c r="L33" s="196">
        <f>SUM(H33:J33)+D33+C33</f>
        <v>40643.769999999997</v>
      </c>
      <c r="M33" s="197"/>
      <c r="N33" s="273"/>
      <c r="O33" s="200"/>
    </row>
    <row r="34" spans="1:15" s="37" customFormat="1" x14ac:dyDescent="0.2">
      <c r="A34" s="198" t="str">
        <f>LEFT(B34,4)</f>
        <v>TOTA</v>
      </c>
      <c r="B34" s="57" t="s">
        <v>62</v>
      </c>
      <c r="C34" s="192">
        <f>C30+C28</f>
        <v>2408024.7799999998</v>
      </c>
      <c r="D34" s="192">
        <f>D30+D28</f>
        <v>131953.18</v>
      </c>
      <c r="E34" s="192">
        <f>+E28+E30</f>
        <v>74979.5</v>
      </c>
      <c r="F34" s="192">
        <f>+F28+F30</f>
        <v>3630.86</v>
      </c>
      <c r="G34" s="192">
        <f>+G28+G30</f>
        <v>5000</v>
      </c>
      <c r="H34" s="192">
        <f>H30+H28</f>
        <v>83610.36</v>
      </c>
      <c r="I34" s="192">
        <f>I30+I28</f>
        <v>0</v>
      </c>
      <c r="J34" s="192">
        <f>J30+J28</f>
        <v>0</v>
      </c>
      <c r="K34" s="192">
        <f t="shared" ref="K34" si="9">K30+K28</f>
        <v>0</v>
      </c>
      <c r="L34" s="192">
        <f>L28+L30</f>
        <v>2623588.3199999998</v>
      </c>
      <c r="M34" s="260">
        <f>SUM(M28:M33)</f>
        <v>3367400</v>
      </c>
      <c r="N34" s="274">
        <f>SUM(N27:N33)</f>
        <v>743811.68000000017</v>
      </c>
      <c r="O34" s="36"/>
    </row>
    <row r="35" spans="1:15" s="37" customFormat="1" x14ac:dyDescent="0.2">
      <c r="A35" s="198" t="str">
        <f>LEFT(B35,4)</f>
        <v/>
      </c>
      <c r="B35" s="52"/>
      <c r="C35" s="261"/>
      <c r="D35" s="208"/>
      <c r="E35" s="208"/>
      <c r="F35" s="208"/>
      <c r="G35" s="208"/>
      <c r="H35" s="208"/>
      <c r="I35" s="208"/>
      <c r="J35" s="208"/>
      <c r="K35" s="208"/>
      <c r="L35" s="208"/>
      <c r="M35" s="257"/>
      <c r="N35" s="275"/>
      <c r="O35" s="36"/>
    </row>
    <row r="36" spans="1:15" s="62" customFormat="1" x14ac:dyDescent="0.2">
      <c r="A36" s="198" t="str">
        <f>LEFT(B36,4)</f>
        <v>3. M</v>
      </c>
      <c r="B36" s="44" t="s">
        <v>81</v>
      </c>
      <c r="C36" s="263"/>
      <c r="D36" s="254"/>
      <c r="E36" s="254"/>
      <c r="F36" s="254"/>
      <c r="G36" s="254"/>
      <c r="H36" s="254"/>
      <c r="I36" s="254"/>
      <c r="J36" s="254"/>
      <c r="K36" s="254"/>
      <c r="L36" s="209"/>
      <c r="M36" s="258"/>
      <c r="N36" s="276"/>
      <c r="O36" s="61"/>
    </row>
    <row r="37" spans="1:15" s="62" customFormat="1" outlineLevel="1" x14ac:dyDescent="0.2">
      <c r="A37" s="198" t="str">
        <f>LEFT(B37,4)</f>
        <v xml:space="preserve">   M</v>
      </c>
      <c r="B37" s="63" t="s">
        <v>82</v>
      </c>
      <c r="C37" s="191">
        <f t="shared" ref="C37:G37" si="10">SUM(C38:C41)</f>
        <v>462781.41</v>
      </c>
      <c r="D37" s="191">
        <f t="shared" si="10"/>
        <v>20360.22</v>
      </c>
      <c r="E37" s="191">
        <f t="shared" si="10"/>
        <v>0</v>
      </c>
      <c r="F37" s="191">
        <f t="shared" si="10"/>
        <v>0</v>
      </c>
      <c r="G37" s="191">
        <f t="shared" si="10"/>
        <v>27500</v>
      </c>
      <c r="H37" s="191">
        <f>SUM(H38:H41)</f>
        <v>27500</v>
      </c>
      <c r="I37" s="191">
        <f>SUM(I38:I41)</f>
        <v>444795.01</v>
      </c>
      <c r="J37" s="191">
        <f>SUM(J38:J41)</f>
        <v>5282.8799999999974</v>
      </c>
      <c r="K37" s="191">
        <f t="shared" ref="K37" si="11">SUM(K38:K41)</f>
        <v>0</v>
      </c>
      <c r="L37" s="211">
        <f>SUM(L38:L41)</f>
        <v>960719.52</v>
      </c>
      <c r="M37" s="193">
        <f>'QFR - B'!J24</f>
        <v>1431000</v>
      </c>
      <c r="N37" s="272">
        <f>M37-L37</f>
        <v>470280.48</v>
      </c>
      <c r="O37" s="61"/>
    </row>
    <row r="38" spans="1:15" s="206" customFormat="1" outlineLevel="1" x14ac:dyDescent="0.2">
      <c r="A38" s="198" t="s">
        <v>135</v>
      </c>
      <c r="B38" s="203" t="s">
        <v>97</v>
      </c>
      <c r="C38" s="287">
        <v>405592.39999999997</v>
      </c>
      <c r="D38" s="287">
        <v>20360.22</v>
      </c>
      <c r="E38" s="287"/>
      <c r="F38" s="287">
        <v>0</v>
      </c>
      <c r="G38" s="287">
        <v>20000</v>
      </c>
      <c r="H38" s="287">
        <f>SUMIF('Contract level'!$A:$A,"="&amp;'DFP-Com'!$A38,'Contract level'!BN:BN)</f>
        <v>20000</v>
      </c>
      <c r="I38" s="287">
        <f>SUMIF('Contract level'!$A:$A,"="&amp;'DFP-Com'!$A38,'Contract level'!BO:BO)</f>
        <v>235000</v>
      </c>
      <c r="J38" s="287">
        <f>SUMIF('Contract level'!$A:$A,"="&amp;'DFP-Com'!$A38,'Contract level'!BP:BP)</f>
        <v>5282.8799999999974</v>
      </c>
      <c r="K38" s="287">
        <f>SUMIF('Contract level'!$A:$A,"="&amp;'DFP-Com'!$A38,'Contract level'!BQ:BQ)</f>
        <v>0</v>
      </c>
      <c r="L38" s="196">
        <f>SUM(H38:K38)+D38+C38</f>
        <v>686235.5</v>
      </c>
      <c r="M38" s="259"/>
      <c r="N38" s="277"/>
      <c r="O38" s="205"/>
    </row>
    <row r="39" spans="1:15" s="206" customFormat="1" outlineLevel="1" x14ac:dyDescent="0.2">
      <c r="A39" s="198" t="s">
        <v>136</v>
      </c>
      <c r="B39" s="203" t="s">
        <v>98</v>
      </c>
      <c r="C39" s="287">
        <v>0</v>
      </c>
      <c r="D39" s="287">
        <v>0</v>
      </c>
      <c r="E39" s="287"/>
      <c r="F39" s="287"/>
      <c r="G39" s="287"/>
      <c r="H39" s="287">
        <f>SUMIF('Contract level'!$A:$A,"="&amp;'DFP-Com'!$A39,'Contract level'!BN:BN)</f>
        <v>0</v>
      </c>
      <c r="I39" s="287">
        <f>SUMIF('Contract level'!$A:$A,"="&amp;'DFP-Com'!$A39,'Contract level'!BO:BO)</f>
        <v>0</v>
      </c>
      <c r="J39" s="287">
        <f>SUMIF('Contract level'!$A:$A,"="&amp;'DFP-Com'!$A39,'Contract level'!BP:BP)</f>
        <v>0</v>
      </c>
      <c r="K39" s="287">
        <f>SUMIF('Contract level'!$A:$A,"="&amp;'DFP-Com'!$A39,'Contract level'!BQ:BQ)</f>
        <v>0</v>
      </c>
      <c r="L39" s="287">
        <f>SUM(H39:K39)+D39+C39</f>
        <v>0</v>
      </c>
      <c r="M39" s="259"/>
      <c r="N39" s="277"/>
      <c r="O39" s="205"/>
    </row>
    <row r="40" spans="1:15" s="206" customFormat="1" outlineLevel="1" x14ac:dyDescent="0.2">
      <c r="A40" s="198" t="s">
        <v>137</v>
      </c>
      <c r="B40" s="203" t="s">
        <v>99</v>
      </c>
      <c r="C40" s="287">
        <v>0</v>
      </c>
      <c r="D40" s="196">
        <v>0</v>
      </c>
      <c r="E40" s="287"/>
      <c r="F40" s="287"/>
      <c r="G40" s="287"/>
      <c r="H40" s="287">
        <f>SUMIF('Contract level'!$A:$A,"="&amp;'DFP-Com'!$A40,'Contract level'!BN:BN)</f>
        <v>0</v>
      </c>
      <c r="I40" s="287">
        <f>SUMIF('Contract level'!$A:$A,"="&amp;'DFP-Com'!$A40,'Contract level'!BO:BO)</f>
        <v>0</v>
      </c>
      <c r="J40" s="287">
        <f>SUMIF('Contract level'!$A:$A,"="&amp;'DFP-Com'!$A40,'Contract level'!BP:BP)</f>
        <v>0</v>
      </c>
      <c r="K40" s="287">
        <f>SUMIF('Contract level'!$A:$A,"="&amp;'DFP-Com'!$A40,'Contract level'!BQ:BQ)</f>
        <v>0</v>
      </c>
      <c r="L40" s="287">
        <f>SUM(H40:K40)+D40+C40</f>
        <v>0</v>
      </c>
      <c r="M40" s="259"/>
      <c r="N40" s="277"/>
      <c r="O40" s="205"/>
    </row>
    <row r="41" spans="1:15" s="206" customFormat="1" outlineLevel="1" x14ac:dyDescent="0.2">
      <c r="A41" s="198" t="s">
        <v>138</v>
      </c>
      <c r="B41" s="203" t="s">
        <v>109</v>
      </c>
      <c r="C41" s="287">
        <v>57189.01</v>
      </c>
      <c r="D41" s="287">
        <v>0</v>
      </c>
      <c r="E41" s="287">
        <v>0</v>
      </c>
      <c r="F41" s="287">
        <v>0</v>
      </c>
      <c r="G41" s="287">
        <v>7500</v>
      </c>
      <c r="H41" s="287">
        <f>SUMIF('Contract level'!$A:$A,"="&amp;'DFP-Com'!$A41,'Contract level'!BN:BN)</f>
        <v>7500</v>
      </c>
      <c r="I41" s="287">
        <f>SUMIF('Contract level'!$A:$A,"="&amp;'DFP-Com'!$A41,'Contract level'!BO:BO)</f>
        <v>209795.01</v>
      </c>
      <c r="J41" s="287">
        <f>SUMIF('Contract level'!$A:$A,"="&amp;'DFP-Com'!$A41,'Contract level'!BP:BP)</f>
        <v>0</v>
      </c>
      <c r="K41" s="287">
        <f>SUMIF('Contract level'!$A:$A,"="&amp;'DFP-Com'!$A41,'Contract level'!BQ:BQ)</f>
        <v>0</v>
      </c>
      <c r="L41" s="287">
        <f>SUM(H41:K41)+D41+C41</f>
        <v>274484.02</v>
      </c>
      <c r="M41" s="259"/>
      <c r="N41" s="277"/>
      <c r="O41" s="205"/>
    </row>
    <row r="42" spans="1:15" s="37" customFormat="1" x14ac:dyDescent="0.2">
      <c r="A42" s="198"/>
      <c r="B42" s="57" t="s">
        <v>17</v>
      </c>
      <c r="C42" s="192">
        <f>C37</f>
        <v>462781.41</v>
      </c>
      <c r="D42" s="192">
        <f>D37</f>
        <v>20360.22</v>
      </c>
      <c r="E42" s="192">
        <f t="shared" ref="E42:N42" si="12">E37</f>
        <v>0</v>
      </c>
      <c r="F42" s="192">
        <f t="shared" si="12"/>
        <v>0</v>
      </c>
      <c r="G42" s="192">
        <f t="shared" si="12"/>
        <v>27500</v>
      </c>
      <c r="H42" s="192">
        <f>H37</f>
        <v>27500</v>
      </c>
      <c r="I42" s="192">
        <f>I37</f>
        <v>444795.01</v>
      </c>
      <c r="J42" s="192">
        <f>J37</f>
        <v>5282.8799999999974</v>
      </c>
      <c r="K42" s="192">
        <f t="shared" ref="K42" si="13">K37</f>
        <v>0</v>
      </c>
      <c r="L42" s="192">
        <f t="shared" si="12"/>
        <v>960719.52</v>
      </c>
      <c r="M42" s="260">
        <f t="shared" si="12"/>
        <v>1431000</v>
      </c>
      <c r="N42" s="278">
        <f t="shared" si="12"/>
        <v>470280.48</v>
      </c>
      <c r="O42" s="36"/>
    </row>
    <row r="43" spans="1:15" s="37" customFormat="1" x14ac:dyDescent="0.2">
      <c r="A43" s="198"/>
      <c r="B43" s="52"/>
      <c r="C43" s="261"/>
      <c r="D43" s="208"/>
      <c r="E43" s="208"/>
      <c r="F43" s="208"/>
      <c r="G43" s="208"/>
      <c r="H43" s="208"/>
      <c r="I43" s="208"/>
      <c r="J43" s="208"/>
      <c r="K43" s="208"/>
      <c r="L43" s="208"/>
      <c r="M43" s="257"/>
      <c r="N43" s="275"/>
      <c r="O43" s="36"/>
    </row>
    <row r="44" spans="1:15" s="62" customFormat="1" x14ac:dyDescent="0.2">
      <c r="A44" s="198"/>
      <c r="B44" s="44" t="s">
        <v>75</v>
      </c>
      <c r="C44" s="263"/>
      <c r="D44" s="254"/>
      <c r="E44" s="254"/>
      <c r="F44" s="254"/>
      <c r="G44" s="254"/>
      <c r="H44" s="254"/>
      <c r="I44" s="254"/>
      <c r="J44" s="254"/>
      <c r="K44" s="254"/>
      <c r="L44" s="209"/>
      <c r="M44" s="258"/>
      <c r="N44" s="276"/>
      <c r="O44" s="61"/>
    </row>
    <row r="45" spans="1:15" s="37" customFormat="1" outlineLevel="1" x14ac:dyDescent="0.2">
      <c r="A45" s="198"/>
      <c r="B45" s="64" t="s">
        <v>84</v>
      </c>
      <c r="C45" s="191">
        <f t="shared" ref="C45:G45" si="14">SUM(C46:C49)</f>
        <v>1060774.9300000002</v>
      </c>
      <c r="D45" s="191">
        <f t="shared" si="14"/>
        <v>78533.990000000005</v>
      </c>
      <c r="E45" s="191">
        <f t="shared" si="14"/>
        <v>0</v>
      </c>
      <c r="F45" s="191">
        <f t="shared" si="14"/>
        <v>0</v>
      </c>
      <c r="G45" s="191">
        <f t="shared" si="14"/>
        <v>4000</v>
      </c>
      <c r="H45" s="191">
        <f>SUM(H46:H49)</f>
        <v>4000</v>
      </c>
      <c r="I45" s="191">
        <f>SUM(I46:I49)</f>
        <v>26024.36</v>
      </c>
      <c r="J45" s="191">
        <f>SUM(J46:J49)</f>
        <v>301051.69999999995</v>
      </c>
      <c r="K45" s="191">
        <f t="shared" ref="K45" si="15">SUM(K46:K49)</f>
        <v>0</v>
      </c>
      <c r="L45" s="211">
        <f>C45+D45+SUM(H45:J45)</f>
        <v>1470384.98</v>
      </c>
      <c r="M45" s="193">
        <f>'QFR - B'!J27</f>
        <v>1511000</v>
      </c>
      <c r="N45" s="272">
        <f>M45-L45</f>
        <v>40615.020000000019</v>
      </c>
      <c r="O45" s="36"/>
    </row>
    <row r="46" spans="1:15" s="201" customFormat="1" ht="12.75" customHeight="1" outlineLevel="1" x14ac:dyDescent="0.2">
      <c r="A46" s="198" t="s">
        <v>139</v>
      </c>
      <c r="B46" s="207" t="s">
        <v>119</v>
      </c>
      <c r="C46" s="287">
        <v>799183.91</v>
      </c>
      <c r="D46" s="287">
        <v>63643.12</v>
      </c>
      <c r="E46" s="286"/>
      <c r="F46" s="286"/>
      <c r="G46" s="286"/>
      <c r="H46" s="287">
        <f>SUMIF('Contract level'!$A:$A,"="&amp;'DFP-Com'!$A46,'Contract level'!BN:BN)</f>
        <v>0</v>
      </c>
      <c r="I46" s="287">
        <f>SUMIF('Contract level'!$A:$A,"="&amp;'DFP-Com'!$A46,'Contract level'!BO:BO)</f>
        <v>0</v>
      </c>
      <c r="J46" s="287">
        <f>SUMIF('Contract level'!$A:$A,"="&amp;'DFP-Com'!$A46,'Contract level'!BP:BP)</f>
        <v>165647.29999999999</v>
      </c>
      <c r="K46" s="287">
        <f>SUMIF('Contract level'!$A:$A,"="&amp;'DFP-Com'!$A46,'Contract level'!BQ:BQ)</f>
        <v>0</v>
      </c>
      <c r="L46" s="196">
        <f>SUM(H46:K46)+D46+C46</f>
        <v>1028474.3300000001</v>
      </c>
      <c r="M46" s="259"/>
      <c r="N46" s="273"/>
      <c r="O46" s="200"/>
    </row>
    <row r="47" spans="1:15" s="201" customFormat="1" outlineLevel="1" x14ac:dyDescent="0.2">
      <c r="A47" s="198" t="s">
        <v>140</v>
      </c>
      <c r="B47" s="207" t="s">
        <v>120</v>
      </c>
      <c r="C47" s="287">
        <v>48699.76</v>
      </c>
      <c r="D47" s="287">
        <v>0</v>
      </c>
      <c r="E47" s="286"/>
      <c r="F47" s="286"/>
      <c r="G47" s="286">
        <v>2000</v>
      </c>
      <c r="H47" s="287">
        <f>SUMIF('Contract level'!$A:$A,"="&amp;'DFP-Com'!$A47,'Contract level'!BN:BN)</f>
        <v>2000</v>
      </c>
      <c r="I47" s="287">
        <f>SUMIF('Contract level'!$A:$A,"="&amp;'DFP-Com'!$A47,'Contract level'!BO:BO)</f>
        <v>24696.46</v>
      </c>
      <c r="J47" s="287">
        <f>SUMIF('Contract level'!$A:$A,"="&amp;'DFP-Com'!$A47,'Contract level'!BP:BP)</f>
        <v>2673.78</v>
      </c>
      <c r="K47" s="287">
        <f>SUMIF('Contract level'!$A:$A,"="&amp;'DFP-Com'!$A47,'Contract level'!BQ:BQ)</f>
        <v>0</v>
      </c>
      <c r="L47" s="287">
        <f>SUM(H47:J47)+D47+C47</f>
        <v>78070</v>
      </c>
      <c r="M47" s="259"/>
      <c r="N47" s="277"/>
      <c r="O47" s="200"/>
    </row>
    <row r="48" spans="1:15" s="201" customFormat="1" outlineLevel="1" x14ac:dyDescent="0.2">
      <c r="A48" s="198" t="s">
        <v>141</v>
      </c>
      <c r="B48" s="207" t="s">
        <v>121</v>
      </c>
      <c r="C48" s="287">
        <v>120000</v>
      </c>
      <c r="D48" s="287">
        <v>0</v>
      </c>
      <c r="E48" s="286"/>
      <c r="F48" s="286"/>
      <c r="G48" s="286"/>
      <c r="H48" s="287">
        <f>SUMIF('Contract level'!$A:$A,"="&amp;'DFP-Com'!$A48,'Contract level'!BN:BN)</f>
        <v>0</v>
      </c>
      <c r="I48" s="287">
        <f>SUMIF('Contract level'!$A:$A,"="&amp;'DFP-Com'!$A48,'Contract level'!BO:BO)</f>
        <v>0</v>
      </c>
      <c r="J48" s="287">
        <f>SUMIF('Contract level'!$A:$A,"="&amp;'DFP-Com'!$A48,'Contract level'!BP:BP)</f>
        <v>0</v>
      </c>
      <c r="K48" s="287">
        <f>SUMIF('Contract level'!$A:$A,"="&amp;'DFP-Com'!$A48,'Contract level'!BQ:BQ)</f>
        <v>0</v>
      </c>
      <c r="L48" s="287">
        <f>SUM(H48:J48)+D48+C48</f>
        <v>120000</v>
      </c>
      <c r="M48" s="259"/>
      <c r="N48" s="277"/>
      <c r="O48" s="200"/>
    </row>
    <row r="49" spans="1:15" s="201" customFormat="1" outlineLevel="1" x14ac:dyDescent="0.2">
      <c r="A49" s="198" t="s">
        <v>142</v>
      </c>
      <c r="B49" s="207" t="s">
        <v>122</v>
      </c>
      <c r="C49" s="287">
        <v>92891.260000000009</v>
      </c>
      <c r="D49" s="287">
        <v>14890.869999999999</v>
      </c>
      <c r="E49" s="286"/>
      <c r="F49" s="286"/>
      <c r="G49" s="286">
        <v>2000</v>
      </c>
      <c r="H49" s="287">
        <f>SUMIF('Contract level'!$A:$A,"="&amp;'DFP-Com'!$A49,'Contract level'!BN:BN)</f>
        <v>2000</v>
      </c>
      <c r="I49" s="287">
        <f>SUMIF('Contract level'!$A:$A,"="&amp;'DFP-Com'!$A49,'Contract level'!BO:BO)</f>
        <v>1327.9</v>
      </c>
      <c r="J49" s="287">
        <f>SUMIF('Contract level'!$A:$A,"="&amp;'DFP-Com'!$A49,'Contract level'!BP:BP)</f>
        <v>132730.62</v>
      </c>
      <c r="K49" s="287">
        <f>SUMIF('Contract level'!$A:$A,"="&amp;'DFP-Com'!$A49,'Contract level'!BQ:BQ)</f>
        <v>0</v>
      </c>
      <c r="L49" s="287">
        <f>SUM(H49:J49)+D49+C49</f>
        <v>243840.65</v>
      </c>
      <c r="M49" s="259"/>
      <c r="N49" s="277"/>
      <c r="O49" s="200"/>
    </row>
    <row r="50" spans="1:15" s="62" customFormat="1" x14ac:dyDescent="0.2">
      <c r="A50" s="10"/>
      <c r="B50" s="65" t="s">
        <v>83</v>
      </c>
      <c r="C50" s="192">
        <f t="shared" ref="C50:N50" si="16">C45</f>
        <v>1060774.9300000002</v>
      </c>
      <c r="D50" s="192">
        <f t="shared" si="16"/>
        <v>78533.990000000005</v>
      </c>
      <c r="E50" s="192">
        <f t="shared" si="16"/>
        <v>0</v>
      </c>
      <c r="F50" s="192">
        <f t="shared" si="16"/>
        <v>0</v>
      </c>
      <c r="G50" s="192">
        <f t="shared" si="16"/>
        <v>4000</v>
      </c>
      <c r="H50" s="192">
        <f>H45</f>
        <v>4000</v>
      </c>
      <c r="I50" s="192">
        <f>I45</f>
        <v>26024.36</v>
      </c>
      <c r="J50" s="192">
        <f>J45</f>
        <v>301051.69999999995</v>
      </c>
      <c r="K50" s="192">
        <f t="shared" ref="K50" si="17">K45</f>
        <v>0</v>
      </c>
      <c r="L50" s="192">
        <f t="shared" si="16"/>
        <v>1470384.98</v>
      </c>
      <c r="M50" s="260">
        <f t="shared" si="16"/>
        <v>1511000</v>
      </c>
      <c r="N50" s="278">
        <f t="shared" si="16"/>
        <v>40615.020000000019</v>
      </c>
      <c r="O50" s="61"/>
    </row>
    <row r="51" spans="1:15" s="37" customFormat="1" x14ac:dyDescent="0.2">
      <c r="A51" s="5"/>
      <c r="B51" s="52"/>
      <c r="C51" s="261"/>
      <c r="D51" s="208"/>
      <c r="E51" s="208"/>
      <c r="F51" s="208"/>
      <c r="G51" s="208"/>
      <c r="H51" s="208"/>
      <c r="I51" s="208"/>
      <c r="J51" s="208"/>
      <c r="K51" s="208"/>
      <c r="L51" s="210"/>
      <c r="M51" s="257"/>
      <c r="N51" s="279"/>
      <c r="O51" s="36"/>
    </row>
    <row r="52" spans="1:15" s="218" customFormat="1" ht="13.5" customHeight="1" thickBot="1" x14ac:dyDescent="0.3">
      <c r="A52" s="215"/>
      <c r="B52" s="219" t="s">
        <v>115</v>
      </c>
      <c r="C52" s="216">
        <f t="shared" ref="C52:G52" si="18">C50+C42+C34+C25</f>
        <v>22998092.600000001</v>
      </c>
      <c r="D52" s="216">
        <f t="shared" si="18"/>
        <v>292898.61</v>
      </c>
      <c r="E52" s="216">
        <f t="shared" si="18"/>
        <v>115979.5</v>
      </c>
      <c r="F52" s="216">
        <f t="shared" si="18"/>
        <v>3630.86</v>
      </c>
      <c r="G52" s="216">
        <f t="shared" si="18"/>
        <v>449500</v>
      </c>
      <c r="H52" s="216">
        <f>H50+H42+H34+H25</f>
        <v>744110.36</v>
      </c>
      <c r="I52" s="216">
        <f>I50+I42+I34+I25</f>
        <v>620819.37</v>
      </c>
      <c r="J52" s="216">
        <f>J50+J42+J34+J25</f>
        <v>370451.43312499998</v>
      </c>
      <c r="K52" s="216">
        <f t="shared" ref="K52" si="19">K50+K42+K34+K25</f>
        <v>0</v>
      </c>
      <c r="L52" s="216">
        <f t="shared" ref="L52:N52" si="20">L50+L42+L34+L25</f>
        <v>25026372.373125002</v>
      </c>
      <c r="M52" s="216">
        <f t="shared" si="20"/>
        <v>26197500</v>
      </c>
      <c r="N52" s="280">
        <f t="shared" si="20"/>
        <v>1171127.6268750005</v>
      </c>
      <c r="O52" s="217"/>
    </row>
    <row r="53" spans="1:15" ht="13.5" thickTop="1" x14ac:dyDescent="0.2">
      <c r="B53" s="7" t="s">
        <v>233</v>
      </c>
      <c r="C53" s="264"/>
      <c r="D53" s="255"/>
      <c r="H53" s="255"/>
      <c r="I53" s="255"/>
      <c r="J53" s="255"/>
      <c r="K53" s="255"/>
      <c r="L53" s="255"/>
      <c r="M53" s="265"/>
      <c r="N53" s="281"/>
    </row>
    <row r="54" spans="1:15" ht="25.35" customHeight="1" x14ac:dyDescent="0.2">
      <c r="B54" s="489" t="s">
        <v>118</v>
      </c>
      <c r="C54" s="489"/>
      <c r="D54" s="489"/>
      <c r="E54" s="489"/>
      <c r="F54" s="489"/>
      <c r="G54" s="489"/>
      <c r="H54" s="255"/>
      <c r="I54" s="255"/>
      <c r="J54" s="255"/>
      <c r="K54" s="255"/>
      <c r="L54" s="255"/>
      <c r="M54" s="265"/>
      <c r="N54" s="282"/>
    </row>
    <row r="55" spans="1:15" x14ac:dyDescent="0.2">
      <c r="B55" s="7"/>
      <c r="C55" s="264"/>
      <c r="D55" s="255"/>
      <c r="H55" s="255"/>
      <c r="I55" s="255"/>
      <c r="J55" s="255"/>
      <c r="K55" s="255"/>
      <c r="L55" s="255"/>
      <c r="M55" s="265"/>
      <c r="N55" s="281"/>
    </row>
    <row r="56" spans="1:15" x14ac:dyDescent="0.2">
      <c r="B56" s="7"/>
      <c r="C56" s="264"/>
      <c r="D56" s="255"/>
      <c r="H56" s="255"/>
      <c r="I56" s="255"/>
      <c r="J56" s="255"/>
      <c r="K56" s="255"/>
      <c r="L56" s="255"/>
      <c r="M56" s="265"/>
      <c r="N56" s="282"/>
    </row>
    <row r="57" spans="1:15" x14ac:dyDescent="0.2">
      <c r="B57" s="7"/>
      <c r="C57" s="264"/>
      <c r="D57" s="255"/>
      <c r="H57" s="255"/>
      <c r="I57" s="255"/>
      <c r="J57" s="255"/>
      <c r="K57" s="255"/>
      <c r="L57" s="255"/>
      <c r="M57" s="265"/>
      <c r="N57" s="282"/>
    </row>
    <row r="58" spans="1:15" x14ac:dyDescent="0.2">
      <c r="B58" s="7"/>
      <c r="C58" s="264"/>
      <c r="D58" s="255"/>
      <c r="H58" s="255"/>
      <c r="I58" s="255"/>
      <c r="J58" s="255"/>
      <c r="K58" s="255"/>
      <c r="L58" s="255"/>
      <c r="M58" s="265"/>
      <c r="N58" s="282"/>
    </row>
    <row r="59" spans="1:15" x14ac:dyDescent="0.2">
      <c r="B59" s="7"/>
      <c r="C59" s="264"/>
      <c r="D59" s="255"/>
      <c r="H59" s="255"/>
      <c r="I59" s="255"/>
      <c r="J59" s="255"/>
      <c r="K59" s="255"/>
      <c r="L59" s="255"/>
      <c r="M59" s="265"/>
      <c r="N59" s="282"/>
    </row>
    <row r="60" spans="1:15" x14ac:dyDescent="0.2">
      <c r="B60" s="7"/>
      <c r="C60" s="264"/>
      <c r="D60" s="255"/>
      <c r="H60" s="255"/>
      <c r="I60" s="255"/>
      <c r="J60" s="255"/>
      <c r="K60" s="255"/>
      <c r="L60" s="255"/>
      <c r="M60" s="265"/>
      <c r="N60" s="282"/>
    </row>
    <row r="61" spans="1:15" x14ac:dyDescent="0.2">
      <c r="C61" s="264"/>
      <c r="D61" s="255"/>
      <c r="H61" s="255"/>
      <c r="I61" s="255"/>
      <c r="J61" s="255"/>
      <c r="K61" s="255"/>
      <c r="L61" s="255"/>
      <c r="M61" s="265"/>
      <c r="N61" s="282"/>
    </row>
    <row r="62" spans="1:15" x14ac:dyDescent="0.2">
      <c r="C62" s="264"/>
      <c r="D62" s="255"/>
      <c r="H62" s="255"/>
      <c r="I62" s="255"/>
      <c r="J62" s="255"/>
      <c r="K62" s="255"/>
      <c r="L62" s="255"/>
      <c r="M62" s="265"/>
      <c r="N62" s="282"/>
    </row>
    <row r="63" spans="1:15" x14ac:dyDescent="0.2">
      <c r="C63" s="264"/>
      <c r="D63" s="255"/>
      <c r="H63" s="255"/>
      <c r="I63" s="255"/>
      <c r="J63" s="255"/>
      <c r="K63" s="255"/>
      <c r="L63" s="255"/>
      <c r="M63" s="265"/>
      <c r="N63" s="282"/>
    </row>
    <row r="64" spans="1:15" x14ac:dyDescent="0.2">
      <c r="C64" s="264"/>
      <c r="D64" s="255"/>
      <c r="H64" s="255"/>
      <c r="I64" s="255"/>
      <c r="J64" s="255"/>
      <c r="K64" s="255"/>
      <c r="L64" s="255"/>
      <c r="M64" s="265"/>
      <c r="N64" s="282"/>
    </row>
    <row r="65" spans="3:14" x14ac:dyDescent="0.2">
      <c r="C65" s="264"/>
      <c r="D65" s="255"/>
      <c r="H65" s="255"/>
      <c r="I65" s="255"/>
      <c r="J65" s="255"/>
      <c r="K65" s="255"/>
      <c r="L65" s="255"/>
      <c r="M65" s="265"/>
      <c r="N65" s="282"/>
    </row>
    <row r="66" spans="3:14" x14ac:dyDescent="0.2">
      <c r="C66" s="264"/>
      <c r="D66" s="255"/>
      <c r="H66" s="255"/>
      <c r="I66" s="255"/>
      <c r="J66" s="255"/>
      <c r="K66" s="255"/>
      <c r="L66" s="255"/>
      <c r="M66" s="265"/>
      <c r="N66" s="282"/>
    </row>
    <row r="67" spans="3:14" x14ac:dyDescent="0.2">
      <c r="N67" s="282"/>
    </row>
    <row r="68" spans="3:14" x14ac:dyDescent="0.2">
      <c r="N68" s="282"/>
    </row>
    <row r="69" spans="3:14" x14ac:dyDescent="0.2">
      <c r="N69" s="282"/>
    </row>
    <row r="70" spans="3:14" x14ac:dyDescent="0.2">
      <c r="N70" s="282"/>
    </row>
    <row r="71" spans="3:14" x14ac:dyDescent="0.2">
      <c r="N71" s="282"/>
    </row>
    <row r="72" spans="3:14" x14ac:dyDescent="0.2">
      <c r="N72" s="282"/>
    </row>
    <row r="73" spans="3:14" x14ac:dyDescent="0.2">
      <c r="N73" s="282"/>
    </row>
    <row r="83" spans="4:12" x14ac:dyDescent="0.2">
      <c r="H83" s="68"/>
      <c r="I83" s="68"/>
      <c r="J83" s="68"/>
      <c r="K83" s="68"/>
      <c r="L83" s="69"/>
    </row>
    <row r="84" spans="4:12" x14ac:dyDescent="0.2">
      <c r="D84" s="70"/>
    </row>
  </sheetData>
  <mergeCells count="7">
    <mergeCell ref="B54:G54"/>
    <mergeCell ref="N10:N11"/>
    <mergeCell ref="B9:B10"/>
    <mergeCell ref="M10:M11"/>
    <mergeCell ref="L10:L11"/>
    <mergeCell ref="E10:G10"/>
    <mergeCell ref="E9:G9"/>
  </mergeCells>
  <phoneticPr fontId="28" type="noConversion"/>
  <printOptions horizontalCentered="1"/>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N85"/>
  <sheetViews>
    <sheetView showGridLines="0" topLeftCell="B22" zoomScale="85" zoomScaleNormal="85" zoomScalePageLayoutView="85" workbookViewId="0">
      <selection activeCell="D51" sqref="D51"/>
    </sheetView>
  </sheetViews>
  <sheetFormatPr baseColWidth="10" defaultColWidth="0" defaultRowHeight="12.75" outlineLevelRow="1" outlineLevelCol="1" x14ac:dyDescent="0.2"/>
  <cols>
    <col min="1" max="1" width="8.5703125" style="1" hidden="1" customWidth="1" outlineLevel="1"/>
    <col min="2" max="2" width="49.42578125" style="1" customWidth="1" collapsed="1"/>
    <col min="3" max="3" width="17.42578125" style="66" customWidth="1"/>
    <col min="4" max="4" width="21.140625" style="1" customWidth="1"/>
    <col min="5" max="6" width="15.5703125" style="1" bestFit="1" customWidth="1"/>
    <col min="7" max="7" width="14.42578125" style="255" customWidth="1"/>
    <col min="8" max="11" width="15" style="1" customWidth="1"/>
    <col min="12" max="13" width="17.42578125" style="1" customWidth="1"/>
    <col min="14" max="14" width="19.42578125" style="6" customWidth="1"/>
    <col min="15" max="15" width="17.7109375" style="1" customWidth="1"/>
    <col min="16" max="16" width="17.42578125" style="10" hidden="1" customWidth="1"/>
    <col min="17" max="17" width="22.42578125" style="10" hidden="1" customWidth="1"/>
    <col min="18" max="40" width="11.42578125" style="5" hidden="1" customWidth="1"/>
    <col min="41" max="16384" width="0" style="5" hidden="1"/>
  </cols>
  <sheetData>
    <row r="1" spans="1:18" ht="13.5" outlineLevel="1" thickBot="1" x14ac:dyDescent="0.25">
      <c r="B1" s="2" t="s">
        <v>18</v>
      </c>
      <c r="C1" s="3"/>
      <c r="D1" s="4"/>
      <c r="E1" s="5"/>
      <c r="F1" s="5"/>
      <c r="G1" s="246"/>
    </row>
    <row r="2" spans="1:18" ht="13.5" outlineLevel="1" thickBot="1" x14ac:dyDescent="0.25">
      <c r="B2" s="8"/>
      <c r="C2" s="3"/>
      <c r="D2" s="4"/>
      <c r="E2" s="5"/>
      <c r="F2" s="5"/>
      <c r="G2" s="246"/>
      <c r="O2" s="9"/>
      <c r="R2" s="10"/>
    </row>
    <row r="3" spans="1:18" ht="12.75" customHeight="1" outlineLevel="1" x14ac:dyDescent="0.25">
      <c r="B3" s="11" t="s">
        <v>1</v>
      </c>
      <c r="C3" s="12"/>
      <c r="D3" s="13" t="s">
        <v>63</v>
      </c>
      <c r="E3" s="76"/>
      <c r="F3" s="76"/>
      <c r="G3" s="247"/>
    </row>
    <row r="4" spans="1:18" ht="12.75" customHeight="1" outlineLevel="1" x14ac:dyDescent="0.25">
      <c r="B4" s="14" t="s">
        <v>2</v>
      </c>
      <c r="C4" s="15"/>
      <c r="D4" s="16" t="s">
        <v>64</v>
      </c>
      <c r="E4" s="76"/>
      <c r="F4" s="76"/>
      <c r="G4" s="247"/>
    </row>
    <row r="5" spans="1:18" ht="12.75" customHeight="1" outlineLevel="1" x14ac:dyDescent="0.25">
      <c r="B5" s="17" t="s">
        <v>3</v>
      </c>
      <c r="C5" s="15"/>
      <c r="D5" s="16" t="str">
        <f>'THP DR'!B7</f>
        <v>TR14GTM15001</v>
      </c>
      <c r="E5" s="76"/>
      <c r="F5" s="76"/>
      <c r="G5" s="247"/>
    </row>
    <row r="6" spans="1:18" ht="12.75" customHeight="1" outlineLevel="1" x14ac:dyDescent="0.25">
      <c r="B6" s="14" t="s">
        <v>4</v>
      </c>
      <c r="C6" s="15"/>
      <c r="D6" s="320">
        <v>44004</v>
      </c>
      <c r="E6" s="80"/>
      <c r="F6" s="80"/>
      <c r="G6" s="247"/>
      <c r="O6" s="7"/>
      <c r="R6" s="10"/>
    </row>
    <row r="7" spans="1:18" ht="13.5" customHeight="1" outlineLevel="1" thickBot="1" x14ac:dyDescent="0.25">
      <c r="B7" s="18" t="s">
        <v>5</v>
      </c>
      <c r="C7" s="19"/>
      <c r="D7" s="184">
        <v>17</v>
      </c>
      <c r="E7" s="299"/>
      <c r="F7" s="299"/>
      <c r="G7" s="247"/>
      <c r="O7" s="20"/>
    </row>
    <row r="8" spans="1:18" ht="12.75" customHeight="1" outlineLevel="1" x14ac:dyDescent="0.2">
      <c r="B8" s="5"/>
      <c r="C8" s="21"/>
      <c r="D8" s="22"/>
      <c r="E8" s="22"/>
      <c r="F8" s="22"/>
      <c r="G8" s="248"/>
      <c r="O8" s="20"/>
    </row>
    <row r="9" spans="1:18" ht="12.75" customHeight="1" outlineLevel="1" x14ac:dyDescent="0.2">
      <c r="B9" s="23"/>
      <c r="C9" s="23"/>
      <c r="D9" s="23"/>
      <c r="E9" s="23"/>
      <c r="F9" s="23"/>
      <c r="G9" s="249"/>
      <c r="N9" s="24"/>
      <c r="O9" s="20"/>
    </row>
    <row r="10" spans="1:18" s="315" customFormat="1" ht="13.5" customHeight="1" outlineLevel="1" x14ac:dyDescent="0.2">
      <c r="A10" s="25"/>
      <c r="B10" s="26"/>
      <c r="C10" s="27"/>
      <c r="D10" s="28"/>
      <c r="E10" s="28"/>
      <c r="F10" s="28"/>
      <c r="G10" s="250"/>
      <c r="H10" s="25"/>
      <c r="I10" s="25"/>
      <c r="J10" s="25"/>
      <c r="K10" s="25"/>
      <c r="L10" s="25"/>
      <c r="M10" s="25"/>
      <c r="N10" s="24"/>
      <c r="O10" s="20"/>
      <c r="P10" s="10"/>
      <c r="Q10" s="10"/>
    </row>
    <row r="11" spans="1:18" ht="15.75" outlineLevel="1" x14ac:dyDescent="0.2">
      <c r="A11" s="5"/>
      <c r="B11" s="491" t="s">
        <v>19</v>
      </c>
      <c r="C11" s="29" t="s">
        <v>7</v>
      </c>
      <c r="D11" s="30" t="s">
        <v>8</v>
      </c>
      <c r="E11" s="503" t="s">
        <v>9</v>
      </c>
      <c r="F11" s="504"/>
      <c r="G11" s="504"/>
      <c r="H11" s="221"/>
      <c r="I11" s="221"/>
      <c r="J11" s="221"/>
      <c r="K11" s="221"/>
      <c r="L11" s="31" t="s">
        <v>10</v>
      </c>
      <c r="M11" s="31" t="s">
        <v>10</v>
      </c>
      <c r="N11" s="31" t="s">
        <v>11</v>
      </c>
      <c r="O11" s="32"/>
      <c r="P11" s="5"/>
      <c r="Q11" s="5"/>
    </row>
    <row r="12" spans="1:18" ht="87" customHeight="1" x14ac:dyDescent="0.2">
      <c r="A12" s="5"/>
      <c r="B12" s="491"/>
      <c r="C12" s="33" t="s">
        <v>199</v>
      </c>
      <c r="D12" s="34" t="s">
        <v>238</v>
      </c>
      <c r="E12" s="500" t="str">
        <f>"Grant Quarter #"&amp;$D$7</f>
        <v>Grant Quarter #17</v>
      </c>
      <c r="F12" s="501"/>
      <c r="G12" s="502"/>
      <c r="H12" s="335" t="s">
        <v>281</v>
      </c>
      <c r="I12" s="335" t="s">
        <v>282</v>
      </c>
      <c r="J12" s="335" t="s">
        <v>341</v>
      </c>
      <c r="K12" s="364" t="s">
        <v>342</v>
      </c>
      <c r="L12" s="498" t="s">
        <v>20</v>
      </c>
      <c r="M12" s="499" t="s">
        <v>101</v>
      </c>
      <c r="N12" s="497" t="s">
        <v>15</v>
      </c>
      <c r="O12" s="35"/>
      <c r="P12" s="5"/>
      <c r="Q12" s="5"/>
    </row>
    <row r="13" spans="1:18" ht="25.5" x14ac:dyDescent="0.2">
      <c r="A13" s="5"/>
      <c r="B13" s="38" t="s">
        <v>16</v>
      </c>
      <c r="C13" s="39" t="s">
        <v>380</v>
      </c>
      <c r="D13" s="40" t="s">
        <v>232</v>
      </c>
      <c r="E13" s="256" t="s">
        <v>381</v>
      </c>
      <c r="F13" s="256" t="s">
        <v>382</v>
      </c>
      <c r="G13" s="256" t="s">
        <v>383</v>
      </c>
      <c r="H13" s="335" t="s">
        <v>278</v>
      </c>
      <c r="I13" s="335" t="s">
        <v>279</v>
      </c>
      <c r="J13" s="335" t="s">
        <v>280</v>
      </c>
      <c r="K13" s="364" t="s">
        <v>232</v>
      </c>
      <c r="L13" s="498"/>
      <c r="M13" s="499"/>
      <c r="N13" s="497"/>
      <c r="O13" s="35"/>
      <c r="P13" s="5"/>
      <c r="Q13" s="5"/>
    </row>
    <row r="14" spans="1:18" s="316" customFormat="1" ht="15" x14ac:dyDescent="0.25">
      <c r="A14"/>
      <c r="B14" s="183" t="s">
        <v>85</v>
      </c>
      <c r="C14" s="183" t="s">
        <v>86</v>
      </c>
      <c r="D14" s="183" t="s">
        <v>87</v>
      </c>
      <c r="E14" s="251" t="s">
        <v>88</v>
      </c>
      <c r="F14" s="251" t="s">
        <v>89</v>
      </c>
      <c r="G14" s="245" t="s">
        <v>90</v>
      </c>
      <c r="H14" s="251" t="s">
        <v>283</v>
      </c>
      <c r="I14" s="245" t="s">
        <v>284</v>
      </c>
      <c r="J14" s="251" t="s">
        <v>285</v>
      </c>
      <c r="K14" s="251" t="s">
        <v>329</v>
      </c>
      <c r="L14" s="183" t="s">
        <v>91</v>
      </c>
      <c r="M14" s="189" t="s">
        <v>92</v>
      </c>
      <c r="N14" s="183" t="s">
        <v>93</v>
      </c>
      <c r="O14" s="35"/>
    </row>
    <row r="15" spans="1:18" x14ac:dyDescent="0.2">
      <c r="A15" s="5"/>
      <c r="B15" s="42"/>
      <c r="C15" s="43"/>
      <c r="D15" s="42"/>
      <c r="E15" s="252"/>
      <c r="F15" s="252"/>
      <c r="G15" s="252"/>
      <c r="H15" s="42"/>
      <c r="I15" s="42"/>
      <c r="J15" s="42"/>
      <c r="K15" s="42"/>
      <c r="L15" s="42"/>
      <c r="M15" s="42"/>
      <c r="N15" s="283"/>
      <c r="O15" s="35"/>
      <c r="P15" s="5"/>
      <c r="Q15" s="5"/>
    </row>
    <row r="16" spans="1:18" x14ac:dyDescent="0.2">
      <c r="A16" s="5"/>
      <c r="B16" s="44" t="s">
        <v>67</v>
      </c>
      <c r="C16" s="45"/>
      <c r="D16" s="46"/>
      <c r="E16" s="253"/>
      <c r="F16" s="253"/>
      <c r="G16" s="253"/>
      <c r="H16" s="46"/>
      <c r="I16" s="46"/>
      <c r="J16" s="46"/>
      <c r="K16" s="46"/>
      <c r="L16" s="47"/>
      <c r="M16" s="190"/>
      <c r="N16" s="284"/>
      <c r="O16" s="35"/>
      <c r="P16" s="5"/>
      <c r="Q16" s="5"/>
    </row>
    <row r="17" spans="1:17" s="199" customFormat="1" outlineLevel="1" x14ac:dyDescent="0.2">
      <c r="A17" s="198"/>
      <c r="B17" s="49" t="s">
        <v>68</v>
      </c>
      <c r="C17" s="191">
        <f>SUM(C18:C20)</f>
        <v>9838269.6500000022</v>
      </c>
      <c r="D17" s="191">
        <f>SUM(D18:D20)</f>
        <v>682167.06030887342</v>
      </c>
      <c r="E17" s="191">
        <f>SUM(E18:E20)</f>
        <v>219917.29</v>
      </c>
      <c r="F17" s="191">
        <f t="shared" ref="F17:G17" si="0">SUM(F18:F20)</f>
        <v>0</v>
      </c>
      <c r="G17" s="191">
        <f t="shared" si="0"/>
        <v>0</v>
      </c>
      <c r="H17" s="191">
        <f t="shared" ref="H17:J17" si="1">SUM(H18:H20)</f>
        <v>219917.29</v>
      </c>
      <c r="I17" s="191">
        <f t="shared" si="1"/>
        <v>1245652.17</v>
      </c>
      <c r="J17" s="191">
        <f t="shared" si="1"/>
        <v>2.8893175296772503E-2</v>
      </c>
      <c r="K17" s="191">
        <f t="shared" ref="K17" si="2">SUM(K18:K20)</f>
        <v>0</v>
      </c>
      <c r="L17" s="191">
        <f>SUM(L18:L20)</f>
        <v>11986006.19920205</v>
      </c>
      <c r="M17" s="193">
        <f>'QFR - B'!J15</f>
        <v>12000000</v>
      </c>
      <c r="N17" s="272">
        <f>M17-L17</f>
        <v>13993.800797950476</v>
      </c>
      <c r="O17" s="35"/>
    </row>
    <row r="18" spans="1:17" s="199" customFormat="1" outlineLevel="1" x14ac:dyDescent="0.2">
      <c r="A18" s="198"/>
      <c r="B18" s="195" t="s">
        <v>94</v>
      </c>
      <c r="C18" s="287">
        <v>6038132.2200000016</v>
      </c>
      <c r="D18" s="287">
        <v>518294.61030887347</v>
      </c>
      <c r="E18" s="287">
        <v>0</v>
      </c>
      <c r="F18" s="287">
        <v>0</v>
      </c>
      <c r="G18" s="287">
        <v>0</v>
      </c>
      <c r="H18" s="287">
        <f>SUMIF('Contract level'!$A:$A,"="&amp;'DFP-Com'!$A16,'Contract level'!AS:AS)</f>
        <v>0</v>
      </c>
      <c r="I18" s="287">
        <f>SUMIF('Contract level'!$A:$A,"="&amp;'DFP-Com'!$A16,'Contract level'!AT:AT)</f>
        <v>1036589.23</v>
      </c>
      <c r="J18" s="287">
        <f>SUMIF('Contract level'!$A:$A,"="&amp;'DFP-Com'!$A16,'Contract level'!AU:AU)</f>
        <v>2.8893175296772503E-2</v>
      </c>
      <c r="K18" s="287">
        <f>SUMIF('Contract level'!$A:$A,"="&amp;'DFP-Com'!$A16,'Contract level'!AV:AV)</f>
        <v>0</v>
      </c>
      <c r="L18" s="287">
        <f>SUM(H18:K18)+D18+C18</f>
        <v>7593016.0892020501</v>
      </c>
      <c r="M18" s="197">
        <v>0</v>
      </c>
      <c r="N18" s="273"/>
      <c r="O18" s="35"/>
    </row>
    <row r="19" spans="1:17" s="199" customFormat="1" outlineLevel="1" x14ac:dyDescent="0.2">
      <c r="A19" s="198"/>
      <c r="B19" s="195" t="s">
        <v>95</v>
      </c>
      <c r="C19" s="287">
        <v>3799607.9699999997</v>
      </c>
      <c r="D19" s="287">
        <v>163872.45000000001</v>
      </c>
      <c r="E19" s="287">
        <v>219917.29</v>
      </c>
      <c r="F19" s="287">
        <v>0</v>
      </c>
      <c r="G19" s="287">
        <v>0</v>
      </c>
      <c r="H19" s="287">
        <f>SUMIF('Contract level'!$A:$A,"="&amp;'DFP-Com'!$A17,'Contract level'!AS:AS)</f>
        <v>219917.29</v>
      </c>
      <c r="I19" s="287">
        <f>SUMIF('Contract level'!$A:$A,"="&amp;'DFP-Com'!$A17,'Contract level'!AT:AT)</f>
        <v>207219.94</v>
      </c>
      <c r="J19" s="287">
        <f>SUMIF('Contract level'!$A:$A,"="&amp;'DFP-Com'!$A17,'Contract level'!AU:AU)</f>
        <v>0</v>
      </c>
      <c r="K19" s="287">
        <f>SUMIF('Contract level'!$A:$A,"="&amp;'DFP-Com'!$A17,'Contract level'!AV:AV)</f>
        <v>0</v>
      </c>
      <c r="L19" s="287">
        <f>SUM(H19:K19)+D19+C19</f>
        <v>4390617.6499999994</v>
      </c>
      <c r="M19" s="197">
        <v>0</v>
      </c>
      <c r="N19" s="273"/>
      <c r="O19" s="35"/>
    </row>
    <row r="20" spans="1:17" s="199" customFormat="1" outlineLevel="1" x14ac:dyDescent="0.2">
      <c r="A20" s="198"/>
      <c r="B20" s="195" t="s">
        <v>102</v>
      </c>
      <c r="C20" s="287">
        <v>529.46</v>
      </c>
      <c r="D20" s="287">
        <v>0</v>
      </c>
      <c r="E20" s="287">
        <v>0</v>
      </c>
      <c r="F20" s="287"/>
      <c r="G20" s="287"/>
      <c r="H20" s="287">
        <f>SUMIF('Contract level'!$A:$A,"="&amp;'DFP-Com'!$A18,'Contract level'!AS:AS)</f>
        <v>0</v>
      </c>
      <c r="I20" s="287">
        <f>SUMIF('Contract level'!$A:$A,"="&amp;'DFP-Com'!$A18,'Contract level'!AT:AT)</f>
        <v>1843</v>
      </c>
      <c r="J20" s="287">
        <f>SUMIF('Contract level'!$A:$A,"="&amp;'DFP-Com'!$A18,'Contract level'!AU:AU)</f>
        <v>0</v>
      </c>
      <c r="K20" s="287">
        <f>SUMIF('Contract level'!$A:$A,"="&amp;'DFP-Com'!$A18,'Contract level'!AV:AV)</f>
        <v>0</v>
      </c>
      <c r="L20" s="287">
        <f>SUM(H20:K20)+D20+C20</f>
        <v>2372.46</v>
      </c>
      <c r="M20" s="197">
        <v>0</v>
      </c>
      <c r="N20" s="273"/>
      <c r="O20" s="35"/>
    </row>
    <row r="21" spans="1:17" s="199" customFormat="1" ht="25.5" outlineLevel="1" x14ac:dyDescent="0.2">
      <c r="A21" s="198"/>
      <c r="B21" s="49" t="s">
        <v>69</v>
      </c>
      <c r="C21" s="191">
        <f>C22</f>
        <v>2874997.0400000005</v>
      </c>
      <c r="D21" s="191">
        <f>D22</f>
        <v>276553.13</v>
      </c>
      <c r="E21" s="191">
        <f t="shared" ref="E21:K21" si="3">E22</f>
        <v>280121.43</v>
      </c>
      <c r="F21" s="191">
        <f t="shared" si="3"/>
        <v>31265.920000000002</v>
      </c>
      <c r="G21" s="191">
        <f t="shared" si="3"/>
        <v>301592.31</v>
      </c>
      <c r="H21" s="191">
        <f t="shared" si="3"/>
        <v>612979.66</v>
      </c>
      <c r="I21" s="191">
        <f t="shared" si="3"/>
        <v>926633.36499999987</v>
      </c>
      <c r="J21" s="191">
        <f t="shared" si="3"/>
        <v>21431.333125000001</v>
      </c>
      <c r="K21" s="191">
        <f t="shared" si="3"/>
        <v>0</v>
      </c>
      <c r="L21" s="191">
        <f>L22</f>
        <v>4712594.5281250002</v>
      </c>
      <c r="M21" s="447">
        <f>'QFR - B'!J16</f>
        <v>4790000</v>
      </c>
      <c r="N21" s="272">
        <f>M21-L21</f>
        <v>77405.471874999814</v>
      </c>
      <c r="O21" s="35"/>
    </row>
    <row r="22" spans="1:17" s="199" customFormat="1" ht="12.95" customHeight="1" outlineLevel="1" x14ac:dyDescent="0.2">
      <c r="A22" s="198"/>
      <c r="B22" s="195" t="s">
        <v>103</v>
      </c>
      <c r="C22" s="287">
        <v>2874997.0400000005</v>
      </c>
      <c r="D22" s="287">
        <f>276553.13</f>
        <v>276553.13</v>
      </c>
      <c r="E22" s="287">
        <v>280121.43</v>
      </c>
      <c r="F22" s="287">
        <v>31265.920000000002</v>
      </c>
      <c r="G22" s="287">
        <v>301592.31</v>
      </c>
      <c r="H22" s="287">
        <f>SUMIF('Contract level'!$A:$A,"="&amp;'DFP-Com'!$A20,'Contract level'!AS:AS)</f>
        <v>612979.66</v>
      </c>
      <c r="I22" s="287">
        <f>SUMIF('Contract level'!$A:$A,"="&amp;'DFP-Com'!$A20,'Contract level'!AT:AT)</f>
        <v>926633.36499999987</v>
      </c>
      <c r="J22" s="287">
        <f>SUMIF('Contract level'!$A:$A,"="&amp;'DFP-Com'!$A20,'Contract level'!AU:AU)</f>
        <v>21431.333125000001</v>
      </c>
      <c r="K22" s="287">
        <f>SUMIF('Contract level'!$A:$A,"="&amp;'DFP-Com'!$A20,'Contract level'!AV:AV)</f>
        <v>0</v>
      </c>
      <c r="L22" s="287">
        <f>SUM(H22:K22)+D22+C22</f>
        <v>4712594.5281250002</v>
      </c>
      <c r="M22" s="197">
        <v>0</v>
      </c>
      <c r="N22" s="273"/>
      <c r="O22" s="35"/>
    </row>
    <row r="23" spans="1:17" s="199" customFormat="1" outlineLevel="1" x14ac:dyDescent="0.2">
      <c r="A23" s="198"/>
      <c r="B23" s="49" t="s">
        <v>70</v>
      </c>
      <c r="C23" s="191">
        <f>SUM(C24:C26)</f>
        <v>2724822.34</v>
      </c>
      <c r="D23" s="191">
        <f>SUM(D24:D26)</f>
        <v>124902.6</v>
      </c>
      <c r="E23" s="191">
        <f t="shared" ref="E23:L23" si="4">SUM(E24:E26)</f>
        <v>7195.4400000000005</v>
      </c>
      <c r="F23" s="191">
        <f t="shared" si="4"/>
        <v>7880.7199999999993</v>
      </c>
      <c r="G23" s="191">
        <f t="shared" si="4"/>
        <v>164341.22</v>
      </c>
      <c r="H23" s="191">
        <f t="shared" ref="H23:J23" si="5">SUM(H24:H26)</f>
        <v>179417.3839250007</v>
      </c>
      <c r="I23" s="191">
        <f t="shared" si="5"/>
        <v>142086.31999999998</v>
      </c>
      <c r="J23" s="191">
        <f t="shared" si="5"/>
        <v>101850.175</v>
      </c>
      <c r="K23" s="191">
        <f t="shared" ref="K23" si="6">SUM(K24:K26)</f>
        <v>0</v>
      </c>
      <c r="L23" s="191">
        <f t="shared" si="4"/>
        <v>3273078.8189250007</v>
      </c>
      <c r="M23" s="193">
        <f>'QFR - B'!J17</f>
        <v>3098100</v>
      </c>
      <c r="N23" s="272">
        <f>M23-L23</f>
        <v>-174978.81892500073</v>
      </c>
      <c r="O23" s="35"/>
    </row>
    <row r="24" spans="1:17" s="199" customFormat="1" ht="12.95" customHeight="1" outlineLevel="1" x14ac:dyDescent="0.2">
      <c r="A24" s="198"/>
      <c r="B24" s="195" t="s">
        <v>96</v>
      </c>
      <c r="C24" s="287">
        <v>2513728.83</v>
      </c>
      <c r="D24" s="287">
        <v>103658.92</v>
      </c>
      <c r="E24" s="287">
        <v>0</v>
      </c>
      <c r="F24" s="287">
        <v>0</v>
      </c>
      <c r="G24" s="287">
        <v>155488.42000000001</v>
      </c>
      <c r="H24" s="287">
        <f>SUMIF('Contract level'!$A:$A,"="&amp;'DFP-Com'!$A22,'Contract level'!AS:AS)</f>
        <v>155488.42392500071</v>
      </c>
      <c r="I24" s="287">
        <f>SUMIF('Contract level'!$A:$A,"="&amp;'DFP-Com'!$A22,'Contract level'!AT:AT)</f>
        <v>122499.99999999999</v>
      </c>
      <c r="J24" s="287">
        <f>SUMIF('Contract level'!$A:$A,"="&amp;'DFP-Com'!$A22,'Contract level'!AU:AU)</f>
        <v>52500</v>
      </c>
      <c r="K24" s="287">
        <f>SUMIF('Contract level'!$A:$A,"="&amp;'DFP-Com'!$A22,'Contract level'!AV:AV)</f>
        <v>0</v>
      </c>
      <c r="L24" s="287">
        <f>SUM(H24:K24)+D24+C24</f>
        <v>2947876.1739250007</v>
      </c>
      <c r="M24" s="197">
        <v>0</v>
      </c>
      <c r="N24" s="273"/>
      <c r="O24" s="35"/>
    </row>
    <row r="25" spans="1:17" s="199" customFormat="1" ht="12.95" customHeight="1" outlineLevel="1" x14ac:dyDescent="0.2">
      <c r="A25" s="198"/>
      <c r="B25" s="195" t="s">
        <v>112</v>
      </c>
      <c r="C25" s="287">
        <v>210676.9</v>
      </c>
      <c r="D25" s="287">
        <v>21243.68</v>
      </c>
      <c r="E25" s="287">
        <v>7195.4400000000005</v>
      </c>
      <c r="F25" s="287">
        <v>7880.7199999999993</v>
      </c>
      <c r="G25" s="287">
        <v>8852.7999999999993</v>
      </c>
      <c r="H25" s="287">
        <f>SUMIF('Contract level'!$A:$A,"="&amp;'DFP-Com'!$A23,'Contract level'!AS:AS)</f>
        <v>23928.960000000003</v>
      </c>
      <c r="I25" s="287">
        <f>SUMIF('Contract level'!$A:$A,"="&amp;'DFP-Com'!$A23,'Contract level'!AT:AT)</f>
        <v>19586.32</v>
      </c>
      <c r="J25" s="287">
        <f>SUMIF('Contract level'!$A:$A,"="&amp;'DFP-Com'!$A23,'Contract level'!AU:AU)</f>
        <v>49350.175000000003</v>
      </c>
      <c r="K25" s="287">
        <f>SUMIF('Contract level'!$A:$A,"="&amp;'DFP-Com'!$A23,'Contract level'!AV:AV)</f>
        <v>0</v>
      </c>
      <c r="L25" s="287">
        <f>SUM(H25:K25)+D25+C25</f>
        <v>324786.03500000003</v>
      </c>
      <c r="M25" s="197">
        <v>0</v>
      </c>
      <c r="N25" s="273"/>
      <c r="O25" s="35"/>
    </row>
    <row r="26" spans="1:17" s="199" customFormat="1" outlineLevel="1" x14ac:dyDescent="0.2">
      <c r="A26" s="198"/>
      <c r="B26" s="195" t="s">
        <v>111</v>
      </c>
      <c r="C26" s="287">
        <v>416.60999999999967</v>
      </c>
      <c r="D26" s="287">
        <v>0</v>
      </c>
      <c r="E26" s="287">
        <v>0</v>
      </c>
      <c r="F26" s="287">
        <v>0</v>
      </c>
      <c r="G26" s="287">
        <v>0</v>
      </c>
      <c r="H26" s="287">
        <f>SUMIF('Contract level'!$A:$A,"="&amp;'DFP-Com'!$A24,'Contract level'!AS:AS)</f>
        <v>0</v>
      </c>
      <c r="I26" s="287">
        <f>SUMIF('Contract level'!$A:$A,"="&amp;'DFP-Com'!$A24,'Contract level'!AT:AT)</f>
        <v>0</v>
      </c>
      <c r="J26" s="287">
        <f>SUMIF('Contract level'!$A:$A,"="&amp;'DFP-Com'!$A24,'Contract level'!AU:AU)</f>
        <v>0</v>
      </c>
      <c r="K26" s="287">
        <f>SUMIF('Contract level'!$A:$A,"="&amp;'DFP-Com'!$A24,'Contract level'!AV:AV)</f>
        <v>0</v>
      </c>
      <c r="L26" s="287">
        <f>SUM(H26:K26)+D26+C26</f>
        <v>416.60999999999967</v>
      </c>
      <c r="M26" s="197">
        <v>0</v>
      </c>
      <c r="N26" s="273"/>
      <c r="O26" s="35"/>
    </row>
    <row r="27" spans="1:17" s="199" customFormat="1" x14ac:dyDescent="0.2">
      <c r="A27" s="198"/>
      <c r="B27" s="50" t="s">
        <v>61</v>
      </c>
      <c r="C27" s="192">
        <f>C23+C21+C17</f>
        <v>15438089.030000003</v>
      </c>
      <c r="D27" s="192">
        <f>D23+D21+D17</f>
        <v>1083622.7903088734</v>
      </c>
      <c r="E27" s="192">
        <f t="shared" ref="E27:L27" si="7">E23+E21+E17</f>
        <v>507234.16000000003</v>
      </c>
      <c r="F27" s="192">
        <f t="shared" si="7"/>
        <v>39146.639999999999</v>
      </c>
      <c r="G27" s="192">
        <f t="shared" si="7"/>
        <v>465933.53</v>
      </c>
      <c r="H27" s="192">
        <f t="shared" ref="H27:J27" si="8">H23+H21+H17</f>
        <v>1012314.3339250007</v>
      </c>
      <c r="I27" s="192">
        <f t="shared" si="8"/>
        <v>2314371.8549999995</v>
      </c>
      <c r="J27" s="192">
        <f t="shared" si="8"/>
        <v>123281.53701817531</v>
      </c>
      <c r="K27" s="192">
        <f t="shared" ref="K27" si="9">K23+K21+K17</f>
        <v>0</v>
      </c>
      <c r="L27" s="192">
        <f t="shared" si="7"/>
        <v>19971679.54625205</v>
      </c>
      <c r="M27" s="194">
        <f>M17+M21+M23</f>
        <v>19888100</v>
      </c>
      <c r="N27" s="274">
        <f>N17+N21+N23</f>
        <v>-83579.546252050437</v>
      </c>
      <c r="O27" s="35"/>
    </row>
    <row r="28" spans="1:17" x14ac:dyDescent="0.2">
      <c r="A28" s="48"/>
      <c r="B28" s="52"/>
      <c r="C28" s="53"/>
      <c r="D28" s="54"/>
      <c r="E28" s="208"/>
      <c r="F28" s="208"/>
      <c r="G28" s="208"/>
      <c r="H28" s="208"/>
      <c r="I28" s="208"/>
      <c r="J28" s="208"/>
      <c r="K28" s="208"/>
      <c r="L28" s="208"/>
      <c r="M28" s="257"/>
      <c r="N28" s="275"/>
      <c r="O28" s="35"/>
      <c r="P28" s="5"/>
      <c r="Q28" s="5"/>
    </row>
    <row r="29" spans="1:17" x14ac:dyDescent="0.2">
      <c r="A29" s="48"/>
      <c r="B29" s="44" t="s">
        <v>73</v>
      </c>
      <c r="C29" s="55"/>
      <c r="D29" s="56"/>
      <c r="E29" s="209"/>
      <c r="F29" s="209"/>
      <c r="G29" s="209"/>
      <c r="H29" s="209"/>
      <c r="I29" s="209"/>
      <c r="J29" s="209"/>
      <c r="K29" s="209"/>
      <c r="L29" s="209"/>
      <c r="M29" s="258"/>
      <c r="N29" s="276"/>
      <c r="O29" s="35"/>
      <c r="P29" s="5"/>
      <c r="Q29" s="5"/>
    </row>
    <row r="30" spans="1:17" outlineLevel="1" x14ac:dyDescent="0.2">
      <c r="A30" s="48"/>
      <c r="B30" s="49" t="s">
        <v>113</v>
      </c>
      <c r="C30" s="41">
        <f t="shared" ref="C30:L30" si="10">SUM(C31:C31)</f>
        <v>516577.16</v>
      </c>
      <c r="D30" s="389">
        <f t="shared" si="10"/>
        <v>83199</v>
      </c>
      <c r="E30" s="211">
        <f t="shared" si="10"/>
        <v>39385.600000000006</v>
      </c>
      <c r="F30" s="211">
        <f t="shared" si="10"/>
        <v>61280.160000000003</v>
      </c>
      <c r="G30" s="211">
        <f t="shared" si="10"/>
        <v>73136.060000000012</v>
      </c>
      <c r="H30" s="211">
        <f t="shared" si="10"/>
        <v>173801.82</v>
      </c>
      <c r="I30" s="211">
        <f t="shared" si="10"/>
        <v>194937.4</v>
      </c>
      <c r="J30" s="211">
        <f t="shared" si="10"/>
        <v>72652.499999999985</v>
      </c>
      <c r="K30" s="211">
        <f t="shared" si="10"/>
        <v>0</v>
      </c>
      <c r="L30" s="211">
        <f t="shared" si="10"/>
        <v>1041167.8799999999</v>
      </c>
      <c r="M30" s="193">
        <f>'QFR - B'!J20</f>
        <v>1215000</v>
      </c>
      <c r="N30" s="272">
        <f>M30-L30</f>
        <v>173832.12000000011</v>
      </c>
      <c r="O30" s="409"/>
      <c r="P30" s="5"/>
      <c r="Q30" s="5"/>
    </row>
    <row r="31" spans="1:17" s="199" customFormat="1" outlineLevel="1" x14ac:dyDescent="0.2">
      <c r="A31" s="198"/>
      <c r="B31" s="195" t="s">
        <v>106</v>
      </c>
      <c r="C31" s="366">
        <v>516577.16</v>
      </c>
      <c r="D31" s="287">
        <v>83199</v>
      </c>
      <c r="E31" s="287">
        <v>39385.600000000006</v>
      </c>
      <c r="F31" s="287">
        <v>61280.160000000003</v>
      </c>
      <c r="G31" s="287">
        <v>73136.060000000012</v>
      </c>
      <c r="H31" s="287">
        <f>SUMIF('Contract level'!$A:$A,"="&amp;'DFP-Com'!$A29,'Contract level'!AS:AS)</f>
        <v>173801.82</v>
      </c>
      <c r="I31" s="287">
        <f>SUMIF('Contract level'!$A:$A,"="&amp;'DFP-Com'!$A29,'Contract level'!AT:AT)</f>
        <v>194937.4</v>
      </c>
      <c r="J31" s="287">
        <f>SUMIF('Contract level'!$A:$A,"="&amp;'DFP-Com'!$A29,'Contract level'!AU:AU)</f>
        <v>72652.499999999985</v>
      </c>
      <c r="K31" s="287">
        <f>SUMIF('Contract level'!$A:$A,"="&amp;'DFP-Com'!$A29,'Contract level'!AV:AV)</f>
        <v>0</v>
      </c>
      <c r="L31" s="287">
        <f>SUM(H31:K31)+D31+C31</f>
        <v>1041167.8799999999</v>
      </c>
      <c r="M31" s="197"/>
      <c r="N31" s="273"/>
      <c r="O31" s="35"/>
    </row>
    <row r="32" spans="1:17" outlineLevel="1" x14ac:dyDescent="0.2">
      <c r="A32" s="48"/>
      <c r="B32" s="49" t="s">
        <v>77</v>
      </c>
      <c r="C32" s="334">
        <f>SUM(C33:C35)</f>
        <v>1548175.27</v>
      </c>
      <c r="D32" s="334">
        <f>SUM(D33:D35)</f>
        <v>0</v>
      </c>
      <c r="E32" s="191">
        <f t="shared" ref="E32:G32" si="11">SUM(E33:E35)</f>
        <v>0</v>
      </c>
      <c r="F32" s="191">
        <f t="shared" si="11"/>
        <v>17000</v>
      </c>
      <c r="G32" s="191">
        <f t="shared" si="11"/>
        <v>0</v>
      </c>
      <c r="H32" s="191">
        <f t="shared" ref="H32:J32" si="12">SUM(H33:H35)</f>
        <v>17000</v>
      </c>
      <c r="I32" s="191">
        <f t="shared" si="12"/>
        <v>17245.170000000013</v>
      </c>
      <c r="J32" s="191">
        <f t="shared" si="12"/>
        <v>0</v>
      </c>
      <c r="K32" s="191">
        <f t="shared" ref="K32" si="13">SUM(K33:K35)</f>
        <v>0</v>
      </c>
      <c r="L32" s="191">
        <f>SUM(L33:L35)</f>
        <v>1582420.44</v>
      </c>
      <c r="M32" s="193">
        <f>'QFR - B'!J21</f>
        <v>2152400</v>
      </c>
      <c r="N32" s="272">
        <f>M32-L32</f>
        <v>569979.56000000006</v>
      </c>
      <c r="O32" s="35"/>
      <c r="P32" s="5"/>
      <c r="Q32" s="5"/>
    </row>
    <row r="33" spans="1:17" s="199" customFormat="1" outlineLevel="1" x14ac:dyDescent="0.2">
      <c r="A33" s="198"/>
      <c r="B33" s="195" t="s">
        <v>107</v>
      </c>
      <c r="C33" s="366">
        <v>477302.5</v>
      </c>
      <c r="D33" s="287">
        <v>0</v>
      </c>
      <c r="E33" s="287"/>
      <c r="F33" s="287">
        <v>17000</v>
      </c>
      <c r="G33" s="287">
        <v>0</v>
      </c>
      <c r="H33" s="287">
        <f>SUMIF('Contract level'!$A:$A,"="&amp;'DFP-Com'!$A31,'Contract level'!AS:AS)</f>
        <v>17000</v>
      </c>
      <c r="I33" s="287">
        <f>SUMIF('Contract level'!$A:$A,"="&amp;'DFP-Com'!$A31,'Contract level'!AT:AT)</f>
        <v>17245.170000000013</v>
      </c>
      <c r="J33" s="287">
        <f>SUMIF('Contract level'!$A:$A,"="&amp;'DFP-Com'!$A31,'Contract level'!AU:AU)</f>
        <v>0</v>
      </c>
      <c r="K33" s="287">
        <f>SUMIF('Contract level'!$A:$A,"="&amp;'DFP-Com'!$A31,'Contract level'!AV:AV)</f>
        <v>0</v>
      </c>
      <c r="L33" s="287">
        <f>SUM(H33:K33)+D33+C33</f>
        <v>511547.67000000004</v>
      </c>
      <c r="M33" s="197"/>
      <c r="N33" s="273"/>
      <c r="O33" s="35"/>
    </row>
    <row r="34" spans="1:17" s="199" customFormat="1" outlineLevel="1" x14ac:dyDescent="0.2">
      <c r="A34" s="198"/>
      <c r="B34" s="195" t="s">
        <v>108</v>
      </c>
      <c r="C34" s="366">
        <v>1030228.9999999999</v>
      </c>
      <c r="D34" s="366">
        <v>0</v>
      </c>
      <c r="E34" s="287">
        <v>0</v>
      </c>
      <c r="F34" s="287">
        <v>0</v>
      </c>
      <c r="G34" s="287"/>
      <c r="H34" s="287">
        <f>SUMIF('Contract level'!$A:$A,"="&amp;'DFP-Com'!$A32,'Contract level'!AS:AS)</f>
        <v>0</v>
      </c>
      <c r="I34" s="287">
        <f>SUMIF('Contract level'!$A:$A,"="&amp;'DFP-Com'!$A32,'Contract level'!AT:AT)</f>
        <v>0</v>
      </c>
      <c r="J34" s="287">
        <f>SUMIF('Contract level'!$A:$A,"="&amp;'DFP-Com'!$A32,'Contract level'!AU:AU)</f>
        <v>0</v>
      </c>
      <c r="K34" s="287">
        <f>SUMIF('Contract level'!$A:$A,"="&amp;'DFP-Com'!$A32,'Contract level'!AV:AV)</f>
        <v>0</v>
      </c>
      <c r="L34" s="287">
        <f>SUM(H34:K34)+D34+C34</f>
        <v>1030228.9999999999</v>
      </c>
      <c r="M34" s="197"/>
      <c r="N34" s="273"/>
      <c r="O34" s="35"/>
    </row>
    <row r="35" spans="1:17" s="199" customFormat="1" outlineLevel="1" x14ac:dyDescent="0.2">
      <c r="A35" s="198"/>
      <c r="B35" s="195" t="s">
        <v>110</v>
      </c>
      <c r="C35" s="366">
        <v>40643.769999999997</v>
      </c>
      <c r="D35" s="366">
        <v>0</v>
      </c>
      <c r="E35" s="287"/>
      <c r="F35" s="287">
        <v>0</v>
      </c>
      <c r="G35" s="287">
        <v>0</v>
      </c>
      <c r="H35" s="287">
        <f>SUMIF('Contract level'!$A:$A,"="&amp;'DFP-Com'!$A33,'Contract level'!AS:AS)</f>
        <v>0</v>
      </c>
      <c r="I35" s="287">
        <f>SUMIF('Contract level'!$A:$A,"="&amp;'DFP-Com'!$A33,'Contract level'!AT:AT)</f>
        <v>0</v>
      </c>
      <c r="J35" s="287">
        <f>SUMIF('Contract level'!$A:$A,"="&amp;'DFP-Com'!$A33,'Contract level'!AU:AU)</f>
        <v>0</v>
      </c>
      <c r="K35" s="287">
        <f>SUMIF('Contract level'!$A:$A,"="&amp;'DFP-Com'!$A33,'Contract level'!AV:AV)</f>
        <v>0</v>
      </c>
      <c r="L35" s="287">
        <f>SUM(H35:K35)+D35+C35</f>
        <v>40643.769999999997</v>
      </c>
      <c r="M35" s="197"/>
      <c r="N35" s="273"/>
      <c r="O35" s="35"/>
    </row>
    <row r="36" spans="1:17" x14ac:dyDescent="0.2">
      <c r="A36" s="48"/>
      <c r="B36" s="57" t="s">
        <v>62</v>
      </c>
      <c r="C36" s="51">
        <f>C32+C30</f>
        <v>2064752.43</v>
      </c>
      <c r="D36" s="388">
        <f>D32+D30</f>
        <v>83199</v>
      </c>
      <c r="E36" s="192">
        <f t="shared" ref="E36:N36" si="14">E32+E30</f>
        <v>39385.600000000006</v>
      </c>
      <c r="F36" s="192">
        <f t="shared" si="14"/>
        <v>78280.160000000003</v>
      </c>
      <c r="G36" s="192">
        <f t="shared" si="14"/>
        <v>73136.060000000012</v>
      </c>
      <c r="H36" s="192">
        <f t="shared" ref="H36:J36" si="15">H32+H30</f>
        <v>190801.82</v>
      </c>
      <c r="I36" s="192">
        <f t="shared" si="15"/>
        <v>212182.57</v>
      </c>
      <c r="J36" s="192">
        <f t="shared" si="15"/>
        <v>72652.499999999985</v>
      </c>
      <c r="K36" s="192">
        <f t="shared" ref="K36" si="16">K32+K30</f>
        <v>0</v>
      </c>
      <c r="L36" s="192">
        <f>L32+L30</f>
        <v>2623588.3199999998</v>
      </c>
      <c r="M36" s="192">
        <f t="shared" si="14"/>
        <v>3367400</v>
      </c>
      <c r="N36" s="278">
        <f t="shared" si="14"/>
        <v>743811.68000000017</v>
      </c>
      <c r="O36" s="35"/>
      <c r="P36" s="5"/>
      <c r="Q36" s="5"/>
    </row>
    <row r="37" spans="1:17" x14ac:dyDescent="0.2">
      <c r="A37" s="48"/>
      <c r="B37" s="52"/>
      <c r="C37" s="53"/>
      <c r="D37" s="54"/>
      <c r="E37" s="208"/>
      <c r="F37" s="208"/>
      <c r="G37" s="208"/>
      <c r="H37" s="208"/>
      <c r="I37" s="208"/>
      <c r="J37" s="208"/>
      <c r="K37" s="208"/>
      <c r="L37" s="208"/>
      <c r="M37" s="257"/>
      <c r="N37" s="275"/>
      <c r="O37" s="35"/>
      <c r="P37" s="5"/>
      <c r="Q37" s="5"/>
    </row>
    <row r="38" spans="1:17" s="10" customFormat="1" x14ac:dyDescent="0.2">
      <c r="A38" s="58"/>
      <c r="B38" s="44" t="s">
        <v>81</v>
      </c>
      <c r="C38" s="59"/>
      <c r="D38" s="60"/>
      <c r="E38" s="254"/>
      <c r="F38" s="254"/>
      <c r="G38" s="254"/>
      <c r="H38" s="254"/>
      <c r="I38" s="254"/>
      <c r="J38" s="254"/>
      <c r="K38" s="254"/>
      <c r="L38" s="209"/>
      <c r="M38" s="258"/>
      <c r="N38" s="276"/>
      <c r="O38" s="35"/>
    </row>
    <row r="39" spans="1:17" s="10" customFormat="1" outlineLevel="1" x14ac:dyDescent="0.2">
      <c r="A39" s="58"/>
      <c r="B39" s="63" t="s">
        <v>82</v>
      </c>
      <c r="C39" s="334">
        <f t="shared" ref="C39:D39" si="17">SUM(C40:C43)</f>
        <v>396669.0199999999</v>
      </c>
      <c r="D39" s="334">
        <f t="shared" si="17"/>
        <v>9281.5899999999983</v>
      </c>
      <c r="E39" s="191">
        <f t="shared" ref="E39:L39" si="18">SUM(E40:E43)</f>
        <v>9968.2666666666664</v>
      </c>
      <c r="F39" s="191">
        <f t="shared" si="18"/>
        <v>20998.266666666666</v>
      </c>
      <c r="G39" s="191">
        <f t="shared" si="18"/>
        <v>16468.266666666666</v>
      </c>
      <c r="H39" s="191">
        <f t="shared" si="18"/>
        <v>47434.8</v>
      </c>
      <c r="I39" s="191">
        <f t="shared" si="18"/>
        <v>495538.58999999997</v>
      </c>
      <c r="J39" s="191">
        <f t="shared" si="18"/>
        <v>11795.52</v>
      </c>
      <c r="K39" s="191">
        <f t="shared" ref="K39" si="19">SUM(K40:K43)</f>
        <v>0</v>
      </c>
      <c r="L39" s="211">
        <f t="shared" si="18"/>
        <v>960719.5199999999</v>
      </c>
      <c r="M39" s="193">
        <f>'QFR - B'!J24</f>
        <v>1431000</v>
      </c>
      <c r="N39" s="272">
        <f>M39-L39</f>
        <v>470280.4800000001</v>
      </c>
      <c r="O39" s="35"/>
    </row>
    <row r="40" spans="1:17" s="204" customFormat="1" outlineLevel="1" x14ac:dyDescent="0.2">
      <c r="A40" s="202"/>
      <c r="B40" s="203" t="s">
        <v>97</v>
      </c>
      <c r="C40" s="357">
        <v>351339.09999999992</v>
      </c>
      <c r="D40" s="357">
        <v>9149.119999999999</v>
      </c>
      <c r="E40" s="287">
        <v>7968.2666666666664</v>
      </c>
      <c r="F40" s="287">
        <v>17998.266666666666</v>
      </c>
      <c r="G40" s="287">
        <v>7968.2666666666664</v>
      </c>
      <c r="H40" s="287">
        <f>SUMIF('Contract level'!$A:$A,"="&amp;'DFP-Com'!$A38,'Contract level'!AS:AS)</f>
        <v>33934.800000000003</v>
      </c>
      <c r="I40" s="287">
        <f>SUMIF('Contract level'!$A:$A,"="&amp;'DFP-Com'!$A38,'Contract level'!AT:AT)</f>
        <v>286016.95999999996</v>
      </c>
      <c r="J40" s="287">
        <f>SUMIF('Contract level'!$A:$A,"="&amp;'DFP-Com'!$A38,'Contract level'!AU:AU)</f>
        <v>5795.52</v>
      </c>
      <c r="K40" s="287">
        <f>SUMIF('Contract level'!$A:$A,"="&amp;'DFP-Com'!$A38,'Contract level'!AV:AV)</f>
        <v>0</v>
      </c>
      <c r="L40" s="287">
        <f>SUM(H40:K40)+D40+C40</f>
        <v>686235.49999999988</v>
      </c>
      <c r="M40" s="259"/>
      <c r="N40" s="277"/>
      <c r="O40" s="35"/>
    </row>
    <row r="41" spans="1:17" s="204" customFormat="1" outlineLevel="1" x14ac:dyDescent="0.2">
      <c r="A41" s="202"/>
      <c r="B41" s="203" t="s">
        <v>98</v>
      </c>
      <c r="C41" s="357">
        <v>0</v>
      </c>
      <c r="D41" s="357">
        <v>0</v>
      </c>
      <c r="E41" s="287"/>
      <c r="F41" s="287"/>
      <c r="G41" s="287"/>
      <c r="H41" s="287">
        <f>SUMIF('Contract level'!$A:$A,"="&amp;'DFP-Com'!$A39,'Contract level'!AS:AS)</f>
        <v>0</v>
      </c>
      <c r="I41" s="287">
        <f>SUMIF('Contract level'!$A:$A,"="&amp;'DFP-Com'!$A39,'Contract level'!AT:AT)</f>
        <v>0</v>
      </c>
      <c r="J41" s="287">
        <f>SUMIF('Contract level'!$A:$A,"="&amp;'DFP-Com'!$A39,'Contract level'!AU:AU)</f>
        <v>0</v>
      </c>
      <c r="K41" s="287">
        <f>SUMIF('Contract level'!$A:$A,"="&amp;'DFP-Com'!$A39,'Contract level'!AV:AV)</f>
        <v>0</v>
      </c>
      <c r="L41" s="287">
        <f>SUM(H41:K41)+D41+C41</f>
        <v>0</v>
      </c>
      <c r="M41" s="259"/>
      <c r="N41" s="277"/>
      <c r="O41" s="35"/>
    </row>
    <row r="42" spans="1:17" s="204" customFormat="1" outlineLevel="1" x14ac:dyDescent="0.2">
      <c r="A42" s="202"/>
      <c r="B42" s="203" t="s">
        <v>99</v>
      </c>
      <c r="C42" s="357">
        <v>0</v>
      </c>
      <c r="D42" s="357">
        <v>0</v>
      </c>
      <c r="E42" s="287"/>
      <c r="F42" s="287"/>
      <c r="G42" s="287"/>
      <c r="H42" s="287">
        <f>SUMIF('Contract level'!$A:$A,"="&amp;'DFP-Com'!$A40,'Contract level'!AS:AS)</f>
        <v>0</v>
      </c>
      <c r="I42" s="287">
        <f>SUMIF('Contract level'!$A:$A,"="&amp;'DFP-Com'!$A40,'Contract level'!AT:AT)</f>
        <v>0</v>
      </c>
      <c r="J42" s="287">
        <f>SUMIF('Contract level'!$A:$A,"="&amp;'DFP-Com'!$A40,'Contract level'!AU:AU)</f>
        <v>0</v>
      </c>
      <c r="K42" s="287">
        <f>SUMIF('Contract level'!$A:$A,"="&amp;'DFP-Com'!$A40,'Contract level'!AV:AV)</f>
        <v>0</v>
      </c>
      <c r="L42" s="287">
        <f>SUM(H42:K42)+D42+C42</f>
        <v>0</v>
      </c>
      <c r="M42" s="259"/>
      <c r="N42" s="277"/>
      <c r="O42" s="35"/>
    </row>
    <row r="43" spans="1:17" s="204" customFormat="1" outlineLevel="1" x14ac:dyDescent="0.2">
      <c r="A43" s="202"/>
      <c r="B43" s="203" t="s">
        <v>109</v>
      </c>
      <c r="C43" s="357">
        <v>45329.919999999998</v>
      </c>
      <c r="D43" s="357">
        <v>132.47</v>
      </c>
      <c r="E43" s="287">
        <v>2000</v>
      </c>
      <c r="F43" s="287">
        <v>3000</v>
      </c>
      <c r="G43" s="287">
        <v>8500</v>
      </c>
      <c r="H43" s="287">
        <f>SUMIF('Contract level'!$A:$A,"="&amp;'DFP-Com'!$A41,'Contract level'!AS:AS)</f>
        <v>13500</v>
      </c>
      <c r="I43" s="287">
        <f>SUMIF('Contract level'!$A:$A,"="&amp;'DFP-Com'!$A41,'Contract level'!AT:AT)</f>
        <v>209521.63</v>
      </c>
      <c r="J43" s="287">
        <f>SUMIF('Contract level'!$A:$A,"="&amp;'DFP-Com'!$A41,'Contract level'!AU:AU)</f>
        <v>6000</v>
      </c>
      <c r="K43" s="287">
        <f>SUMIF('Contract level'!$A:$A,"="&amp;'DFP-Com'!$A41,'Contract level'!AV:AV)</f>
        <v>0</v>
      </c>
      <c r="L43" s="287">
        <f>SUM(H43:K43)+D43+C43</f>
        <v>274484.02</v>
      </c>
      <c r="M43" s="259"/>
      <c r="N43" s="277"/>
      <c r="O43" s="35"/>
    </row>
    <row r="44" spans="1:17" x14ac:dyDescent="0.2">
      <c r="A44" s="48"/>
      <c r="B44" s="57" t="s">
        <v>17</v>
      </c>
      <c r="C44" s="388">
        <f>C39</f>
        <v>396669.0199999999</v>
      </c>
      <c r="D44" s="388">
        <f>D39</f>
        <v>9281.5899999999983</v>
      </c>
      <c r="E44" s="192">
        <f t="shared" ref="E44:N44" si="20">E39</f>
        <v>9968.2666666666664</v>
      </c>
      <c r="F44" s="192">
        <f t="shared" si="20"/>
        <v>20998.266666666666</v>
      </c>
      <c r="G44" s="192">
        <f t="shared" si="20"/>
        <v>16468.266666666666</v>
      </c>
      <c r="H44" s="192">
        <f t="shared" ref="H44:J44" si="21">H39</f>
        <v>47434.8</v>
      </c>
      <c r="I44" s="192">
        <f t="shared" si="21"/>
        <v>495538.58999999997</v>
      </c>
      <c r="J44" s="192">
        <f t="shared" si="21"/>
        <v>11795.52</v>
      </c>
      <c r="K44" s="192">
        <f t="shared" ref="K44" si="22">K39</f>
        <v>0</v>
      </c>
      <c r="L44" s="192">
        <f t="shared" si="20"/>
        <v>960719.5199999999</v>
      </c>
      <c r="M44" s="260">
        <f t="shared" si="20"/>
        <v>1431000</v>
      </c>
      <c r="N44" s="278">
        <f t="shared" si="20"/>
        <v>470280.4800000001</v>
      </c>
      <c r="O44" s="35"/>
      <c r="P44" s="5"/>
      <c r="Q44" s="5"/>
    </row>
    <row r="45" spans="1:17" x14ac:dyDescent="0.2">
      <c r="A45" s="48"/>
      <c r="B45" s="52"/>
      <c r="C45" s="53"/>
      <c r="D45" s="54"/>
      <c r="E45" s="208"/>
      <c r="F45" s="208"/>
      <c r="G45" s="208"/>
      <c r="H45" s="208"/>
      <c r="I45" s="208"/>
      <c r="J45" s="208"/>
      <c r="K45" s="208"/>
      <c r="L45" s="208"/>
      <c r="M45" s="257"/>
      <c r="N45" s="275"/>
      <c r="O45" s="35"/>
      <c r="P45" s="5"/>
      <c r="Q45" s="5"/>
    </row>
    <row r="46" spans="1:17" s="10" customFormat="1" x14ac:dyDescent="0.2">
      <c r="A46" s="58"/>
      <c r="B46" s="44" t="s">
        <v>75</v>
      </c>
      <c r="C46" s="59"/>
      <c r="D46" s="60"/>
      <c r="E46" s="254"/>
      <c r="F46" s="254"/>
      <c r="G46" s="254"/>
      <c r="H46" s="254"/>
      <c r="I46" s="254"/>
      <c r="J46" s="254"/>
      <c r="K46" s="254"/>
      <c r="L46" s="209"/>
      <c r="M46" s="258"/>
      <c r="N46" s="276"/>
      <c r="O46" s="35"/>
    </row>
    <row r="47" spans="1:17" outlineLevel="1" x14ac:dyDescent="0.2">
      <c r="A47" s="48"/>
      <c r="B47" s="64" t="s">
        <v>84</v>
      </c>
      <c r="C47" s="334">
        <f t="shared" ref="C47:G47" si="23">SUM(C48:C51)</f>
        <v>791065.15000000026</v>
      </c>
      <c r="D47" s="334">
        <f t="shared" si="23"/>
        <v>93192.39</v>
      </c>
      <c r="E47" s="191">
        <f t="shared" si="23"/>
        <v>38002.980000000003</v>
      </c>
      <c r="F47" s="191">
        <f t="shared" si="23"/>
        <v>34601.54</v>
      </c>
      <c r="G47" s="191">
        <f t="shared" si="23"/>
        <v>42002.98</v>
      </c>
      <c r="H47" s="191">
        <f t="shared" ref="H47:J47" si="24">SUM(H48:H51)</f>
        <v>114607.50000000001</v>
      </c>
      <c r="I47" s="191">
        <f t="shared" si="24"/>
        <v>145311.21999999994</v>
      </c>
      <c r="J47" s="191">
        <f t="shared" si="24"/>
        <v>326209.71999999997</v>
      </c>
      <c r="K47" s="191">
        <f t="shared" ref="K47" si="25">SUM(K48:K51)</f>
        <v>0</v>
      </c>
      <c r="L47" s="211">
        <f>SUM(L48:L51)</f>
        <v>1470385.9800000002</v>
      </c>
      <c r="M47" s="193">
        <f>'QFR - B'!J27</f>
        <v>1511000</v>
      </c>
      <c r="N47" s="272">
        <f>M47-L47</f>
        <v>40614.019999999786</v>
      </c>
      <c r="O47" s="409"/>
      <c r="P47" s="5"/>
      <c r="Q47" s="5"/>
    </row>
    <row r="48" spans="1:17" s="199" customFormat="1" ht="12.75" customHeight="1" outlineLevel="1" x14ac:dyDescent="0.2">
      <c r="A48" s="198"/>
      <c r="B48" s="207" t="s">
        <v>119</v>
      </c>
      <c r="C48" s="357">
        <v>603947.89000000025</v>
      </c>
      <c r="D48" s="357">
        <v>77115.360000000001</v>
      </c>
      <c r="E48" s="287">
        <v>27284.880000000001</v>
      </c>
      <c r="F48" s="287">
        <v>29883.439999999999</v>
      </c>
      <c r="G48" s="287">
        <v>27284.880000000001</v>
      </c>
      <c r="H48" s="287">
        <f>SUMIF('Contract level'!$A:$A,"="&amp;'DFP-Com'!$A46,'Contract level'!AS:AS)</f>
        <v>84453.200000000012</v>
      </c>
      <c r="I48" s="287">
        <f>SUMIF('Contract level'!$A:$A,"="&amp;'DFP-Com'!$A46,'Contract level'!AT:AT)</f>
        <v>82152.56</v>
      </c>
      <c r="J48" s="287">
        <f>SUMIF('Contract level'!$A:$A,"="&amp;'DFP-Com'!$A46,'Contract level'!AU:AU)</f>
        <v>180805.32</v>
      </c>
      <c r="K48" s="287">
        <f>SUMIF('Contract level'!$A:$A,"="&amp;'DFP-Com'!$A46,'Contract level'!AV:AV)</f>
        <v>0</v>
      </c>
      <c r="L48" s="196">
        <f>SUM(H48:K48)+D48+C48</f>
        <v>1028474.3300000003</v>
      </c>
      <c r="M48" s="259"/>
      <c r="N48" s="273"/>
      <c r="O48" s="409"/>
    </row>
    <row r="49" spans="1:17" s="199" customFormat="1" outlineLevel="1" x14ac:dyDescent="0.2">
      <c r="A49" s="198"/>
      <c r="B49" s="207" t="s">
        <v>120</v>
      </c>
      <c r="C49" s="357">
        <v>48629.760000000002</v>
      </c>
      <c r="D49" s="357">
        <v>70</v>
      </c>
      <c r="E49" s="287">
        <v>0</v>
      </c>
      <c r="F49" s="287">
        <v>0</v>
      </c>
      <c r="G49" s="287">
        <v>2000</v>
      </c>
      <c r="H49" s="287">
        <f>SUMIF('Contract level'!$A:$A,"="&amp;'DFP-Com'!$A47,'Contract level'!AS:AS)</f>
        <v>2000</v>
      </c>
      <c r="I49" s="287">
        <f>SUMIF('Contract level'!$A:$A,"="&amp;'DFP-Com'!$A47,'Contract level'!AT:AT)</f>
        <v>24696.46</v>
      </c>
      <c r="J49" s="287">
        <f>SUMIF('Contract level'!$A:$A,"="&amp;'DFP-Com'!$A47,'Contract level'!AU:AU)</f>
        <v>2673.78</v>
      </c>
      <c r="K49" s="287">
        <f>SUMIF('Contract level'!$A:$A,"="&amp;'DFP-Com'!$A47,'Contract level'!AV:AV)</f>
        <v>0</v>
      </c>
      <c r="L49" s="287">
        <f>SUM(H49:K49)+D49+C49</f>
        <v>78070</v>
      </c>
      <c r="M49" s="259"/>
      <c r="N49" s="277"/>
      <c r="O49" s="409"/>
    </row>
    <row r="50" spans="1:17" s="199" customFormat="1" outlineLevel="1" x14ac:dyDescent="0.2">
      <c r="A50" s="198"/>
      <c r="B50" s="207" t="s">
        <v>121</v>
      </c>
      <c r="C50" s="357">
        <v>73000</v>
      </c>
      <c r="D50" s="357">
        <v>6000</v>
      </c>
      <c r="E50" s="287">
        <v>6000</v>
      </c>
      <c r="F50" s="287">
        <v>0</v>
      </c>
      <c r="G50" s="287">
        <v>6000</v>
      </c>
      <c r="H50" s="287">
        <f>SUMIF('Contract level'!$A:$A,"="&amp;'DFP-Com'!$A48,'Contract level'!AS:AS)</f>
        <v>12000</v>
      </c>
      <c r="I50" s="287">
        <f>SUMIF('Contract level'!$A:$A,"="&amp;'DFP-Com'!$A48,'Contract level'!AT:AT)</f>
        <v>18999.99999999996</v>
      </c>
      <c r="J50" s="287">
        <f>SUMIF('Contract level'!$A:$A,"="&amp;'DFP-Com'!$A48,'Contract level'!AU:AU)</f>
        <v>10000</v>
      </c>
      <c r="K50" s="287">
        <f>SUMIF('Contract level'!$A:$A,"="&amp;'DFP-Com'!$A48,'Contract level'!AV:AV)</f>
        <v>0</v>
      </c>
      <c r="L50" s="287">
        <f>SUM(H50:K50)+D50+C50</f>
        <v>119999.99999999996</v>
      </c>
      <c r="M50" s="259"/>
      <c r="N50" s="277"/>
      <c r="O50" s="409"/>
    </row>
    <row r="51" spans="1:17" s="199" customFormat="1" outlineLevel="1" x14ac:dyDescent="0.2">
      <c r="A51" s="198"/>
      <c r="B51" s="207" t="s">
        <v>122</v>
      </c>
      <c r="C51" s="357">
        <v>65487.500000000007</v>
      </c>
      <c r="D51" s="357">
        <f>10076.05-69.02</f>
        <v>10007.029999999999</v>
      </c>
      <c r="E51" s="287">
        <v>4718.1000000000004</v>
      </c>
      <c r="F51" s="287">
        <v>4718.1000000000004</v>
      </c>
      <c r="G51" s="287">
        <v>6718.1</v>
      </c>
      <c r="H51" s="287">
        <f>SUMIF('Contract level'!$A:$A,"="&amp;'DFP-Com'!$A49,'Contract level'!AS:AS)</f>
        <v>16154.3</v>
      </c>
      <c r="I51" s="287">
        <f>SUMIF('Contract level'!$A:$A,"="&amp;'DFP-Com'!$A49,'Contract level'!AT:AT)</f>
        <v>19462.2</v>
      </c>
      <c r="J51" s="287">
        <f>SUMIF('Contract level'!$A:$A,"="&amp;'DFP-Com'!$A49,'Contract level'!AU:AU)</f>
        <v>132730.62</v>
      </c>
      <c r="K51" s="287">
        <f>SUMIF('Contract level'!$A:$A,"="&amp;'DFP-Com'!$A49,'Contract level'!AV:AV)</f>
        <v>0</v>
      </c>
      <c r="L51" s="287">
        <f>SUM(H51:K51)+D51+C51</f>
        <v>243841.65</v>
      </c>
      <c r="M51" s="259"/>
      <c r="N51" s="277"/>
      <c r="O51" s="409"/>
    </row>
    <row r="52" spans="1:17" s="10" customFormat="1" x14ac:dyDescent="0.2">
      <c r="B52" s="65" t="s">
        <v>83</v>
      </c>
      <c r="C52" s="388">
        <f t="shared" ref="C52:N52" si="26">C47</f>
        <v>791065.15000000026</v>
      </c>
      <c r="D52" s="388">
        <f t="shared" si="26"/>
        <v>93192.39</v>
      </c>
      <c r="E52" s="192">
        <f t="shared" si="26"/>
        <v>38002.980000000003</v>
      </c>
      <c r="F52" s="192">
        <f t="shared" si="26"/>
        <v>34601.54</v>
      </c>
      <c r="G52" s="192">
        <f t="shared" si="26"/>
        <v>42002.98</v>
      </c>
      <c r="H52" s="192">
        <f t="shared" ref="H52:J52" si="27">H47</f>
        <v>114607.50000000001</v>
      </c>
      <c r="I52" s="192">
        <f t="shared" si="27"/>
        <v>145311.21999999994</v>
      </c>
      <c r="J52" s="192">
        <f t="shared" si="27"/>
        <v>326209.71999999997</v>
      </c>
      <c r="K52" s="192">
        <f t="shared" ref="K52" si="28">K47</f>
        <v>0</v>
      </c>
      <c r="L52" s="192">
        <f t="shared" si="26"/>
        <v>1470385.9800000002</v>
      </c>
      <c r="M52" s="260">
        <f t="shared" si="26"/>
        <v>1511000</v>
      </c>
      <c r="N52" s="278">
        <f t="shared" si="26"/>
        <v>40614.019999999786</v>
      </c>
      <c r="O52" s="409"/>
    </row>
    <row r="53" spans="1:17" x14ac:dyDescent="0.2">
      <c r="A53" s="5"/>
      <c r="B53" s="52"/>
      <c r="C53" s="53"/>
      <c r="D53" s="54"/>
      <c r="E53" s="208"/>
      <c r="F53" s="208"/>
      <c r="G53" s="208"/>
      <c r="H53" s="208"/>
      <c r="I53" s="208"/>
      <c r="J53" s="208"/>
      <c r="K53" s="208"/>
      <c r="L53" s="210"/>
      <c r="M53" s="257"/>
      <c r="N53" s="279"/>
      <c r="O53" s="409"/>
      <c r="P53" s="5"/>
      <c r="Q53" s="5"/>
    </row>
    <row r="54" spans="1:17" s="215" customFormat="1" ht="17.25" thickBot="1" x14ac:dyDescent="0.3">
      <c r="B54" s="219" t="s">
        <v>115</v>
      </c>
      <c r="C54" s="317">
        <f t="shared" ref="C54:N54" si="29">C52+C44+C36+C27</f>
        <v>18690575.630000003</v>
      </c>
      <c r="D54" s="317">
        <f t="shared" si="29"/>
        <v>1269295.7703088734</v>
      </c>
      <c r="E54" s="216">
        <f t="shared" si="29"/>
        <v>594591.00666666671</v>
      </c>
      <c r="F54" s="216">
        <f t="shared" si="29"/>
        <v>173026.60666666669</v>
      </c>
      <c r="G54" s="216">
        <f>G52+G44+G36+G27</f>
        <v>597540.83666666667</v>
      </c>
      <c r="H54" s="216">
        <f t="shared" ref="H54:J54" si="30">H52+H44+H36+H27</f>
        <v>1365158.4539250007</v>
      </c>
      <c r="I54" s="216">
        <f t="shared" si="30"/>
        <v>3167404.2349999994</v>
      </c>
      <c r="J54" s="216">
        <f t="shared" si="30"/>
        <v>533939.27701817534</v>
      </c>
      <c r="K54" s="216">
        <f t="shared" ref="K54" si="31">K52+K44+K36+K27</f>
        <v>0</v>
      </c>
      <c r="L54" s="216">
        <f t="shared" si="29"/>
        <v>25026373.36625205</v>
      </c>
      <c r="M54" s="216">
        <f t="shared" si="29"/>
        <v>26197500</v>
      </c>
      <c r="N54" s="280">
        <f t="shared" si="29"/>
        <v>1171126.6337479497</v>
      </c>
      <c r="O54" s="35"/>
    </row>
    <row r="55" spans="1:17" ht="13.5" thickTop="1" x14ac:dyDescent="0.2">
      <c r="B55" s="7" t="s">
        <v>117</v>
      </c>
      <c r="O55" s="367"/>
      <c r="P55" s="204"/>
    </row>
    <row r="56" spans="1:17" x14ac:dyDescent="0.2">
      <c r="B56" s="67" t="s">
        <v>118</v>
      </c>
      <c r="N56" s="387"/>
      <c r="O56" s="367"/>
    </row>
    <row r="57" spans="1:17" x14ac:dyDescent="0.2">
      <c r="B57" s="7"/>
      <c r="N57" s="387"/>
      <c r="O57" s="367"/>
      <c r="P57" s="204"/>
    </row>
    <row r="58" spans="1:17" x14ac:dyDescent="0.2">
      <c r="B58" s="7"/>
      <c r="C58" s="264"/>
      <c r="O58" s="185"/>
    </row>
    <row r="59" spans="1:17" x14ac:dyDescent="0.2">
      <c r="B59" s="7"/>
      <c r="C59" s="264"/>
      <c r="N59" s="488"/>
      <c r="O59" s="185"/>
    </row>
    <row r="60" spans="1:17" x14ac:dyDescent="0.2">
      <c r="B60" s="7"/>
      <c r="O60" s="185"/>
    </row>
    <row r="61" spans="1:17" x14ac:dyDescent="0.2">
      <c r="B61" s="7"/>
      <c r="O61" s="185"/>
    </row>
    <row r="62" spans="1:17" x14ac:dyDescent="0.2">
      <c r="B62" s="7"/>
      <c r="O62" s="185"/>
    </row>
    <row r="63" spans="1:17" x14ac:dyDescent="0.2">
      <c r="B63" s="7"/>
      <c r="O63" s="185"/>
    </row>
    <row r="64" spans="1:17" x14ac:dyDescent="0.2">
      <c r="B64" s="7"/>
      <c r="O64" s="185"/>
    </row>
    <row r="65" spans="2:15" x14ac:dyDescent="0.2">
      <c r="B65" s="7"/>
      <c r="O65" s="185"/>
    </row>
    <row r="66" spans="2:15" x14ac:dyDescent="0.2">
      <c r="B66" s="7"/>
      <c r="O66" s="185"/>
    </row>
    <row r="67" spans="2:15" x14ac:dyDescent="0.2">
      <c r="B67" s="7"/>
      <c r="O67" s="185"/>
    </row>
    <row r="68" spans="2:15" x14ac:dyDescent="0.2">
      <c r="B68" s="7"/>
      <c r="O68" s="185"/>
    </row>
    <row r="69" spans="2:15" x14ac:dyDescent="0.2">
      <c r="B69" s="7"/>
      <c r="O69" s="185"/>
    </row>
    <row r="70" spans="2:15" x14ac:dyDescent="0.2">
      <c r="D70" s="387"/>
      <c r="O70" s="185"/>
    </row>
    <row r="71" spans="2:15" x14ac:dyDescent="0.2">
      <c r="O71" s="185"/>
    </row>
    <row r="72" spans="2:15" x14ac:dyDescent="0.2">
      <c r="O72" s="185"/>
    </row>
    <row r="73" spans="2:15" x14ac:dyDescent="0.2">
      <c r="O73" s="185"/>
    </row>
    <row r="74" spans="2:15" x14ac:dyDescent="0.2">
      <c r="O74" s="185"/>
    </row>
    <row r="75" spans="2:15" x14ac:dyDescent="0.2">
      <c r="O75" s="185"/>
    </row>
    <row r="76" spans="2:15" x14ac:dyDescent="0.2">
      <c r="O76" s="185"/>
    </row>
    <row r="77" spans="2:15" x14ac:dyDescent="0.2">
      <c r="O77" s="185"/>
    </row>
    <row r="78" spans="2:15" x14ac:dyDescent="0.2">
      <c r="O78" s="185"/>
    </row>
    <row r="79" spans="2:15" x14ac:dyDescent="0.2">
      <c r="O79" s="185"/>
    </row>
    <row r="80" spans="2:15" x14ac:dyDescent="0.2">
      <c r="O80" s="185"/>
    </row>
    <row r="81" spans="15:15" x14ac:dyDescent="0.2">
      <c r="O81" s="185"/>
    </row>
    <row r="82" spans="15:15" x14ac:dyDescent="0.2">
      <c r="O82" s="185"/>
    </row>
    <row r="83" spans="15:15" x14ac:dyDescent="0.2">
      <c r="O83" s="185"/>
    </row>
    <row r="84" spans="15:15" x14ac:dyDescent="0.2">
      <c r="O84" s="185"/>
    </row>
    <row r="85" spans="15:15" x14ac:dyDescent="0.2">
      <c r="O85" s="185"/>
    </row>
  </sheetData>
  <mergeCells count="6">
    <mergeCell ref="N12:N13"/>
    <mergeCell ref="B11:B12"/>
    <mergeCell ref="L12:L13"/>
    <mergeCell ref="M12:M13"/>
    <mergeCell ref="E12:G12"/>
    <mergeCell ref="E11:G11"/>
  </mergeCells>
  <phoneticPr fontId="28" type="noConversion"/>
  <pageMargins left="0.70866141732283472" right="0.70866141732283472" top="0.74803149606299213" bottom="0.74803149606299213" header="0.31496062992125984" footer="0.31496062992125984"/>
  <pageSetup scale="43" orientation="landscape" r:id="rId1"/>
  <ignoredErrors>
    <ignoredError sqref="L2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I38"/>
  <sheetViews>
    <sheetView showGridLines="0" zoomScale="74" zoomScaleNormal="74" zoomScalePageLayoutView="85" workbookViewId="0">
      <pane ySplit="13" topLeftCell="A14" activePane="bottomLeft" state="frozen"/>
      <selection pane="bottomLeft" activeCell="B14" sqref="B14:G14"/>
    </sheetView>
  </sheetViews>
  <sheetFormatPr baseColWidth="10" defaultColWidth="9.140625" defaultRowHeight="15" x14ac:dyDescent="0.2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8" max="8" width="11.7109375" customWidth="1"/>
    <col min="9" max="9" width="13" bestFit="1" customWidth="1"/>
  </cols>
  <sheetData>
    <row r="1" spans="2:9" x14ac:dyDescent="0.25">
      <c r="B1" s="71" t="s">
        <v>21</v>
      </c>
      <c r="C1" s="72"/>
      <c r="D1" s="72"/>
      <c r="E1" s="72"/>
      <c r="F1" s="72"/>
      <c r="G1" s="73"/>
    </row>
    <row r="2" spans="2:9" x14ac:dyDescent="0.25">
      <c r="B2" s="74"/>
      <c r="C2" s="75" t="s">
        <v>1</v>
      </c>
      <c r="D2" s="148" t="s">
        <v>63</v>
      </c>
      <c r="E2" s="77"/>
      <c r="F2" s="78"/>
      <c r="G2" s="79"/>
    </row>
    <row r="3" spans="2:9" x14ac:dyDescent="0.25">
      <c r="B3" s="74"/>
      <c r="C3" s="75" t="s">
        <v>2</v>
      </c>
      <c r="D3" s="171" t="s">
        <v>64</v>
      </c>
      <c r="E3" s="77"/>
      <c r="F3" s="78"/>
      <c r="G3" s="79"/>
    </row>
    <row r="4" spans="2:9" x14ac:dyDescent="0.25">
      <c r="B4" s="74"/>
      <c r="C4" s="75" t="s">
        <v>3</v>
      </c>
      <c r="D4" s="171" t="str">
        <f>'THP DR'!B7</f>
        <v>TR14GTM15001</v>
      </c>
      <c r="E4" s="77"/>
      <c r="F4" s="78"/>
      <c r="G4" s="79"/>
    </row>
    <row r="5" spans="2:9" x14ac:dyDescent="0.25">
      <c r="B5" s="74"/>
      <c r="C5" s="75" t="s">
        <v>4</v>
      </c>
      <c r="D5" s="172">
        <v>44041</v>
      </c>
      <c r="E5" s="77"/>
      <c r="F5" s="78"/>
      <c r="G5" s="79"/>
    </row>
    <row r="6" spans="2:9" ht="15.75" thickBot="1" x14ac:dyDescent="0.3">
      <c r="B6" s="81"/>
      <c r="C6" s="82"/>
      <c r="D6" s="83"/>
      <c r="E6" s="82"/>
      <c r="F6" s="83"/>
      <c r="G6" s="84"/>
    </row>
    <row r="7" spans="2:9" x14ac:dyDescent="0.25">
      <c r="B7" s="85" t="s">
        <v>22</v>
      </c>
      <c r="C7" s="86"/>
      <c r="D7" s="86"/>
      <c r="E7" s="86"/>
      <c r="F7" s="86"/>
      <c r="G7" s="87"/>
      <c r="H7" s="88"/>
    </row>
    <row r="8" spans="2:9" x14ac:dyDescent="0.25">
      <c r="B8" s="89" t="str">
        <f>"Disbursement Period:"&amp; TEXT('THP DR'!B11,"dd-mmm-yy")&amp;" to "&amp;TEXT('THP DR'!B12,"dd-mmm-yy")</f>
        <v>Disbursement Period:01-jul-20 to 30-sep-20</v>
      </c>
      <c r="C8" s="90"/>
      <c r="D8" s="90"/>
      <c r="E8" s="90"/>
      <c r="F8" s="90"/>
      <c r="G8" s="91"/>
      <c r="H8" s="88"/>
    </row>
    <row r="9" spans="2:9" s="97" customFormat="1" ht="12.75" x14ac:dyDescent="0.2">
      <c r="B9" s="92" t="s">
        <v>23</v>
      </c>
      <c r="C9" s="93"/>
      <c r="D9" s="93"/>
      <c r="E9" s="94"/>
      <c r="F9" s="94"/>
      <c r="G9" s="95"/>
      <c r="H9" s="96"/>
    </row>
    <row r="10" spans="2:9" ht="15.75" thickBot="1" x14ac:dyDescent="0.3">
      <c r="B10" s="98" t="s">
        <v>410</v>
      </c>
      <c r="C10" s="99"/>
      <c r="D10" s="99"/>
      <c r="E10" s="99"/>
      <c r="F10" s="99"/>
      <c r="G10" s="100"/>
      <c r="H10" s="88"/>
    </row>
    <row r="11" spans="2:9" ht="52.5" customHeight="1" thickBot="1" x14ac:dyDescent="0.3">
      <c r="B11" s="101"/>
      <c r="C11" s="102" t="s">
        <v>24</v>
      </c>
      <c r="D11" s="103" t="s">
        <v>25</v>
      </c>
      <c r="E11" s="505" t="s">
        <v>26</v>
      </c>
      <c r="F11" s="506"/>
      <c r="G11" s="104" t="s">
        <v>27</v>
      </c>
      <c r="H11" s="88"/>
    </row>
    <row r="12" spans="2:9" ht="23.25" x14ac:dyDescent="0.25">
      <c r="B12" s="105" t="s">
        <v>72</v>
      </c>
      <c r="C12" s="106"/>
      <c r="D12" s="107" t="s">
        <v>28</v>
      </c>
      <c r="E12" s="108" t="s">
        <v>29</v>
      </c>
      <c r="F12" s="109" t="s">
        <v>30</v>
      </c>
      <c r="G12" s="110" t="s">
        <v>31</v>
      </c>
      <c r="H12" s="88"/>
    </row>
    <row r="13" spans="2:9" s="97" customFormat="1" ht="13.5" thickBot="1" x14ac:dyDescent="0.25">
      <c r="B13" s="111" t="s">
        <v>80</v>
      </c>
      <c r="C13" s="112">
        <v>1</v>
      </c>
      <c r="D13" s="112">
        <v>2</v>
      </c>
      <c r="E13" s="112">
        <v>3</v>
      </c>
      <c r="F13" s="112">
        <v>4</v>
      </c>
      <c r="G13" s="113">
        <v>5</v>
      </c>
      <c r="H13" s="96"/>
    </row>
    <row r="14" spans="2:9" s="97" customFormat="1" x14ac:dyDescent="0.25">
      <c r="B14" s="507"/>
      <c r="C14" s="508"/>
      <c r="D14" s="508"/>
      <c r="E14" s="508"/>
      <c r="F14" s="508"/>
      <c r="G14" s="509"/>
      <c r="H14" s="96"/>
    </row>
    <row r="15" spans="2:9" s="97" customFormat="1" ht="26.45" customHeight="1" x14ac:dyDescent="0.2">
      <c r="B15" s="154" t="s">
        <v>67</v>
      </c>
      <c r="C15" s="173">
        <f>SUM(C16:C18)</f>
        <v>19700000</v>
      </c>
      <c r="D15" s="177">
        <f>SUM(D16:D18)</f>
        <v>19888100</v>
      </c>
      <c r="E15" s="173">
        <f>SUM(E16:E18)</f>
        <v>175000</v>
      </c>
      <c r="F15" s="173">
        <f>SUM(F16:F18)</f>
        <v>0</v>
      </c>
      <c r="G15" s="177">
        <f t="shared" ref="G15:G18" si="0">+D15+E15-F15</f>
        <v>20063100</v>
      </c>
      <c r="H15" s="96"/>
      <c r="I15" s="234"/>
    </row>
    <row r="16" spans="2:9" s="97" customFormat="1" ht="25.5" x14ac:dyDescent="0.2">
      <c r="B16" s="164" t="s">
        <v>68</v>
      </c>
      <c r="C16" s="163">
        <v>12000000</v>
      </c>
      <c r="D16" s="178">
        <f>'QFR - B'!J15</f>
        <v>12000000</v>
      </c>
      <c r="E16" s="174"/>
      <c r="F16" s="174">
        <v>0</v>
      </c>
      <c r="G16" s="178">
        <f t="shared" si="0"/>
        <v>12000000</v>
      </c>
      <c r="H16" s="96"/>
      <c r="I16" s="234" t="s">
        <v>100</v>
      </c>
    </row>
    <row r="17" spans="2:9" ht="45" customHeight="1" x14ac:dyDescent="0.25">
      <c r="B17" s="164" t="s">
        <v>69</v>
      </c>
      <c r="C17" s="163">
        <v>4700000</v>
      </c>
      <c r="D17" s="178">
        <f>'QFR - B'!J16</f>
        <v>4790000</v>
      </c>
      <c r="E17" s="174">
        <v>0</v>
      </c>
      <c r="F17" s="174"/>
      <c r="G17" s="178">
        <f t="shared" si="0"/>
        <v>4790000</v>
      </c>
    </row>
    <row r="18" spans="2:9" ht="25.5" x14ac:dyDescent="0.25">
      <c r="B18" s="164" t="s">
        <v>70</v>
      </c>
      <c r="C18" s="163">
        <v>3000000</v>
      </c>
      <c r="D18" s="178">
        <f>'QFR - B'!J17</f>
        <v>3098100</v>
      </c>
      <c r="E18" s="174">
        <v>175000</v>
      </c>
      <c r="F18" s="174"/>
      <c r="G18" s="178">
        <f t="shared" si="0"/>
        <v>3273100</v>
      </c>
    </row>
    <row r="19" spans="2:9" x14ac:dyDescent="0.25">
      <c r="B19" s="165"/>
      <c r="C19" s="163"/>
      <c r="D19" s="178"/>
      <c r="E19" s="174"/>
      <c r="F19" s="174"/>
      <c r="G19" s="178"/>
    </row>
    <row r="20" spans="2:9" ht="25.5" x14ac:dyDescent="0.25">
      <c r="B20" s="166" t="s">
        <v>73</v>
      </c>
      <c r="C20" s="158">
        <f>SUM(C21:C22)</f>
        <v>4000000</v>
      </c>
      <c r="D20" s="179">
        <f>SUM(D21:D22)</f>
        <v>3367400</v>
      </c>
      <c r="E20" s="158">
        <f>SUM(E21:E22)</f>
        <v>0</v>
      </c>
      <c r="F20" s="158">
        <f>SUM(F21:F22)</f>
        <v>175000</v>
      </c>
      <c r="G20" s="179">
        <f>+D20+E20-F20</f>
        <v>3192400</v>
      </c>
      <c r="I20" s="240"/>
    </row>
    <row r="21" spans="2:9" ht="25.5" x14ac:dyDescent="0.25">
      <c r="B21" s="164" t="s">
        <v>76</v>
      </c>
      <c r="C21" s="163">
        <v>0</v>
      </c>
      <c r="D21" s="178">
        <f>'QFR - B'!J20</f>
        <v>1215000</v>
      </c>
      <c r="E21" s="174">
        <v>0</v>
      </c>
      <c r="F21" s="174"/>
      <c r="G21" s="178">
        <f>+D21+E21-F21</f>
        <v>1215000</v>
      </c>
    </row>
    <row r="22" spans="2:9" ht="25.5" x14ac:dyDescent="0.25">
      <c r="B22" s="164" t="s">
        <v>77</v>
      </c>
      <c r="C22" s="163">
        <v>4000000</v>
      </c>
      <c r="D22" s="178">
        <f>'QFR - B'!J21</f>
        <v>2152400</v>
      </c>
      <c r="E22" s="174">
        <v>0</v>
      </c>
      <c r="F22" s="174">
        <v>175000</v>
      </c>
      <c r="G22" s="178">
        <f>+D22+E22-F22</f>
        <v>1977400</v>
      </c>
    </row>
    <row r="23" spans="2:9" x14ac:dyDescent="0.25">
      <c r="B23" s="165"/>
      <c r="C23" s="163"/>
      <c r="D23" s="180"/>
      <c r="E23" s="174"/>
      <c r="F23" s="174"/>
      <c r="G23" s="180"/>
      <c r="H23" s="240"/>
    </row>
    <row r="24" spans="2:9" ht="26.45" customHeight="1" x14ac:dyDescent="0.25">
      <c r="B24" s="155" t="s">
        <v>74</v>
      </c>
      <c r="C24" s="158">
        <f>SUM(C25)</f>
        <v>1700000</v>
      </c>
      <c r="D24" s="179">
        <f t="shared" ref="D24:G24" si="1">SUM(D25)</f>
        <v>1431000</v>
      </c>
      <c r="E24" s="158">
        <f t="shared" si="1"/>
        <v>0</v>
      </c>
      <c r="F24" s="158">
        <f t="shared" si="1"/>
        <v>0</v>
      </c>
      <c r="G24" s="179">
        <f t="shared" si="1"/>
        <v>1431000</v>
      </c>
      <c r="I24" s="240"/>
    </row>
    <row r="25" spans="2:9" ht="26.45" customHeight="1" x14ac:dyDescent="0.25">
      <c r="B25" s="170" t="s">
        <v>78</v>
      </c>
      <c r="C25" s="163">
        <v>1700000</v>
      </c>
      <c r="D25" s="178">
        <f>'QFR - B'!J24</f>
        <v>1431000</v>
      </c>
      <c r="E25" s="174"/>
      <c r="F25" s="174">
        <v>0</v>
      </c>
      <c r="G25" s="178">
        <f>+D25+E25-F25</f>
        <v>1431000</v>
      </c>
    </row>
    <row r="26" spans="2:9" x14ac:dyDescent="0.25">
      <c r="B26" s="165"/>
      <c r="C26" s="163"/>
      <c r="D26" s="180"/>
      <c r="E26" s="174"/>
      <c r="F26" s="174"/>
      <c r="G26" s="180"/>
    </row>
    <row r="27" spans="2:9" ht="26.45" customHeight="1" x14ac:dyDescent="0.25">
      <c r="B27" s="155" t="s">
        <v>75</v>
      </c>
      <c r="C27" s="158">
        <f>SUM(C28)</f>
        <v>800000</v>
      </c>
      <c r="D27" s="179">
        <f t="shared" ref="D27:G27" si="2">SUM(D28)</f>
        <v>1511000</v>
      </c>
      <c r="E27" s="158">
        <f t="shared" si="2"/>
        <v>0</v>
      </c>
      <c r="F27" s="158">
        <f t="shared" si="2"/>
        <v>0</v>
      </c>
      <c r="G27" s="179">
        <f t="shared" si="2"/>
        <v>1511000</v>
      </c>
      <c r="I27" s="240"/>
    </row>
    <row r="28" spans="2:9" ht="26.45" customHeight="1" x14ac:dyDescent="0.25">
      <c r="B28" s="170" t="s">
        <v>79</v>
      </c>
      <c r="C28" s="163">
        <v>800000</v>
      </c>
      <c r="D28" s="178">
        <f>'QFR - B'!J27</f>
        <v>1511000</v>
      </c>
      <c r="E28" s="174">
        <v>0</v>
      </c>
      <c r="F28" s="174">
        <v>0</v>
      </c>
      <c r="G28" s="178">
        <f>+D28+E28-F28</f>
        <v>1511000</v>
      </c>
    </row>
    <row r="29" spans="2:9" ht="15.75" thickBot="1" x14ac:dyDescent="0.3">
      <c r="B29" s="168"/>
      <c r="C29" s="175"/>
      <c r="D29" s="181"/>
      <c r="E29" s="175"/>
      <c r="F29" s="175"/>
      <c r="G29" s="181"/>
    </row>
    <row r="30" spans="2:9" ht="26.45" customHeight="1" thickBot="1" x14ac:dyDescent="0.3">
      <c r="B30" s="169" t="s">
        <v>32</v>
      </c>
      <c r="C30" s="176">
        <f>+C15+C20+C24+C27</f>
        <v>26200000</v>
      </c>
      <c r="D30" s="176">
        <f>+D15+D20+D24+D27</f>
        <v>26197500</v>
      </c>
      <c r="E30" s="176">
        <f>+E15+E20+E24+E27</f>
        <v>175000</v>
      </c>
      <c r="F30" s="176">
        <f>+F15+F20+F24+F27</f>
        <v>175000</v>
      </c>
      <c r="G30" s="182">
        <f>+G15+G20+G24+G27</f>
        <v>26197500</v>
      </c>
      <c r="I30" s="241"/>
    </row>
    <row r="31" spans="2:9" x14ac:dyDescent="0.25">
      <c r="B31" t="s">
        <v>234</v>
      </c>
    </row>
    <row r="33" spans="2:7" x14ac:dyDescent="0.25">
      <c r="B33" s="212" t="s">
        <v>105</v>
      </c>
      <c r="C33" s="213"/>
      <c r="D33" s="213"/>
      <c r="E33" s="213"/>
      <c r="F33" s="213"/>
      <c r="G33" s="214"/>
    </row>
    <row r="34" spans="2:7" ht="25.5" x14ac:dyDescent="0.25">
      <c r="B34" s="166" t="s">
        <v>73</v>
      </c>
      <c r="C34" s="158">
        <f>SUM(C35)</f>
        <v>1800000</v>
      </c>
      <c r="D34" s="158">
        <f>SUM(D35)</f>
        <v>1800000</v>
      </c>
      <c r="E34" s="158">
        <f>E35</f>
        <v>0</v>
      </c>
      <c r="F34" s="158">
        <f>F35</f>
        <v>0</v>
      </c>
      <c r="G34" s="179">
        <f>+D34+E34-F34</f>
        <v>1800000</v>
      </c>
    </row>
    <row r="35" spans="2:7" ht="25.5" x14ac:dyDescent="0.25">
      <c r="B35" s="164" t="s">
        <v>104</v>
      </c>
      <c r="C35" s="163">
        <v>1800000</v>
      </c>
      <c r="D35" s="178">
        <f>'[1]QFR - B'!G34</f>
        <v>1800000</v>
      </c>
      <c r="E35" s="322"/>
      <c r="F35" s="322"/>
      <c r="G35" s="178">
        <f>D35+E35-F35</f>
        <v>1800000</v>
      </c>
    </row>
    <row r="36" spans="2:7" ht="26.25" x14ac:dyDescent="0.25">
      <c r="B36" s="155" t="s">
        <v>75</v>
      </c>
      <c r="C36" s="158">
        <f>SUM(C37)</f>
        <v>0</v>
      </c>
      <c r="D36" s="179">
        <f t="shared" ref="D36:G36" si="3">SUM(D37)</f>
        <v>2500</v>
      </c>
      <c r="E36" s="158">
        <f t="shared" si="3"/>
        <v>0</v>
      </c>
      <c r="F36" s="158">
        <f t="shared" si="3"/>
        <v>0</v>
      </c>
      <c r="G36" s="179">
        <f t="shared" si="3"/>
        <v>2500</v>
      </c>
    </row>
    <row r="37" spans="2:7" x14ac:dyDescent="0.25">
      <c r="B37" s="170" t="s">
        <v>79</v>
      </c>
      <c r="C37" s="163">
        <v>0</v>
      </c>
      <c r="D37" s="178">
        <v>2500</v>
      </c>
      <c r="E37" s="174">
        <v>0</v>
      </c>
      <c r="F37" s="322"/>
      <c r="G37" s="178">
        <f>+D37+E37-F37</f>
        <v>2500</v>
      </c>
    </row>
    <row r="38" spans="2:7" ht="15.75" thickBot="1" x14ac:dyDescent="0.3">
      <c r="B38" s="169" t="s">
        <v>32</v>
      </c>
      <c r="C38" s="176">
        <f>C34+C36</f>
        <v>1800000</v>
      </c>
      <c r="D38" s="176">
        <f>D34+D36</f>
        <v>1802500</v>
      </c>
      <c r="E38" s="176">
        <f>E34+E36</f>
        <v>0</v>
      </c>
      <c r="F38" s="176">
        <f>F34+F36</f>
        <v>0</v>
      </c>
      <c r="G38" s="176">
        <f>G34+G36</f>
        <v>1802500</v>
      </c>
    </row>
  </sheetData>
  <mergeCells count="2">
    <mergeCell ref="E11:F11"/>
    <mergeCell ref="B14:G14"/>
  </mergeCells>
  <phoneticPr fontId="28" type="noConversion"/>
  <conditionalFormatting sqref="D30:G30">
    <cfRule type="cellIs" dxfId="5" priority="5" stopIfTrue="1" operator="equal">
      <formula>0</formula>
    </cfRule>
  </conditionalFormatting>
  <conditionalFormatting sqref="C30">
    <cfRule type="cellIs" dxfId="4" priority="4" stopIfTrue="1" operator="equal">
      <formula>0</formula>
    </cfRule>
  </conditionalFormatting>
  <conditionalFormatting sqref="C38:G38">
    <cfRule type="cellIs" dxfId="3" priority="1" stopIfTrue="1" operator="equal">
      <formula>0</formula>
    </cfRule>
  </conditionalFormatting>
  <pageMargins left="0.70866141732283472" right="0.70866141732283472" top="0.74803149606299213" bottom="0.74803149606299213" header="0.31496062992125984" footer="0.31496062992125984"/>
  <pageSetup scale="58"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AL39"/>
  <sheetViews>
    <sheetView showGridLines="0" tabSelected="1" topLeftCell="B1" zoomScaleNormal="100" zoomScalePageLayoutView="90" workbookViewId="0">
      <selection activeCell="D6" sqref="D6"/>
    </sheetView>
  </sheetViews>
  <sheetFormatPr baseColWidth="10" defaultColWidth="9.140625" defaultRowHeight="15" x14ac:dyDescent="0.25"/>
  <cols>
    <col min="1" max="1" width="3.42578125" customWidth="1"/>
    <col min="2" max="2" width="33.85546875" customWidth="1"/>
    <col min="3" max="3" width="16.42578125" customWidth="1"/>
    <col min="4" max="4" width="21" bestFit="1" customWidth="1"/>
    <col min="5" max="6" width="16.42578125" customWidth="1"/>
    <col min="7" max="9" width="16.42578125" style="285" customWidth="1"/>
    <col min="10" max="10" width="16.42578125" customWidth="1"/>
    <col min="11" max="11" width="14.140625" bestFit="1" customWidth="1"/>
  </cols>
  <sheetData>
    <row r="1" spans="1:38" x14ac:dyDescent="0.25">
      <c r="B1" s="71" t="s">
        <v>21</v>
      </c>
      <c r="C1" s="72"/>
      <c r="D1" s="72"/>
      <c r="E1" s="72"/>
      <c r="F1" s="72"/>
      <c r="G1" s="72"/>
      <c r="H1" s="72"/>
      <c r="I1" s="72"/>
      <c r="J1" s="73"/>
    </row>
    <row r="2" spans="1:38" x14ac:dyDescent="0.25">
      <c r="B2" s="74"/>
      <c r="C2" s="75" t="s">
        <v>1</v>
      </c>
      <c r="D2" s="148" t="s">
        <v>63</v>
      </c>
      <c r="E2" s="76"/>
      <c r="F2" s="76"/>
      <c r="G2" s="76"/>
      <c r="H2" s="76"/>
      <c r="I2" s="76"/>
      <c r="J2" s="79"/>
    </row>
    <row r="3" spans="1:38" x14ac:dyDescent="0.25">
      <c r="B3" s="74"/>
      <c r="C3" s="75" t="s">
        <v>2</v>
      </c>
      <c r="D3" s="148" t="s">
        <v>64</v>
      </c>
      <c r="E3" s="76"/>
      <c r="F3" s="76"/>
      <c r="G3" s="76"/>
      <c r="H3" s="76"/>
      <c r="I3" s="76"/>
      <c r="J3" s="79"/>
    </row>
    <row r="4" spans="1:38" x14ac:dyDescent="0.25">
      <c r="B4" s="74"/>
      <c r="C4" s="75" t="s">
        <v>3</v>
      </c>
      <c r="D4" s="148" t="str">
        <f>'THP DR'!B7</f>
        <v>TR14GTM15001</v>
      </c>
      <c r="E4" s="76"/>
      <c r="F4" s="76"/>
      <c r="G4" s="76"/>
      <c r="H4" s="76"/>
      <c r="I4" s="76"/>
      <c r="J4" s="79"/>
    </row>
    <row r="5" spans="1:38" x14ac:dyDescent="0.25">
      <c r="B5" s="74"/>
      <c r="C5" s="75" t="s">
        <v>4</v>
      </c>
      <c r="D5" s="149">
        <v>44041</v>
      </c>
      <c r="E5" s="80"/>
      <c r="F5" s="80"/>
      <c r="G5" s="80"/>
      <c r="H5" s="80"/>
      <c r="I5" s="80"/>
      <c r="J5" s="79"/>
    </row>
    <row r="6" spans="1:38" ht="5.0999999999999996" customHeight="1" thickBot="1" x14ac:dyDescent="0.3">
      <c r="B6" s="81"/>
      <c r="C6" s="82"/>
      <c r="D6" s="82"/>
      <c r="E6" s="82"/>
      <c r="F6" s="82"/>
      <c r="G6" s="82"/>
      <c r="H6" s="82"/>
      <c r="I6" s="82"/>
      <c r="J6" s="84"/>
    </row>
    <row r="7" spans="1:38" x14ac:dyDescent="0.25">
      <c r="B7" s="85" t="s">
        <v>33</v>
      </c>
      <c r="C7" s="114"/>
      <c r="D7" s="114"/>
      <c r="E7" s="114"/>
      <c r="F7" s="114"/>
      <c r="G7" s="114"/>
      <c r="H7" s="114"/>
      <c r="I7" s="114"/>
      <c r="J7" s="115"/>
    </row>
    <row r="8" spans="1:38" x14ac:dyDescent="0.25">
      <c r="A8" s="97"/>
      <c r="B8" s="89" t="str">
        <f>'QFR - A'!B8</f>
        <v>Disbursement Period:01-jul-20 to 30-sep-20</v>
      </c>
      <c r="C8" s="90"/>
      <c r="D8" s="90"/>
      <c r="E8" s="90"/>
      <c r="F8" s="90"/>
      <c r="G8" s="90"/>
      <c r="H8" s="90"/>
      <c r="I8" s="90"/>
      <c r="J8" s="91"/>
    </row>
    <row r="9" spans="1:38" x14ac:dyDescent="0.25">
      <c r="B9" s="150" t="s">
        <v>34</v>
      </c>
      <c r="C9" s="93"/>
      <c r="D9" s="93"/>
      <c r="E9" s="93"/>
      <c r="F9" s="93"/>
      <c r="G9" s="93"/>
      <c r="H9" s="93"/>
      <c r="I9" s="93"/>
      <c r="J9" s="95"/>
      <c r="AL9">
        <v>18.62</v>
      </c>
    </row>
    <row r="10" spans="1:38" ht="15.75" thickBot="1" x14ac:dyDescent="0.3">
      <c r="B10" s="150" t="str">
        <f>'QFR - A'!B10</f>
        <v>Out of Cycle Report:  Yes [ x ] | No [  ]</v>
      </c>
      <c r="C10" s="93"/>
      <c r="D10" s="93"/>
      <c r="E10" s="93"/>
      <c r="F10" s="93"/>
      <c r="G10" s="93"/>
      <c r="H10" s="93"/>
      <c r="I10" s="93"/>
      <c r="J10" s="95"/>
    </row>
    <row r="11" spans="1:38" ht="15" customHeight="1" x14ac:dyDescent="0.25">
      <c r="B11" s="152"/>
      <c r="C11" s="510" t="s">
        <v>24</v>
      </c>
      <c r="D11" s="510" t="s">
        <v>206</v>
      </c>
      <c r="E11" s="510" t="s">
        <v>253</v>
      </c>
      <c r="F11" s="510" t="s">
        <v>312</v>
      </c>
      <c r="G11" s="510" t="s">
        <v>324</v>
      </c>
      <c r="H11" s="510" t="s">
        <v>354</v>
      </c>
      <c r="I11" s="510" t="s">
        <v>376</v>
      </c>
      <c r="J11" s="510" t="s">
        <v>66</v>
      </c>
    </row>
    <row r="12" spans="1:38" ht="42" customHeight="1" thickBot="1" x14ac:dyDescent="0.3">
      <c r="B12" s="151" t="s">
        <v>72</v>
      </c>
      <c r="C12" s="511"/>
      <c r="D12" s="511"/>
      <c r="E12" s="511"/>
      <c r="F12" s="511"/>
      <c r="G12" s="511"/>
      <c r="H12" s="511"/>
      <c r="I12" s="511"/>
      <c r="J12" s="511"/>
    </row>
    <row r="13" spans="1:38" ht="15" customHeight="1" x14ac:dyDescent="0.25">
      <c r="A13" s="97"/>
      <c r="B13" s="153" t="s">
        <v>71</v>
      </c>
      <c r="C13" s="156">
        <v>1</v>
      </c>
      <c r="D13" s="156">
        <f>C13+1</f>
        <v>2</v>
      </c>
      <c r="E13" s="156">
        <v>3</v>
      </c>
      <c r="F13" s="156">
        <v>4</v>
      </c>
      <c r="G13" s="361"/>
      <c r="H13" s="361"/>
      <c r="I13" s="361"/>
      <c r="J13" s="160">
        <v>5</v>
      </c>
    </row>
    <row r="14" spans="1:38" ht="26.1" customHeight="1" x14ac:dyDescent="0.25">
      <c r="B14" s="154" t="s">
        <v>67</v>
      </c>
      <c r="C14" s="157">
        <f>SUM(C15:C17)</f>
        <v>19700000</v>
      </c>
      <c r="D14" s="266">
        <f>SUM(D15:D17)</f>
        <v>-400000</v>
      </c>
      <c r="E14" s="266">
        <f>SUM(E15:E17)</f>
        <v>0</v>
      </c>
      <c r="F14" s="266">
        <f>SUM(F15:F17)</f>
        <v>46000</v>
      </c>
      <c r="G14" s="266">
        <f t="shared" ref="G14:I14" si="0">SUM(G15:G17)</f>
        <v>0</v>
      </c>
      <c r="H14" s="266">
        <f t="shared" si="0"/>
        <v>52100</v>
      </c>
      <c r="I14" s="266">
        <f t="shared" si="0"/>
        <v>490000</v>
      </c>
      <c r="J14" s="438">
        <f>C14+D14+E14+F14+G14+H14+I14</f>
        <v>19888100</v>
      </c>
    </row>
    <row r="15" spans="1:38" ht="26.45" customHeight="1" x14ac:dyDescent="0.25">
      <c r="B15" s="164" t="s">
        <v>68</v>
      </c>
      <c r="C15" s="159">
        <v>12000000</v>
      </c>
      <c r="D15" s="267">
        <v>0</v>
      </c>
      <c r="E15" s="268">
        <v>0</v>
      </c>
      <c r="F15" s="268">
        <v>0</v>
      </c>
      <c r="G15" s="362"/>
      <c r="H15" s="362"/>
      <c r="I15" s="362"/>
      <c r="J15" s="362">
        <f t="shared" ref="J15:J37" si="1">C15+D15+E15+F15+G15+H15+I15</f>
        <v>12000000</v>
      </c>
    </row>
    <row r="16" spans="1:38" ht="26.45" customHeight="1" x14ac:dyDescent="0.25">
      <c r="B16" s="164" t="s">
        <v>69</v>
      </c>
      <c r="C16" s="159">
        <v>4700000</v>
      </c>
      <c r="D16" s="267">
        <v>-400000</v>
      </c>
      <c r="E16" s="268">
        <v>0</v>
      </c>
      <c r="F16" s="268">
        <v>0</v>
      </c>
      <c r="G16" s="362"/>
      <c r="H16" s="362"/>
      <c r="I16" s="362">
        <v>490000</v>
      </c>
      <c r="J16" s="362">
        <f t="shared" si="1"/>
        <v>4790000</v>
      </c>
    </row>
    <row r="17" spans="2:11" ht="25.5" x14ac:dyDescent="0.25">
      <c r="B17" s="164" t="s">
        <v>70</v>
      </c>
      <c r="C17" s="159">
        <v>3000000</v>
      </c>
      <c r="D17" s="267">
        <v>0</v>
      </c>
      <c r="E17" s="268">
        <v>0</v>
      </c>
      <c r="F17" s="268">
        <v>46000</v>
      </c>
      <c r="G17" s="362"/>
      <c r="H17" s="362">
        <v>52100</v>
      </c>
      <c r="I17" s="362"/>
      <c r="J17" s="362">
        <f t="shared" si="1"/>
        <v>3098100</v>
      </c>
    </row>
    <row r="18" spans="2:11" x14ac:dyDescent="0.25">
      <c r="B18" s="165"/>
      <c r="C18" s="159"/>
      <c r="D18" s="267"/>
      <c r="E18" s="268"/>
      <c r="F18" s="268"/>
      <c r="G18" s="362"/>
      <c r="H18" s="362"/>
      <c r="I18" s="362"/>
      <c r="J18" s="362">
        <f t="shared" si="1"/>
        <v>0</v>
      </c>
    </row>
    <row r="19" spans="2:11" ht="25.5" x14ac:dyDescent="0.25">
      <c r="B19" s="166" t="s">
        <v>73</v>
      </c>
      <c r="C19" s="157">
        <f t="shared" ref="C19:I19" si="2">SUM(C20:C21)</f>
        <v>4000000</v>
      </c>
      <c r="D19" s="266">
        <f t="shared" si="2"/>
        <v>400000</v>
      </c>
      <c r="E19" s="266">
        <f t="shared" si="2"/>
        <v>0</v>
      </c>
      <c r="F19" s="266">
        <f t="shared" si="2"/>
        <v>0</v>
      </c>
      <c r="G19" s="266">
        <f t="shared" si="2"/>
        <v>-40000</v>
      </c>
      <c r="H19" s="266">
        <f t="shared" si="2"/>
        <v>-252600</v>
      </c>
      <c r="I19" s="266">
        <f t="shared" si="2"/>
        <v>-740000</v>
      </c>
      <c r="J19" s="438">
        <f t="shared" si="1"/>
        <v>3367400</v>
      </c>
    </row>
    <row r="20" spans="2:11" ht="25.5" x14ac:dyDescent="0.25">
      <c r="B20" s="164" t="s">
        <v>76</v>
      </c>
      <c r="C20" s="159">
        <v>0</v>
      </c>
      <c r="D20" s="267">
        <v>800000</v>
      </c>
      <c r="E20" s="268">
        <v>0</v>
      </c>
      <c r="F20" s="268">
        <v>0</v>
      </c>
      <c r="G20" s="362"/>
      <c r="H20" s="362"/>
      <c r="I20" s="362">
        <v>415000</v>
      </c>
      <c r="J20" s="362">
        <f t="shared" si="1"/>
        <v>1215000</v>
      </c>
      <c r="K20" s="439"/>
    </row>
    <row r="21" spans="2:11" ht="25.5" x14ac:dyDescent="0.25">
      <c r="B21" s="164" t="s">
        <v>77</v>
      </c>
      <c r="C21" s="159">
        <v>4000000</v>
      </c>
      <c r="D21" s="267">
        <v>-400000</v>
      </c>
      <c r="E21" s="268">
        <v>0</v>
      </c>
      <c r="F21" s="268">
        <v>0</v>
      </c>
      <c r="G21" s="362">
        <v>-40000</v>
      </c>
      <c r="H21" s="362">
        <v>-252600</v>
      </c>
      <c r="I21" s="362">
        <v>-1155000</v>
      </c>
      <c r="J21" s="362">
        <f t="shared" si="1"/>
        <v>2152400</v>
      </c>
    </row>
    <row r="22" spans="2:11" x14ac:dyDescent="0.25">
      <c r="B22" s="165"/>
      <c r="C22" s="159"/>
      <c r="D22" s="267"/>
      <c r="E22" s="268"/>
      <c r="F22" s="268"/>
      <c r="G22" s="362"/>
      <c r="H22" s="362"/>
      <c r="I22" s="362"/>
      <c r="J22" s="362">
        <f t="shared" si="1"/>
        <v>0</v>
      </c>
    </row>
    <row r="23" spans="2:11" ht="26.45" customHeight="1" x14ac:dyDescent="0.25">
      <c r="B23" s="155" t="s">
        <v>74</v>
      </c>
      <c r="C23" s="157">
        <f>SUM(C24)</f>
        <v>1700000</v>
      </c>
      <c r="D23" s="266">
        <f>SUM(D24)</f>
        <v>0</v>
      </c>
      <c r="E23" s="266">
        <f>E24</f>
        <v>0</v>
      </c>
      <c r="F23" s="266">
        <f>F24</f>
        <v>-269000</v>
      </c>
      <c r="G23" s="266">
        <f t="shared" ref="G23:H23" si="3">G24</f>
        <v>0</v>
      </c>
      <c r="H23" s="266">
        <f t="shared" si="3"/>
        <v>0</v>
      </c>
      <c r="I23" s="438"/>
      <c r="J23" s="438">
        <f t="shared" si="1"/>
        <v>1431000</v>
      </c>
    </row>
    <row r="24" spans="2:11" ht="24" customHeight="1" x14ac:dyDescent="0.25">
      <c r="B24" s="170" t="s">
        <v>78</v>
      </c>
      <c r="C24" s="159">
        <v>1700000</v>
      </c>
      <c r="D24" s="267">
        <v>0</v>
      </c>
      <c r="E24" s="268">
        <v>0</v>
      </c>
      <c r="F24" s="268">
        <v>-269000</v>
      </c>
      <c r="G24" s="362"/>
      <c r="H24" s="362"/>
      <c r="I24" s="362"/>
      <c r="J24" s="362">
        <f t="shared" si="1"/>
        <v>1431000</v>
      </c>
    </row>
    <row r="25" spans="2:11" x14ac:dyDescent="0.25">
      <c r="B25" s="165"/>
      <c r="C25" s="159"/>
      <c r="D25" s="267"/>
      <c r="E25" s="268"/>
      <c r="F25" s="268"/>
      <c r="G25" s="362"/>
      <c r="H25" s="362"/>
      <c r="I25" s="362"/>
      <c r="J25" s="362">
        <f t="shared" si="1"/>
        <v>0</v>
      </c>
    </row>
    <row r="26" spans="2:11" ht="26.45" customHeight="1" x14ac:dyDescent="0.25">
      <c r="B26" s="167" t="s">
        <v>75</v>
      </c>
      <c r="C26" s="157">
        <f>SUM(C27)</f>
        <v>800000</v>
      </c>
      <c r="D26" s="266">
        <f>SUM(D27)</f>
        <v>0</v>
      </c>
      <c r="E26" s="266">
        <f>E27</f>
        <v>-2500</v>
      </c>
      <c r="F26" s="266">
        <f>F27</f>
        <v>223000</v>
      </c>
      <c r="G26" s="266">
        <f>G27</f>
        <v>40000</v>
      </c>
      <c r="H26" s="266">
        <f>H27</f>
        <v>200500</v>
      </c>
      <c r="I26" s="266">
        <f>I27</f>
        <v>250000</v>
      </c>
      <c r="J26" s="438">
        <f t="shared" si="1"/>
        <v>1511000</v>
      </c>
      <c r="K26">
        <v>2500</v>
      </c>
    </row>
    <row r="27" spans="2:11" ht="24" customHeight="1" x14ac:dyDescent="0.25">
      <c r="B27" s="170" t="s">
        <v>79</v>
      </c>
      <c r="C27" s="159">
        <v>800000</v>
      </c>
      <c r="D27" s="267">
        <v>0</v>
      </c>
      <c r="E27" s="268">
        <v>-2500</v>
      </c>
      <c r="F27" s="268">
        <v>223000</v>
      </c>
      <c r="G27" s="362">
        <v>40000</v>
      </c>
      <c r="H27" s="362">
        <v>200500</v>
      </c>
      <c r="I27" s="362">
        <v>250000</v>
      </c>
      <c r="J27" s="362">
        <f t="shared" si="1"/>
        <v>1511000</v>
      </c>
      <c r="K27" s="231"/>
    </row>
    <row r="28" spans="2:11" ht="15.75" thickBot="1" x14ac:dyDescent="0.3">
      <c r="B28" s="168"/>
      <c r="C28" s="161"/>
      <c r="D28" s="269"/>
      <c r="E28" s="270"/>
      <c r="F28" s="270"/>
      <c r="G28" s="363"/>
      <c r="H28" s="363"/>
      <c r="I28" s="363"/>
      <c r="J28" s="363">
        <f t="shared" si="1"/>
        <v>0</v>
      </c>
    </row>
    <row r="29" spans="2:11" ht="26.1" customHeight="1" thickBot="1" x14ac:dyDescent="0.3">
      <c r="B29" s="169" t="s">
        <v>32</v>
      </c>
      <c r="C29" s="162">
        <f>C14+C19+C23+C26</f>
        <v>26200000</v>
      </c>
      <c r="D29" s="271">
        <f t="shared" ref="D29:G29" si="4">D14+D19+D23+D26</f>
        <v>0</v>
      </c>
      <c r="E29" s="271">
        <f t="shared" si="4"/>
        <v>-2500</v>
      </c>
      <c r="F29" s="271">
        <f t="shared" si="4"/>
        <v>0</v>
      </c>
      <c r="G29" s="271">
        <f t="shared" si="4"/>
        <v>0</v>
      </c>
      <c r="H29" s="271"/>
      <c r="I29" s="271"/>
      <c r="J29" s="271">
        <f t="shared" si="1"/>
        <v>26197500</v>
      </c>
    </row>
    <row r="30" spans="2:11" x14ac:dyDescent="0.25">
      <c r="B30" t="s">
        <v>234</v>
      </c>
      <c r="J30" s="285">
        <f t="shared" si="1"/>
        <v>0</v>
      </c>
    </row>
    <row r="31" spans="2:11" x14ac:dyDescent="0.25">
      <c r="J31" s="285">
        <f t="shared" si="1"/>
        <v>0</v>
      </c>
    </row>
    <row r="32" spans="2:11" x14ac:dyDescent="0.25">
      <c r="B32" s="212" t="s">
        <v>105</v>
      </c>
      <c r="C32" s="213"/>
      <c r="D32" s="213"/>
      <c r="E32" s="213"/>
      <c r="F32" s="213"/>
      <c r="G32" s="213"/>
      <c r="H32" s="213"/>
      <c r="I32" s="213"/>
      <c r="J32" s="213">
        <f t="shared" si="1"/>
        <v>0</v>
      </c>
    </row>
    <row r="33" spans="2:11" ht="25.5" x14ac:dyDescent="0.25">
      <c r="B33" s="166" t="s">
        <v>73</v>
      </c>
      <c r="C33" s="158">
        <f>SUM(C34)</f>
        <v>1800000</v>
      </c>
      <c r="D33" s="158">
        <f t="shared" ref="D33:F35" si="5">SUM(D34)</f>
        <v>0</v>
      </c>
      <c r="E33" s="158">
        <f t="shared" si="5"/>
        <v>0</v>
      </c>
      <c r="F33" s="158">
        <f t="shared" si="5"/>
        <v>0</v>
      </c>
      <c r="G33" s="158"/>
      <c r="H33" s="158"/>
      <c r="I33" s="158"/>
      <c r="J33" s="158">
        <f t="shared" si="1"/>
        <v>1800000</v>
      </c>
    </row>
    <row r="34" spans="2:11" ht="25.5" x14ac:dyDescent="0.25">
      <c r="B34" s="164" t="s">
        <v>104</v>
      </c>
      <c r="C34" s="163">
        <v>1800000</v>
      </c>
      <c r="D34" s="178"/>
      <c r="E34" s="178">
        <v>0</v>
      </c>
      <c r="F34" s="178"/>
      <c r="G34" s="178"/>
      <c r="H34" s="178"/>
      <c r="I34" s="178"/>
      <c r="J34" s="178">
        <f t="shared" si="1"/>
        <v>1800000</v>
      </c>
      <c r="K34" s="231"/>
    </row>
    <row r="35" spans="2:11" s="285" customFormat="1" x14ac:dyDescent="0.25">
      <c r="B35" s="167" t="s">
        <v>75</v>
      </c>
      <c r="C35" s="158">
        <f>SUM(C36)</f>
        <v>0</v>
      </c>
      <c r="D35" s="158">
        <f t="shared" si="5"/>
        <v>0</v>
      </c>
      <c r="E35" s="158">
        <f t="shared" si="5"/>
        <v>2500</v>
      </c>
      <c r="F35" s="158">
        <f t="shared" si="5"/>
        <v>0</v>
      </c>
      <c r="G35" s="158"/>
      <c r="H35" s="158"/>
      <c r="I35" s="158"/>
      <c r="J35" s="158">
        <f t="shared" si="1"/>
        <v>2500</v>
      </c>
    </row>
    <row r="36" spans="2:11" s="285" customFormat="1" x14ac:dyDescent="0.25">
      <c r="B36" s="170" t="s">
        <v>79</v>
      </c>
      <c r="C36" s="324"/>
      <c r="D36" s="325"/>
      <c r="E36" s="178">
        <v>2500</v>
      </c>
      <c r="F36" s="178"/>
      <c r="G36" s="178"/>
      <c r="H36" s="178"/>
      <c r="I36" s="178"/>
      <c r="J36" s="178">
        <f t="shared" si="1"/>
        <v>2500</v>
      </c>
    </row>
    <row r="37" spans="2:11" ht="26.45" customHeight="1" thickBot="1" x14ac:dyDescent="0.3">
      <c r="B37" s="169" t="s">
        <v>32</v>
      </c>
      <c r="C37" s="176">
        <f>C34</f>
        <v>1800000</v>
      </c>
      <c r="D37" s="176">
        <f>D34</f>
        <v>0</v>
      </c>
      <c r="E37" s="176">
        <f>E34+E36</f>
        <v>2500</v>
      </c>
      <c r="F37" s="176">
        <f t="shared" ref="F37" si="6">F34</f>
        <v>0</v>
      </c>
      <c r="G37" s="176"/>
      <c r="H37" s="176"/>
      <c r="I37" s="176"/>
      <c r="J37" s="176">
        <f t="shared" si="1"/>
        <v>1802500</v>
      </c>
    </row>
    <row r="38" spans="2:11" x14ac:dyDescent="0.25">
      <c r="J38" s="231"/>
      <c r="K38" s="241"/>
    </row>
    <row r="39" spans="2:11" x14ac:dyDescent="0.25">
      <c r="J39" s="231"/>
      <c r="K39" s="241"/>
    </row>
  </sheetData>
  <mergeCells count="8">
    <mergeCell ref="E11:E12"/>
    <mergeCell ref="C11:C12"/>
    <mergeCell ref="J11:J12"/>
    <mergeCell ref="D11:D12"/>
    <mergeCell ref="F11:F12"/>
    <mergeCell ref="G11:G12"/>
    <mergeCell ref="H11:H12"/>
    <mergeCell ref="I11:I12"/>
  </mergeCells>
  <phoneticPr fontId="28" type="noConversion"/>
  <conditionalFormatting sqref="D37:I37">
    <cfRule type="cellIs" dxfId="2" priority="3" stopIfTrue="1" operator="equal">
      <formula>0</formula>
    </cfRule>
  </conditionalFormatting>
  <conditionalFormatting sqref="C37">
    <cfRule type="cellIs" dxfId="1" priority="2" stopIfTrue="1" operator="equal">
      <formula>0</formula>
    </cfRule>
  </conditionalFormatting>
  <conditionalFormatting sqref="J37">
    <cfRule type="cellIs" dxfId="0" priority="1" stopIfTrue="1" operator="equal">
      <formula>0</formula>
    </cfRule>
  </conditionalFormatting>
  <pageMargins left="0.70866141732283472" right="0.70866141732283472" top="0.74803149606299213" bottom="0.74803149606299213" header="0.31496062992125984" footer="0.31496062992125984"/>
  <pageSetup scale="72" orientation="portrait"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F45"/>
  <sheetViews>
    <sheetView showGridLines="0" topLeftCell="A19" zoomScale="115" zoomScaleNormal="115" workbookViewId="0">
      <selection activeCell="A23" sqref="A23:B23"/>
    </sheetView>
  </sheetViews>
  <sheetFormatPr baseColWidth="10" defaultColWidth="11.42578125" defaultRowHeight="12.75" x14ac:dyDescent="0.2"/>
  <cols>
    <col min="1" max="1" width="73.42578125" style="118" customWidth="1"/>
    <col min="2" max="2" width="38.42578125" style="147" customWidth="1"/>
    <col min="3" max="256" width="9.140625" style="118" customWidth="1"/>
    <col min="257" max="257" width="73.42578125" style="118" customWidth="1"/>
    <col min="258" max="258" width="24.42578125" style="118" customWidth="1"/>
    <col min="259" max="512" width="9.140625" style="118" customWidth="1"/>
    <col min="513" max="513" width="73.42578125" style="118" customWidth="1"/>
    <col min="514" max="514" width="24.42578125" style="118" customWidth="1"/>
    <col min="515" max="768" width="9.140625" style="118" customWidth="1"/>
    <col min="769" max="769" width="73.42578125" style="118" customWidth="1"/>
    <col min="770" max="770" width="24.42578125" style="118" customWidth="1"/>
    <col min="771" max="1024" width="9.140625" style="118" customWidth="1"/>
    <col min="1025" max="1025" width="73.42578125" style="118" customWidth="1"/>
    <col min="1026" max="1026" width="24.42578125" style="118" customWidth="1"/>
    <col min="1027" max="1280" width="9.140625" style="118" customWidth="1"/>
    <col min="1281" max="1281" width="73.42578125" style="118" customWidth="1"/>
    <col min="1282" max="1282" width="24.42578125" style="118" customWidth="1"/>
    <col min="1283" max="1536" width="9.140625" style="118" customWidth="1"/>
    <col min="1537" max="1537" width="73.42578125" style="118" customWidth="1"/>
    <col min="1538" max="1538" width="24.42578125" style="118" customWidth="1"/>
    <col min="1539" max="1792" width="9.140625" style="118" customWidth="1"/>
    <col min="1793" max="1793" width="73.42578125" style="118" customWidth="1"/>
    <col min="1794" max="1794" width="24.42578125" style="118" customWidth="1"/>
    <col min="1795" max="2048" width="9.140625" style="118" customWidth="1"/>
    <col min="2049" max="2049" width="73.42578125" style="118" customWidth="1"/>
    <col min="2050" max="2050" width="24.42578125" style="118" customWidth="1"/>
    <col min="2051" max="2304" width="9.140625" style="118" customWidth="1"/>
    <col min="2305" max="2305" width="73.42578125" style="118" customWidth="1"/>
    <col min="2306" max="2306" width="24.42578125" style="118" customWidth="1"/>
    <col min="2307" max="2560" width="9.140625" style="118" customWidth="1"/>
    <col min="2561" max="2561" width="73.42578125" style="118" customWidth="1"/>
    <col min="2562" max="2562" width="24.42578125" style="118" customWidth="1"/>
    <col min="2563" max="2816" width="9.140625" style="118" customWidth="1"/>
    <col min="2817" max="2817" width="73.42578125" style="118" customWidth="1"/>
    <col min="2818" max="2818" width="24.42578125" style="118" customWidth="1"/>
    <col min="2819" max="3072" width="9.140625" style="118" customWidth="1"/>
    <col min="3073" max="3073" width="73.42578125" style="118" customWidth="1"/>
    <col min="3074" max="3074" width="24.42578125" style="118" customWidth="1"/>
    <col min="3075" max="3328" width="9.140625" style="118" customWidth="1"/>
    <col min="3329" max="3329" width="73.42578125" style="118" customWidth="1"/>
    <col min="3330" max="3330" width="24.42578125" style="118" customWidth="1"/>
    <col min="3331" max="3584" width="9.140625" style="118" customWidth="1"/>
    <col min="3585" max="3585" width="73.42578125" style="118" customWidth="1"/>
    <col min="3586" max="3586" width="24.42578125" style="118" customWidth="1"/>
    <col min="3587" max="3840" width="9.140625" style="118" customWidth="1"/>
    <col min="3841" max="3841" width="73.42578125" style="118" customWidth="1"/>
    <col min="3842" max="3842" width="24.42578125" style="118" customWidth="1"/>
    <col min="3843" max="4096" width="9.140625" style="118" customWidth="1"/>
    <col min="4097" max="4097" width="73.42578125" style="118" customWidth="1"/>
    <col min="4098" max="4098" width="24.42578125" style="118" customWidth="1"/>
    <col min="4099" max="4352" width="9.140625" style="118" customWidth="1"/>
    <col min="4353" max="4353" width="73.42578125" style="118" customWidth="1"/>
    <col min="4354" max="4354" width="24.42578125" style="118" customWidth="1"/>
    <col min="4355" max="4608" width="9.140625" style="118" customWidth="1"/>
    <col min="4609" max="4609" width="73.42578125" style="118" customWidth="1"/>
    <col min="4610" max="4610" width="24.42578125" style="118" customWidth="1"/>
    <col min="4611" max="4864" width="9.140625" style="118" customWidth="1"/>
    <col min="4865" max="4865" width="73.42578125" style="118" customWidth="1"/>
    <col min="4866" max="4866" width="24.42578125" style="118" customWidth="1"/>
    <col min="4867" max="5120" width="9.140625" style="118" customWidth="1"/>
    <col min="5121" max="5121" width="73.42578125" style="118" customWidth="1"/>
    <col min="5122" max="5122" width="24.42578125" style="118" customWidth="1"/>
    <col min="5123" max="5376" width="9.140625" style="118" customWidth="1"/>
    <col min="5377" max="5377" width="73.42578125" style="118" customWidth="1"/>
    <col min="5378" max="5378" width="24.42578125" style="118" customWidth="1"/>
    <col min="5379" max="5632" width="9.140625" style="118" customWidth="1"/>
    <col min="5633" max="5633" width="73.42578125" style="118" customWidth="1"/>
    <col min="5634" max="5634" width="24.42578125" style="118" customWidth="1"/>
    <col min="5635" max="5888" width="9.140625" style="118" customWidth="1"/>
    <col min="5889" max="5889" width="73.42578125" style="118" customWidth="1"/>
    <col min="5890" max="5890" width="24.42578125" style="118" customWidth="1"/>
    <col min="5891" max="6144" width="9.140625" style="118" customWidth="1"/>
    <col min="6145" max="6145" width="73.42578125" style="118" customWidth="1"/>
    <col min="6146" max="6146" width="24.42578125" style="118" customWidth="1"/>
    <col min="6147" max="6400" width="9.140625" style="118" customWidth="1"/>
    <col min="6401" max="6401" width="73.42578125" style="118" customWidth="1"/>
    <col min="6402" max="6402" width="24.42578125" style="118" customWidth="1"/>
    <col min="6403" max="6656" width="9.140625" style="118" customWidth="1"/>
    <col min="6657" max="6657" width="73.42578125" style="118" customWidth="1"/>
    <col min="6658" max="6658" width="24.42578125" style="118" customWidth="1"/>
    <col min="6659" max="6912" width="9.140625" style="118" customWidth="1"/>
    <col min="6913" max="6913" width="73.42578125" style="118" customWidth="1"/>
    <col min="6914" max="6914" width="24.42578125" style="118" customWidth="1"/>
    <col min="6915" max="7168" width="9.140625" style="118" customWidth="1"/>
    <col min="7169" max="7169" width="73.42578125" style="118" customWidth="1"/>
    <col min="7170" max="7170" width="24.42578125" style="118" customWidth="1"/>
    <col min="7171" max="7424" width="9.140625" style="118" customWidth="1"/>
    <col min="7425" max="7425" width="73.42578125" style="118" customWidth="1"/>
    <col min="7426" max="7426" width="24.42578125" style="118" customWidth="1"/>
    <col min="7427" max="7680" width="9.140625" style="118" customWidth="1"/>
    <col min="7681" max="7681" width="73.42578125" style="118" customWidth="1"/>
    <col min="7682" max="7682" width="24.42578125" style="118" customWidth="1"/>
    <col min="7683" max="7936" width="9.140625" style="118" customWidth="1"/>
    <col min="7937" max="7937" width="73.42578125" style="118" customWidth="1"/>
    <col min="7938" max="7938" width="24.42578125" style="118" customWidth="1"/>
    <col min="7939" max="8192" width="9.140625" style="118" customWidth="1"/>
    <col min="8193" max="8193" width="73.42578125" style="118" customWidth="1"/>
    <col min="8194" max="8194" width="24.42578125" style="118" customWidth="1"/>
    <col min="8195" max="8448" width="9.140625" style="118" customWidth="1"/>
    <col min="8449" max="8449" width="73.42578125" style="118" customWidth="1"/>
    <col min="8450" max="8450" width="24.42578125" style="118" customWidth="1"/>
    <col min="8451" max="8704" width="9.140625" style="118" customWidth="1"/>
    <col min="8705" max="8705" width="73.42578125" style="118" customWidth="1"/>
    <col min="8706" max="8706" width="24.42578125" style="118" customWidth="1"/>
    <col min="8707" max="8960" width="9.140625" style="118" customWidth="1"/>
    <col min="8961" max="8961" width="73.42578125" style="118" customWidth="1"/>
    <col min="8962" max="8962" width="24.42578125" style="118" customWidth="1"/>
    <col min="8963" max="9216" width="9.140625" style="118" customWidth="1"/>
    <col min="9217" max="9217" width="73.42578125" style="118" customWidth="1"/>
    <col min="9218" max="9218" width="24.42578125" style="118" customWidth="1"/>
    <col min="9219" max="9472" width="9.140625" style="118" customWidth="1"/>
    <col min="9473" max="9473" width="73.42578125" style="118" customWidth="1"/>
    <col min="9474" max="9474" width="24.42578125" style="118" customWidth="1"/>
    <col min="9475" max="9728" width="9.140625" style="118" customWidth="1"/>
    <col min="9729" max="9729" width="73.42578125" style="118" customWidth="1"/>
    <col min="9730" max="9730" width="24.42578125" style="118" customWidth="1"/>
    <col min="9731" max="9984" width="9.140625" style="118" customWidth="1"/>
    <col min="9985" max="9985" width="73.42578125" style="118" customWidth="1"/>
    <col min="9986" max="9986" width="24.42578125" style="118" customWidth="1"/>
    <col min="9987" max="10240" width="9.140625" style="118" customWidth="1"/>
    <col min="10241" max="10241" width="73.42578125" style="118" customWidth="1"/>
    <col min="10242" max="10242" width="24.42578125" style="118" customWidth="1"/>
    <col min="10243" max="10496" width="9.140625" style="118" customWidth="1"/>
    <col min="10497" max="10497" width="73.42578125" style="118" customWidth="1"/>
    <col min="10498" max="10498" width="24.42578125" style="118" customWidth="1"/>
    <col min="10499" max="10752" width="9.140625" style="118" customWidth="1"/>
    <col min="10753" max="10753" width="73.42578125" style="118" customWidth="1"/>
    <col min="10754" max="10754" width="24.42578125" style="118" customWidth="1"/>
    <col min="10755" max="11008" width="9.140625" style="118" customWidth="1"/>
    <col min="11009" max="11009" width="73.42578125" style="118" customWidth="1"/>
    <col min="11010" max="11010" width="24.42578125" style="118" customWidth="1"/>
    <col min="11011" max="11264" width="9.140625" style="118" customWidth="1"/>
    <col min="11265" max="11265" width="73.42578125" style="118" customWidth="1"/>
    <col min="11266" max="11266" width="24.42578125" style="118" customWidth="1"/>
    <col min="11267" max="11520" width="9.140625" style="118" customWidth="1"/>
    <col min="11521" max="11521" width="73.42578125" style="118" customWidth="1"/>
    <col min="11522" max="11522" width="24.42578125" style="118" customWidth="1"/>
    <col min="11523" max="11776" width="9.140625" style="118" customWidth="1"/>
    <col min="11777" max="11777" width="73.42578125" style="118" customWidth="1"/>
    <col min="11778" max="11778" width="24.42578125" style="118" customWidth="1"/>
    <col min="11779" max="12032" width="9.140625" style="118" customWidth="1"/>
    <col min="12033" max="12033" width="73.42578125" style="118" customWidth="1"/>
    <col min="12034" max="12034" width="24.42578125" style="118" customWidth="1"/>
    <col min="12035" max="12288" width="9.140625" style="118" customWidth="1"/>
    <col min="12289" max="12289" width="73.42578125" style="118" customWidth="1"/>
    <col min="12290" max="12290" width="24.42578125" style="118" customWidth="1"/>
    <col min="12291" max="12544" width="9.140625" style="118" customWidth="1"/>
    <col min="12545" max="12545" width="73.42578125" style="118" customWidth="1"/>
    <col min="12546" max="12546" width="24.42578125" style="118" customWidth="1"/>
    <col min="12547" max="12800" width="9.140625" style="118" customWidth="1"/>
    <col min="12801" max="12801" width="73.42578125" style="118" customWidth="1"/>
    <col min="12802" max="12802" width="24.42578125" style="118" customWidth="1"/>
    <col min="12803" max="13056" width="9.140625" style="118" customWidth="1"/>
    <col min="13057" max="13057" width="73.42578125" style="118" customWidth="1"/>
    <col min="13058" max="13058" width="24.42578125" style="118" customWidth="1"/>
    <col min="13059" max="13312" width="9.140625" style="118" customWidth="1"/>
    <col min="13313" max="13313" width="73.42578125" style="118" customWidth="1"/>
    <col min="13314" max="13314" width="24.42578125" style="118" customWidth="1"/>
    <col min="13315" max="13568" width="9.140625" style="118" customWidth="1"/>
    <col min="13569" max="13569" width="73.42578125" style="118" customWidth="1"/>
    <col min="13570" max="13570" width="24.42578125" style="118" customWidth="1"/>
    <col min="13571" max="13824" width="9.140625" style="118" customWidth="1"/>
    <col min="13825" max="13825" width="73.42578125" style="118" customWidth="1"/>
    <col min="13826" max="13826" width="24.42578125" style="118" customWidth="1"/>
    <col min="13827" max="14080" width="9.140625" style="118" customWidth="1"/>
    <col min="14081" max="14081" width="73.42578125" style="118" customWidth="1"/>
    <col min="14082" max="14082" width="24.42578125" style="118" customWidth="1"/>
    <col min="14083" max="14336" width="9.140625" style="118" customWidth="1"/>
    <col min="14337" max="14337" width="73.42578125" style="118" customWidth="1"/>
    <col min="14338" max="14338" width="24.42578125" style="118" customWidth="1"/>
    <col min="14339" max="14592" width="9.140625" style="118" customWidth="1"/>
    <col min="14593" max="14593" width="73.42578125" style="118" customWidth="1"/>
    <col min="14594" max="14594" width="24.42578125" style="118" customWidth="1"/>
    <col min="14595" max="14848" width="9.140625" style="118" customWidth="1"/>
    <col min="14849" max="14849" width="73.42578125" style="118" customWidth="1"/>
    <col min="14850" max="14850" width="24.42578125" style="118" customWidth="1"/>
    <col min="14851" max="15104" width="9.140625" style="118" customWidth="1"/>
    <col min="15105" max="15105" width="73.42578125" style="118" customWidth="1"/>
    <col min="15106" max="15106" width="24.42578125" style="118" customWidth="1"/>
    <col min="15107" max="15360" width="9.140625" style="118" customWidth="1"/>
    <col min="15361" max="15361" width="73.42578125" style="118" customWidth="1"/>
    <col min="15362" max="15362" width="24.42578125" style="118" customWidth="1"/>
    <col min="15363" max="15616" width="9.140625" style="118" customWidth="1"/>
    <col min="15617" max="15617" width="73.42578125" style="118" customWidth="1"/>
    <col min="15618" max="15618" width="24.42578125" style="118" customWidth="1"/>
    <col min="15619" max="15872" width="9.140625" style="118" customWidth="1"/>
    <col min="15873" max="15873" width="73.42578125" style="118" customWidth="1"/>
    <col min="15874" max="15874" width="24.42578125" style="118" customWidth="1"/>
    <col min="15875" max="16128" width="9.140625" style="118" customWidth="1"/>
    <col min="16129" max="16129" width="73.42578125" style="118" customWidth="1"/>
    <col min="16130" max="16130" width="24.42578125" style="118" customWidth="1"/>
    <col min="16131" max="16384" width="9.140625" style="118" customWidth="1"/>
  </cols>
  <sheetData>
    <row r="1" spans="1:6" ht="15.75" x14ac:dyDescent="0.25">
      <c r="A1" s="116" t="s">
        <v>35</v>
      </c>
      <c r="B1" s="117"/>
    </row>
    <row r="2" spans="1:6" ht="15.75" x14ac:dyDescent="0.25">
      <c r="A2" s="119"/>
      <c r="B2" s="120"/>
    </row>
    <row r="3" spans="1:6" ht="16.5" thickBot="1" x14ac:dyDescent="0.3">
      <c r="A3" s="516" t="s">
        <v>36</v>
      </c>
      <c r="B3" s="517"/>
    </row>
    <row r="4" spans="1:6" x14ac:dyDescent="0.2">
      <c r="A4" s="121" t="s">
        <v>37</v>
      </c>
      <c r="B4" s="122" t="s">
        <v>63</v>
      </c>
    </row>
    <row r="5" spans="1:6" ht="30" customHeight="1" x14ac:dyDescent="0.2">
      <c r="A5" s="123" t="s">
        <v>38</v>
      </c>
      <c r="B5" s="124" t="s">
        <v>265</v>
      </c>
      <c r="C5" s="125"/>
    </row>
    <row r="6" spans="1:6" x14ac:dyDescent="0.2">
      <c r="A6" s="126" t="s">
        <v>39</v>
      </c>
      <c r="B6" s="127" t="s">
        <v>266</v>
      </c>
    </row>
    <row r="7" spans="1:6" x14ac:dyDescent="0.2">
      <c r="A7" s="128" t="s">
        <v>40</v>
      </c>
      <c r="B7" s="127" t="s">
        <v>65</v>
      </c>
    </row>
    <row r="8" spans="1:6" x14ac:dyDescent="0.2">
      <c r="A8" s="123" t="s">
        <v>41</v>
      </c>
      <c r="B8" s="129" t="s">
        <v>64</v>
      </c>
    </row>
    <row r="9" spans="1:6" x14ac:dyDescent="0.2">
      <c r="A9" s="123" t="s">
        <v>42</v>
      </c>
      <c r="B9" s="127" t="s">
        <v>205</v>
      </c>
    </row>
    <row r="10" spans="1:6" x14ac:dyDescent="0.2">
      <c r="A10" s="123" t="s">
        <v>43</v>
      </c>
      <c r="B10" s="130">
        <v>44004</v>
      </c>
    </row>
    <row r="11" spans="1:6" x14ac:dyDescent="0.2">
      <c r="A11" s="123" t="s">
        <v>44</v>
      </c>
      <c r="B11" s="130">
        <v>44013</v>
      </c>
    </row>
    <row r="12" spans="1:6" x14ac:dyDescent="0.2">
      <c r="A12" s="123" t="s">
        <v>45</v>
      </c>
      <c r="B12" s="130">
        <v>44104</v>
      </c>
    </row>
    <row r="13" spans="1:6" x14ac:dyDescent="0.2">
      <c r="A13" s="123" t="s">
        <v>46</v>
      </c>
      <c r="B13" s="127">
        <v>17</v>
      </c>
    </row>
    <row r="14" spans="1:6" x14ac:dyDescent="0.2">
      <c r="A14" s="131" t="s">
        <v>47</v>
      </c>
      <c r="B14" s="127" t="s">
        <v>48</v>
      </c>
    </row>
    <row r="15" spans="1:6" ht="25.5" x14ac:dyDescent="0.2">
      <c r="A15" s="132" t="s">
        <v>49</v>
      </c>
      <c r="B15" s="127"/>
    </row>
    <row r="16" spans="1:6" ht="32.25" customHeight="1" x14ac:dyDescent="0.2">
      <c r="A16" s="518" t="s">
        <v>116</v>
      </c>
      <c r="B16" s="519"/>
      <c r="C16" s="220"/>
      <c r="D16" s="220"/>
      <c r="E16" s="220"/>
      <c r="F16" s="220"/>
    </row>
    <row r="17" spans="1:2" ht="18.75" customHeight="1" x14ac:dyDescent="0.2">
      <c r="A17" s="123" t="s">
        <v>50</v>
      </c>
      <c r="B17" s="314">
        <v>0</v>
      </c>
    </row>
    <row r="18" spans="1:2" ht="20.25" customHeight="1" x14ac:dyDescent="0.2">
      <c r="A18" s="123" t="s">
        <v>51</v>
      </c>
      <c r="B18" s="133"/>
    </row>
    <row r="19" spans="1:2" ht="18.75" customHeight="1" x14ac:dyDescent="0.2">
      <c r="A19" s="123" t="s">
        <v>52</v>
      </c>
      <c r="B19" s="134"/>
    </row>
    <row r="20" spans="1:2" ht="18.75" customHeight="1" x14ac:dyDescent="0.2">
      <c r="A20" s="123" t="s">
        <v>53</v>
      </c>
      <c r="B20" s="133">
        <v>0</v>
      </c>
    </row>
    <row r="21" spans="1:2" ht="18.75" customHeight="1" x14ac:dyDescent="0.2">
      <c r="A21" s="123" t="s">
        <v>54</v>
      </c>
      <c r="B21" s="314">
        <f>B17+B18+B19-B20</f>
        <v>0</v>
      </c>
    </row>
    <row r="22" spans="1:2" ht="37.5" customHeight="1" x14ac:dyDescent="0.2">
      <c r="A22" s="123" t="s">
        <v>55</v>
      </c>
      <c r="B22" s="319"/>
    </row>
    <row r="23" spans="1:2" ht="39.950000000000003" customHeight="1" x14ac:dyDescent="0.2">
      <c r="A23" s="520" t="s">
        <v>56</v>
      </c>
      <c r="B23" s="520"/>
    </row>
    <row r="24" spans="1:2" ht="58.5" customHeight="1" x14ac:dyDescent="0.2">
      <c r="A24" s="520" t="s">
        <v>57</v>
      </c>
      <c r="B24" s="520"/>
    </row>
    <row r="25" spans="1:2" ht="33" customHeight="1" x14ac:dyDescent="0.2">
      <c r="A25" s="520" t="s">
        <v>58</v>
      </c>
      <c r="B25" s="521"/>
    </row>
    <row r="26" spans="1:2" ht="50.1" customHeight="1" x14ac:dyDescent="0.2">
      <c r="A26" s="520" t="s">
        <v>226</v>
      </c>
      <c r="B26" s="520"/>
    </row>
    <row r="27" spans="1:2" ht="20.100000000000001" customHeight="1" x14ac:dyDescent="0.2">
      <c r="A27" s="135"/>
      <c r="B27" s="136"/>
    </row>
    <row r="28" spans="1:2" ht="20.100000000000001" customHeight="1" x14ac:dyDescent="0.2">
      <c r="A28" s="512" t="s">
        <v>374</v>
      </c>
      <c r="B28" s="513"/>
    </row>
    <row r="29" spans="1:2" ht="42.6" customHeight="1" x14ac:dyDescent="0.2">
      <c r="A29" s="137" t="s">
        <v>59</v>
      </c>
      <c r="B29" s="138"/>
    </row>
    <row r="30" spans="1:2" ht="20.100000000000001" customHeight="1" x14ac:dyDescent="0.2">
      <c r="A30" s="137" t="s">
        <v>373</v>
      </c>
      <c r="B30" s="138"/>
    </row>
    <row r="31" spans="1:2" ht="20.100000000000001" customHeight="1" x14ac:dyDescent="0.2">
      <c r="A31" s="310" t="s">
        <v>409</v>
      </c>
      <c r="B31" s="138"/>
    </row>
    <row r="32" spans="1:2" ht="20.100000000000001" customHeight="1" x14ac:dyDescent="0.2">
      <c r="A32" s="139"/>
      <c r="B32" s="140"/>
    </row>
    <row r="33" spans="1:2" ht="20.100000000000001" customHeight="1" x14ac:dyDescent="0.2">
      <c r="A33" s="514"/>
      <c r="B33" s="515"/>
    </row>
    <row r="34" spans="1:2" ht="20.100000000000001" customHeight="1" x14ac:dyDescent="0.2">
      <c r="A34" s="137" t="s">
        <v>59</v>
      </c>
      <c r="B34" s="138"/>
    </row>
    <row r="35" spans="1:2" ht="20.100000000000001" customHeight="1" x14ac:dyDescent="0.2">
      <c r="A35" s="318" t="s">
        <v>60</v>
      </c>
      <c r="B35" s="138"/>
    </row>
    <row r="36" spans="1:2" ht="20.100000000000001" customHeight="1" x14ac:dyDescent="0.2">
      <c r="A36" s="137" t="s">
        <v>375</v>
      </c>
      <c r="B36" s="138"/>
    </row>
    <row r="37" spans="1:2" ht="20.100000000000001" customHeight="1" x14ac:dyDescent="0.2">
      <c r="A37" s="139"/>
      <c r="B37" s="140"/>
    </row>
    <row r="38" spans="1:2" ht="3.6" customHeight="1" x14ac:dyDescent="0.2">
      <c r="A38" s="135"/>
      <c r="B38" s="136"/>
    </row>
    <row r="39" spans="1:2" ht="14.45" customHeight="1" x14ac:dyDescent="0.2">
      <c r="A39" s="512"/>
      <c r="B39" s="513"/>
    </row>
    <row r="40" spans="1:2" ht="20.100000000000001" customHeight="1" x14ac:dyDescent="0.2">
      <c r="A40" s="139" t="s">
        <v>59</v>
      </c>
      <c r="B40" s="138"/>
    </row>
    <row r="41" spans="1:2" ht="20.100000000000001" customHeight="1" thickBot="1" x14ac:dyDescent="0.25">
      <c r="A41" s="141" t="s">
        <v>60</v>
      </c>
      <c r="B41" s="138"/>
    </row>
    <row r="42" spans="1:2" ht="20.100000000000001" customHeight="1" x14ac:dyDescent="0.2">
      <c r="A42" s="137" t="s">
        <v>213</v>
      </c>
      <c r="B42" s="138"/>
    </row>
    <row r="43" spans="1:2" ht="14.45" customHeight="1" x14ac:dyDescent="0.2">
      <c r="A43" s="142"/>
      <c r="B43" s="140"/>
    </row>
    <row r="44" spans="1:2" x14ac:dyDescent="0.2">
      <c r="A44" s="143"/>
      <c r="B44" s="144"/>
    </row>
    <row r="45" spans="1:2" x14ac:dyDescent="0.2">
      <c r="A45" s="145"/>
      <c r="B45" s="146"/>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8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filterMode="1">
    <pageSetUpPr fitToPage="1"/>
  </sheetPr>
  <dimension ref="A1:BV215"/>
  <sheetViews>
    <sheetView showGridLines="0" zoomScale="115" zoomScaleNormal="115" workbookViewId="0">
      <pane xSplit="4" ySplit="3" topLeftCell="E4" activePane="bottomRight" state="frozen"/>
      <selection pane="topRight" activeCell="E1" sqref="E1"/>
      <selection pane="bottomLeft" activeCell="A4" sqref="A4"/>
      <selection pane="bottomRight" activeCell="B1" sqref="B1:C1048576"/>
    </sheetView>
  </sheetViews>
  <sheetFormatPr baseColWidth="10" defaultColWidth="8.85546875" defaultRowHeight="15" outlineLevelRow="1" x14ac:dyDescent="0.25"/>
  <cols>
    <col min="1" max="1" width="6.7109375" customWidth="1"/>
    <col min="2" max="2" width="7" hidden="1" customWidth="1"/>
    <col min="3" max="3" width="50.7109375" hidden="1" customWidth="1"/>
    <col min="4" max="4" width="18.42578125" customWidth="1"/>
    <col min="5" max="5" width="5.5703125" customWidth="1"/>
    <col min="6" max="6" width="11.42578125" customWidth="1"/>
    <col min="7" max="7" width="10.85546875" customWidth="1"/>
    <col min="8" max="8" width="11.28515625" style="302" customWidth="1"/>
    <col min="9" max="9" width="12.7109375" customWidth="1"/>
    <col min="10" max="11" width="13.140625" customWidth="1"/>
    <col min="12" max="12" width="10.42578125" customWidth="1"/>
    <col min="13" max="13" width="10.5703125" customWidth="1"/>
    <col min="14" max="14" width="13.7109375" customWidth="1"/>
    <col min="15" max="15" width="12.7109375" customWidth="1"/>
    <col min="16" max="16" width="11.42578125" customWidth="1"/>
    <col min="17" max="17" width="11.7109375" customWidth="1"/>
    <col min="18" max="18" width="11.5703125" customWidth="1"/>
    <col min="19" max="19" width="11.42578125" customWidth="1"/>
    <col min="20" max="20" width="13" customWidth="1"/>
    <col min="21" max="21" width="11.85546875" style="285" customWidth="1"/>
    <col min="22" max="22" width="12.7109375" style="285" customWidth="1"/>
    <col min="23" max="23" width="13.28515625" style="285" customWidth="1"/>
    <col min="24" max="24" width="12.5703125" style="285" customWidth="1"/>
    <col min="25" max="25" width="10.85546875" style="285" customWidth="1"/>
    <col min="26" max="26" width="15.42578125" customWidth="1"/>
    <col min="27" max="28" width="14" customWidth="1"/>
    <col min="29" max="29" width="11" customWidth="1"/>
    <col min="30" max="31" width="10.85546875" customWidth="1"/>
    <col min="32" max="32" width="11.5703125" customWidth="1"/>
    <col min="33" max="33" width="11.85546875" customWidth="1"/>
    <col min="34" max="34" width="13.85546875" customWidth="1"/>
    <col min="35" max="35" width="13.7109375" customWidth="1"/>
    <col min="36" max="36" width="13" customWidth="1"/>
    <col min="37" max="37" width="16.5703125" customWidth="1"/>
    <col min="38" max="38" width="16.7109375" customWidth="1"/>
    <col min="39" max="39" width="13.7109375" customWidth="1"/>
    <col min="40" max="40" width="16.7109375" customWidth="1"/>
    <col min="41" max="41" width="17.42578125" customWidth="1"/>
    <col min="42" max="42" width="18.85546875" customWidth="1"/>
    <col min="43" max="43" width="13.85546875" customWidth="1"/>
    <col min="44" max="44" width="15.85546875" customWidth="1"/>
    <col min="45" max="45" width="17.28515625" style="285" customWidth="1"/>
    <col min="46" max="46" width="16" style="285" customWidth="1"/>
    <col min="47" max="47" width="15.28515625" style="285" customWidth="1"/>
    <col min="48" max="48" width="16.42578125" style="285" customWidth="1"/>
    <col min="49" max="49" width="12.140625" style="285" customWidth="1"/>
    <col min="50" max="51" width="11.42578125" customWidth="1"/>
    <col min="52" max="52" width="11.85546875" customWidth="1"/>
    <col min="53" max="53" width="14.5703125" customWidth="1"/>
    <col min="54" max="54" width="15" customWidth="1"/>
    <col min="55" max="55" width="13.42578125" customWidth="1"/>
    <col min="56" max="56" width="15.42578125" customWidth="1"/>
    <col min="57" max="57" width="13.42578125" customWidth="1"/>
    <col min="58" max="58" width="14.140625" customWidth="1"/>
    <col min="59" max="59" width="14" customWidth="1"/>
    <col min="60" max="60" width="14.140625" bestFit="1" customWidth="1"/>
    <col min="61" max="61" width="16.7109375" customWidth="1"/>
    <col min="62" max="62" width="15.42578125" customWidth="1"/>
    <col min="63" max="63" width="17" customWidth="1"/>
    <col min="64" max="64" width="14.7109375" customWidth="1"/>
    <col min="65" max="65" width="15" bestFit="1" customWidth="1"/>
    <col min="66" max="66" width="15" style="285" bestFit="1" customWidth="1"/>
    <col min="67" max="67" width="14.42578125" style="285" customWidth="1"/>
    <col min="68" max="68" width="15" style="285" bestFit="1" customWidth="1"/>
    <col min="69" max="69" width="14.42578125" style="285" customWidth="1"/>
    <col min="70" max="70" width="14.140625" customWidth="1"/>
    <col min="71" max="71" width="13.42578125" customWidth="1"/>
    <col min="72" max="72" width="14.140625" bestFit="1" customWidth="1"/>
  </cols>
  <sheetData>
    <row r="1" spans="1:72" x14ac:dyDescent="0.25">
      <c r="C1" s="359"/>
      <c r="D1" s="224">
        <f>SUM(D2:D173)</f>
        <v>25026302.393125009</v>
      </c>
      <c r="F1" t="s">
        <v>147</v>
      </c>
      <c r="X1" s="285" t="s">
        <v>276</v>
      </c>
      <c r="Z1" t="s">
        <v>161</v>
      </c>
      <c r="AC1" s="228" t="s">
        <v>189</v>
      </c>
      <c r="AD1" s="228"/>
      <c r="AE1" s="228"/>
      <c r="AF1" s="228"/>
      <c r="AG1" s="228"/>
      <c r="AH1" s="228"/>
      <c r="AI1" s="228"/>
      <c r="AJ1" s="228"/>
      <c r="AK1" s="228"/>
      <c r="AL1" s="228"/>
      <c r="AM1" s="228"/>
      <c r="AN1" s="228"/>
      <c r="AO1" s="228"/>
      <c r="AP1" s="228"/>
      <c r="AQ1" s="228"/>
      <c r="AR1" s="229"/>
      <c r="AS1" s="228"/>
      <c r="AT1" s="229"/>
      <c r="AU1" s="228" t="s">
        <v>276</v>
      </c>
      <c r="AV1" s="228"/>
      <c r="AW1" s="229"/>
      <c r="AX1" s="228" t="s">
        <v>190</v>
      </c>
      <c r="AY1" s="228"/>
      <c r="AZ1" s="228"/>
      <c r="BA1" s="228"/>
      <c r="BB1" s="228"/>
      <c r="BC1" s="228"/>
      <c r="BD1" s="228"/>
      <c r="BE1" s="228"/>
      <c r="BF1" s="228"/>
      <c r="BG1" s="228"/>
      <c r="BH1" s="228"/>
      <c r="BI1" s="228"/>
      <c r="BJ1" s="228"/>
      <c r="BK1" s="228"/>
      <c r="BL1" s="228"/>
    </row>
    <row r="2" spans="1:72" x14ac:dyDescent="0.25">
      <c r="A2" t="s">
        <v>123</v>
      </c>
      <c r="D2" t="s">
        <v>145</v>
      </c>
      <c r="F2" s="328">
        <v>42552</v>
      </c>
      <c r="G2" s="328">
        <v>42644</v>
      </c>
      <c r="H2" s="329">
        <v>42736</v>
      </c>
      <c r="I2" s="328">
        <v>42826</v>
      </c>
      <c r="J2" s="328">
        <v>42917</v>
      </c>
      <c r="K2" s="328">
        <v>43009</v>
      </c>
      <c r="L2" s="328">
        <v>43101</v>
      </c>
      <c r="M2" s="328">
        <v>43191</v>
      </c>
      <c r="N2" s="328">
        <v>43282</v>
      </c>
      <c r="O2" s="328">
        <v>43374</v>
      </c>
      <c r="P2" s="328">
        <v>43466</v>
      </c>
      <c r="Q2" s="328">
        <v>43556</v>
      </c>
      <c r="R2" s="328">
        <v>43647</v>
      </c>
      <c r="S2" s="328">
        <v>43739</v>
      </c>
      <c r="T2" s="328">
        <v>43831</v>
      </c>
      <c r="U2" s="328">
        <v>43922</v>
      </c>
      <c r="V2" s="328">
        <v>44013</v>
      </c>
      <c r="W2" s="328">
        <v>44105</v>
      </c>
      <c r="X2" s="328">
        <v>44197</v>
      </c>
      <c r="Y2" s="328" t="s">
        <v>327</v>
      </c>
      <c r="Z2" s="337"/>
      <c r="AA2" s="337"/>
      <c r="AB2" s="337"/>
      <c r="AC2" s="338">
        <v>42552</v>
      </c>
      <c r="AD2" s="338">
        <v>42644</v>
      </c>
      <c r="AE2" s="338">
        <v>42736</v>
      </c>
      <c r="AF2" s="338">
        <v>42826</v>
      </c>
      <c r="AG2" s="338">
        <v>42917</v>
      </c>
      <c r="AH2" s="338">
        <v>43009</v>
      </c>
      <c r="AI2" s="338">
        <v>43101</v>
      </c>
      <c r="AJ2" s="338">
        <v>43191</v>
      </c>
      <c r="AK2" s="338">
        <v>43282</v>
      </c>
      <c r="AL2" s="338">
        <v>43374</v>
      </c>
      <c r="AM2" s="338">
        <v>43466</v>
      </c>
      <c r="AN2" s="338">
        <v>43556</v>
      </c>
      <c r="AO2" s="338">
        <v>43647</v>
      </c>
      <c r="AP2" s="338">
        <v>43739</v>
      </c>
      <c r="AQ2" s="338">
        <v>43831</v>
      </c>
      <c r="AR2" s="338">
        <v>43922</v>
      </c>
      <c r="AS2" s="338">
        <v>44013</v>
      </c>
      <c r="AT2" s="338">
        <v>44105</v>
      </c>
      <c r="AU2" s="338">
        <v>44197</v>
      </c>
      <c r="AV2" s="338" t="s">
        <v>327</v>
      </c>
      <c r="AW2" s="338"/>
      <c r="AX2" s="338">
        <v>42552</v>
      </c>
      <c r="AY2" s="338">
        <v>42644</v>
      </c>
      <c r="AZ2" s="338">
        <v>42736</v>
      </c>
      <c r="BA2" s="338">
        <v>42826</v>
      </c>
      <c r="BB2" s="338">
        <v>42917</v>
      </c>
      <c r="BC2" s="338">
        <v>43009</v>
      </c>
      <c r="BD2" s="338">
        <v>43101</v>
      </c>
      <c r="BE2" s="338">
        <v>43191</v>
      </c>
      <c r="BF2" s="338">
        <v>43282</v>
      </c>
      <c r="BG2" s="338">
        <v>43374</v>
      </c>
      <c r="BH2" s="338">
        <v>43466</v>
      </c>
      <c r="BI2" s="338">
        <v>43556</v>
      </c>
      <c r="BJ2" s="338">
        <v>43647</v>
      </c>
      <c r="BK2" s="338">
        <v>43739</v>
      </c>
      <c r="BL2" s="338">
        <v>43831</v>
      </c>
      <c r="BM2" s="338">
        <v>43922</v>
      </c>
      <c r="BN2" s="338">
        <v>44013</v>
      </c>
      <c r="BO2" s="338">
        <v>44105</v>
      </c>
      <c r="BP2" s="338">
        <v>44197</v>
      </c>
      <c r="BQ2" s="338">
        <v>44198</v>
      </c>
      <c r="BR2" t="s">
        <v>197</v>
      </c>
      <c r="BS2" t="s">
        <v>385</v>
      </c>
      <c r="BT2" t="s">
        <v>386</v>
      </c>
    </row>
    <row r="3" spans="1:72" x14ac:dyDescent="0.25">
      <c r="A3" s="285" t="s">
        <v>123</v>
      </c>
      <c r="C3" s="285"/>
      <c r="E3" t="s">
        <v>146</v>
      </c>
      <c r="F3" s="337" t="s">
        <v>144</v>
      </c>
      <c r="G3" s="337" t="s">
        <v>148</v>
      </c>
      <c r="H3" s="339" t="s">
        <v>149</v>
      </c>
      <c r="I3" s="337" t="s">
        <v>150</v>
      </c>
      <c r="J3" s="337" t="s">
        <v>151</v>
      </c>
      <c r="K3" s="340" t="s">
        <v>152</v>
      </c>
      <c r="L3" s="337" t="s">
        <v>153</v>
      </c>
      <c r="M3" s="337" t="s">
        <v>154</v>
      </c>
      <c r="N3" s="337" t="s">
        <v>155</v>
      </c>
      <c r="O3" s="337" t="s">
        <v>156</v>
      </c>
      <c r="P3" s="337" t="s">
        <v>157</v>
      </c>
      <c r="Q3" s="337" t="s">
        <v>158</v>
      </c>
      <c r="R3" s="337" t="s">
        <v>159</v>
      </c>
      <c r="S3" s="337" t="s">
        <v>160</v>
      </c>
      <c r="T3" s="337" t="s">
        <v>162</v>
      </c>
      <c r="U3" s="341" t="s">
        <v>259</v>
      </c>
      <c r="V3" s="337" t="s">
        <v>274</v>
      </c>
      <c r="W3" s="337" t="s">
        <v>275</v>
      </c>
      <c r="X3" s="348">
        <v>19</v>
      </c>
      <c r="Y3" s="348">
        <v>20</v>
      </c>
      <c r="Z3" s="337"/>
      <c r="AA3" s="337"/>
      <c r="AB3" s="337"/>
      <c r="AC3" s="342" t="s">
        <v>144</v>
      </c>
      <c r="AD3" s="342" t="s">
        <v>148</v>
      </c>
      <c r="AE3" s="342" t="s">
        <v>149</v>
      </c>
      <c r="AF3" s="342" t="s">
        <v>150</v>
      </c>
      <c r="AG3" s="342" t="s">
        <v>151</v>
      </c>
      <c r="AH3" s="342" t="s">
        <v>152</v>
      </c>
      <c r="AI3" s="342" t="s">
        <v>153</v>
      </c>
      <c r="AJ3" s="342" t="s">
        <v>154</v>
      </c>
      <c r="AK3" s="342" t="s">
        <v>155</v>
      </c>
      <c r="AL3" s="342" t="s">
        <v>156</v>
      </c>
      <c r="AM3" s="342" t="s">
        <v>157</v>
      </c>
      <c r="AN3" s="342" t="s">
        <v>158</v>
      </c>
      <c r="AO3" s="342" t="s">
        <v>159</v>
      </c>
      <c r="AP3" s="342" t="s">
        <v>160</v>
      </c>
      <c r="AQ3" s="342" t="s">
        <v>162</v>
      </c>
      <c r="AR3" s="342" t="s">
        <v>259</v>
      </c>
      <c r="AS3" s="342" t="s">
        <v>274</v>
      </c>
      <c r="AT3" s="342" t="s">
        <v>275</v>
      </c>
      <c r="AU3" s="342" t="s">
        <v>277</v>
      </c>
      <c r="AV3" s="365">
        <v>20</v>
      </c>
      <c r="AW3" s="343"/>
      <c r="AX3" s="330" t="s">
        <v>144</v>
      </c>
      <c r="AY3" s="330" t="s">
        <v>148</v>
      </c>
      <c r="AZ3" s="330" t="s">
        <v>149</v>
      </c>
      <c r="BA3" s="330" t="s">
        <v>150</v>
      </c>
      <c r="BB3" s="330" t="s">
        <v>151</v>
      </c>
      <c r="BC3" s="330" t="s">
        <v>152</v>
      </c>
      <c r="BD3" s="330" t="s">
        <v>153</v>
      </c>
      <c r="BE3" s="330" t="s">
        <v>154</v>
      </c>
      <c r="BF3" s="330" t="s">
        <v>155</v>
      </c>
      <c r="BG3" s="330" t="s">
        <v>156</v>
      </c>
      <c r="BH3" s="330" t="s">
        <v>157</v>
      </c>
      <c r="BI3" s="330" t="s">
        <v>158</v>
      </c>
      <c r="BJ3" s="330" t="s">
        <v>159</v>
      </c>
      <c r="BK3" s="330" t="s">
        <v>160</v>
      </c>
      <c r="BL3" s="330" t="s">
        <v>162</v>
      </c>
      <c r="BM3" s="331" t="s">
        <v>259</v>
      </c>
      <c r="BN3" s="331" t="s">
        <v>274</v>
      </c>
      <c r="BO3" s="331" t="s">
        <v>275</v>
      </c>
      <c r="BP3" s="331" t="s">
        <v>277</v>
      </c>
      <c r="BQ3" s="331" t="s">
        <v>328</v>
      </c>
    </row>
    <row r="4" spans="1:72" s="235" customFormat="1" ht="15" hidden="1" customHeight="1" x14ac:dyDescent="0.25">
      <c r="A4" s="451" t="s">
        <v>124</v>
      </c>
      <c r="B4" s="452" t="str">
        <f>VLOOKUP(A4,'DFP-Com'!$A$16:$B$50,2,1)</f>
        <v xml:space="preserve">     1.1.a  Education Project Implementation Contract</v>
      </c>
      <c r="C4" s="410" t="s">
        <v>228</v>
      </c>
      <c r="D4" s="453">
        <v>7593016.0899999999</v>
      </c>
      <c r="E4" s="454" t="s">
        <v>195</v>
      </c>
      <c r="F4" s="455"/>
      <c r="G4" s="455"/>
      <c r="H4" s="455"/>
      <c r="I4" s="455">
        <v>0</v>
      </c>
      <c r="J4" s="455">
        <v>9.5563140048607498E-2</v>
      </c>
      <c r="K4" s="455">
        <v>8.1911261958092341E-2</v>
      </c>
      <c r="L4" s="456">
        <v>7.5085323571334614E-2</v>
      </c>
      <c r="M4" s="455"/>
      <c r="N4" s="455">
        <v>6.8259385184576901E-2</v>
      </c>
      <c r="O4" s="455">
        <v>0</v>
      </c>
      <c r="P4" s="455">
        <v>9.5563139903737535E-2</v>
      </c>
      <c r="Q4" s="455">
        <v>0.16382252508831444</v>
      </c>
      <c r="R4" s="455">
        <v>7.16723545095658E-2</v>
      </c>
      <c r="S4" s="455">
        <v>7.5085323793876071E-2</v>
      </c>
      <c r="T4" s="455">
        <v>6.8259385225255528E-2</v>
      </c>
      <c r="U4" s="455">
        <v>6.8259385225255528E-2</v>
      </c>
      <c r="V4" s="455">
        <v>0</v>
      </c>
      <c r="W4" s="455">
        <v>0.13651877168615351</v>
      </c>
      <c r="X4" s="411">
        <f>1-(W4+V4+U4+T4+S4+R4+Q4+P4+O4+N4+M4+L4+K4+J4+I4)</f>
        <v>3.805230353037814E-9</v>
      </c>
      <c r="Y4" s="411"/>
      <c r="Z4" s="456">
        <f>SUM(F4:X4)</f>
        <v>1.0000000000000002</v>
      </c>
      <c r="AA4" s="410"/>
      <c r="AB4" s="410"/>
      <c r="AC4" s="412">
        <f t="shared" ref="AC4:AC128" si="0">F4*$D4</f>
        <v>0</v>
      </c>
      <c r="AD4" s="412">
        <f t="shared" ref="AD4:AD128" si="1">G4*$D4</f>
        <v>0</v>
      </c>
      <c r="AE4" s="412">
        <f t="shared" ref="AE4:AE128" si="2">H4*$D4</f>
        <v>0</v>
      </c>
      <c r="AF4" s="412">
        <f t="shared" ref="AF4:AF128" si="3">I4*$D4</f>
        <v>0</v>
      </c>
      <c r="AG4" s="474">
        <f>J4*$D4</f>
        <v>725612.46000000008</v>
      </c>
      <c r="AH4" s="474">
        <f>K4*$D4</f>
        <v>621953.53</v>
      </c>
      <c r="AI4" s="474">
        <f t="shared" ref="AI4" si="4">L4*$D4</f>
        <v>570124.06999999995</v>
      </c>
      <c r="AJ4" s="474">
        <f t="shared" ref="AJ4" si="5">M4*$D4</f>
        <v>0</v>
      </c>
      <c r="AK4" s="474">
        <f t="shared" ref="AK4" si="6">N4*$D4</f>
        <v>518294.61000000004</v>
      </c>
      <c r="AL4" s="474">
        <f t="shared" ref="AL4" si="7">O4*$D4</f>
        <v>0</v>
      </c>
      <c r="AM4" s="474">
        <f t="shared" ref="AM4:AM128" si="8">P4*$D4</f>
        <v>725612.45890000009</v>
      </c>
      <c r="AN4" s="474">
        <f t="shared" ref="AN4:AN128" si="9">Q4*$D4</f>
        <v>1243907.0689000001</v>
      </c>
      <c r="AO4" s="474">
        <f t="shared" ref="AO4:AO128" si="10">R4*$D4</f>
        <v>544209.34099931712</v>
      </c>
      <c r="AP4" s="474">
        <f t="shared" ref="AP4:AP128" si="11">S4*$D4</f>
        <v>570124.07168976089</v>
      </c>
      <c r="AQ4" s="474">
        <f t="shared" ref="AQ4:AQ128" si="12">T4*$D4</f>
        <v>518294.61030887347</v>
      </c>
      <c r="AR4" s="475">
        <f t="shared" ref="AR4:AR70" si="13">U4*$D4</f>
        <v>518294.61030887347</v>
      </c>
      <c r="AS4" s="475">
        <f t="shared" ref="AS4:AS137" si="14">V4*$D4</f>
        <v>0</v>
      </c>
      <c r="AT4" s="475">
        <f t="shared" ref="AT4:AT137" si="15">W4*$D4</f>
        <v>1036589.23</v>
      </c>
      <c r="AU4" s="475">
        <f t="shared" ref="AU4:AV137" si="16">X4*$D4</f>
        <v>2.8893175296772503E-2</v>
      </c>
      <c r="AV4" s="474"/>
      <c r="AW4" s="412"/>
      <c r="AX4" s="412">
        <f t="shared" ref="AX4:BN65" si="17">IF(AX$3=$E4,$D4,0)</f>
        <v>0</v>
      </c>
      <c r="AY4" s="412">
        <f t="shared" si="17"/>
        <v>0</v>
      </c>
      <c r="AZ4" s="412">
        <f t="shared" si="17"/>
        <v>0</v>
      </c>
      <c r="BA4" s="412">
        <f t="shared" si="17"/>
        <v>7593016.0899999999</v>
      </c>
      <c r="BB4" s="412">
        <f t="shared" si="17"/>
        <v>0</v>
      </c>
      <c r="BC4" s="412">
        <f t="shared" si="17"/>
        <v>0</v>
      </c>
      <c r="BD4" s="412">
        <f t="shared" si="17"/>
        <v>0</v>
      </c>
      <c r="BE4" s="412">
        <f t="shared" si="17"/>
        <v>0</v>
      </c>
      <c r="BF4" s="412">
        <f t="shared" si="17"/>
        <v>0</v>
      </c>
      <c r="BG4" s="412">
        <f t="shared" si="17"/>
        <v>0</v>
      </c>
      <c r="BH4" s="412">
        <f t="shared" si="17"/>
        <v>0</v>
      </c>
      <c r="BI4" s="412">
        <f t="shared" si="17"/>
        <v>0</v>
      </c>
      <c r="BJ4" s="412">
        <f t="shared" si="17"/>
        <v>0</v>
      </c>
      <c r="BK4" s="412">
        <f t="shared" si="17"/>
        <v>0</v>
      </c>
      <c r="BL4" s="412">
        <f t="shared" si="17"/>
        <v>0</v>
      </c>
      <c r="BM4" s="412">
        <f t="shared" si="17"/>
        <v>0</v>
      </c>
      <c r="BN4" s="412">
        <f t="shared" si="17"/>
        <v>0</v>
      </c>
      <c r="BO4" s="412">
        <f t="shared" ref="BN4:BQ25" si="18">IF(BO$3=$E4,$D4,0)</f>
        <v>0</v>
      </c>
      <c r="BP4" s="412">
        <f t="shared" si="18"/>
        <v>0</v>
      </c>
      <c r="BQ4" s="412">
        <f t="shared" si="18"/>
        <v>0</v>
      </c>
      <c r="BR4" s="370">
        <f>SUM(AC4:AV4)-SUM(AX4:BQ4)</f>
        <v>0</v>
      </c>
      <c r="BS4" s="402">
        <f t="shared" ref="BS4:BS9" si="19">D4-SUM(AX4:BQ4)</f>
        <v>0</v>
      </c>
      <c r="BT4" s="402">
        <f t="shared" ref="BT4:BT9" si="20">+D4-SUM(AC4:AV4)</f>
        <v>0</v>
      </c>
    </row>
    <row r="5" spans="1:72" s="235" customFormat="1" ht="15" hidden="1" customHeight="1" x14ac:dyDescent="0.25">
      <c r="A5" s="457" t="s">
        <v>125</v>
      </c>
      <c r="B5" s="458" t="str">
        <f>VLOOKUP(A5,'DFP-Com'!$A$16:$B$50,2,1)</f>
        <v xml:space="preserve">     1.1.b  Grants to Universities for Teacher Training (Diplomados)</v>
      </c>
      <c r="C5" s="413" t="s">
        <v>343</v>
      </c>
      <c r="D5" s="459">
        <v>1866155</v>
      </c>
      <c r="E5" s="460" t="s">
        <v>250</v>
      </c>
      <c r="F5" s="414"/>
      <c r="G5" s="414"/>
      <c r="H5" s="414"/>
      <c r="I5" s="414"/>
      <c r="J5" s="414"/>
      <c r="K5" s="414"/>
      <c r="L5" s="414"/>
      <c r="M5" s="414"/>
      <c r="N5" s="414">
        <v>0.15</v>
      </c>
      <c r="O5" s="414">
        <v>0.15</v>
      </c>
      <c r="P5" s="414">
        <v>0.05</v>
      </c>
      <c r="Q5" s="414">
        <v>0.15</v>
      </c>
      <c r="R5" s="414">
        <v>0.05</v>
      </c>
      <c r="S5" s="414">
        <v>0.15</v>
      </c>
      <c r="T5" s="414">
        <f>1-(S5+R5+Q5+P5+O5+N5+M5+L5+K5+J5+I5)-V5-W5</f>
        <v>0.20000000000000007</v>
      </c>
      <c r="U5" s="414"/>
      <c r="V5" s="414">
        <v>0.05</v>
      </c>
      <c r="W5" s="414">
        <v>0.05</v>
      </c>
      <c r="X5" s="414"/>
      <c r="Y5" s="414"/>
      <c r="Z5" s="461">
        <f t="shared" ref="Z5:Z109" si="21">SUM(F5:X5)</f>
        <v>1.0000000000000002</v>
      </c>
      <c r="AA5" s="413"/>
      <c r="AB5" s="413"/>
      <c r="AC5" s="370">
        <f t="shared" si="0"/>
        <v>0</v>
      </c>
      <c r="AD5" s="370">
        <f t="shared" si="1"/>
        <v>0</v>
      </c>
      <c r="AE5" s="370">
        <f t="shared" si="2"/>
        <v>0</v>
      </c>
      <c r="AF5" s="370">
        <f t="shared" si="3"/>
        <v>0</v>
      </c>
      <c r="AG5" s="370">
        <f>J5*$D5</f>
        <v>0</v>
      </c>
      <c r="AH5" s="370">
        <f t="shared" ref="AH5:AH128" si="22">K5*$D5</f>
        <v>0</v>
      </c>
      <c r="AI5" s="370">
        <f t="shared" ref="AI5:AI128" si="23">L5*$D5</f>
        <v>0</v>
      </c>
      <c r="AJ5" s="370">
        <f t="shared" ref="AJ5:AJ128" si="24">M5*$D5</f>
        <v>0</v>
      </c>
      <c r="AK5" s="476">
        <f>N5*$D5</f>
        <v>279923.25</v>
      </c>
      <c r="AL5" s="476">
        <f t="shared" ref="AL5:AL128" si="25">O5*$D5</f>
        <v>279923.25</v>
      </c>
      <c r="AM5" s="476">
        <f t="shared" si="8"/>
        <v>93307.75</v>
      </c>
      <c r="AN5" s="476">
        <f t="shared" si="9"/>
        <v>279923.25</v>
      </c>
      <c r="AO5" s="477">
        <f t="shared" si="10"/>
        <v>93307.75</v>
      </c>
      <c r="AP5" s="477">
        <f t="shared" si="11"/>
        <v>279923.25</v>
      </c>
      <c r="AQ5" s="477">
        <f t="shared" si="12"/>
        <v>373231.00000000012</v>
      </c>
      <c r="AR5" s="477">
        <f t="shared" si="13"/>
        <v>0</v>
      </c>
      <c r="AS5" s="477">
        <f t="shared" si="14"/>
        <v>93307.75</v>
      </c>
      <c r="AT5" s="477">
        <f t="shared" si="15"/>
        <v>93307.75</v>
      </c>
      <c r="AU5" s="477">
        <f t="shared" si="16"/>
        <v>0</v>
      </c>
      <c r="AV5" s="370"/>
      <c r="AW5" s="370"/>
      <c r="AX5" s="370">
        <f t="shared" si="17"/>
        <v>0</v>
      </c>
      <c r="AY5" s="370">
        <f t="shared" si="17"/>
        <v>0</v>
      </c>
      <c r="AZ5" s="370">
        <f t="shared" si="17"/>
        <v>0</v>
      </c>
      <c r="BA5" s="370">
        <f t="shared" si="17"/>
        <v>0</v>
      </c>
      <c r="BB5" s="370">
        <f t="shared" si="17"/>
        <v>0</v>
      </c>
      <c r="BC5" s="370">
        <f t="shared" si="17"/>
        <v>0</v>
      </c>
      <c r="BD5" s="370">
        <f t="shared" si="17"/>
        <v>0</v>
      </c>
      <c r="BE5" s="370">
        <f t="shared" si="17"/>
        <v>0</v>
      </c>
      <c r="BF5" s="477">
        <f t="shared" si="17"/>
        <v>1866155</v>
      </c>
      <c r="BG5" s="370">
        <f t="shared" si="17"/>
        <v>0</v>
      </c>
      <c r="BH5" s="370">
        <f t="shared" si="17"/>
        <v>0</v>
      </c>
      <c r="BI5" s="370">
        <f t="shared" si="17"/>
        <v>0</v>
      </c>
      <c r="BJ5" s="370">
        <f t="shared" si="17"/>
        <v>0</v>
      </c>
      <c r="BK5" s="370">
        <f t="shared" si="17"/>
        <v>0</v>
      </c>
      <c r="BL5" s="370">
        <f t="shared" si="17"/>
        <v>0</v>
      </c>
      <c r="BM5" s="370">
        <f t="shared" si="17"/>
        <v>0</v>
      </c>
      <c r="BN5" s="370">
        <f t="shared" si="18"/>
        <v>0</v>
      </c>
      <c r="BO5" s="370">
        <f t="shared" si="18"/>
        <v>0</v>
      </c>
      <c r="BP5" s="370">
        <f t="shared" si="18"/>
        <v>0</v>
      </c>
      <c r="BQ5" s="370">
        <f t="shared" si="18"/>
        <v>0</v>
      </c>
      <c r="BR5" s="370">
        <f t="shared" ref="BR5:BR92" si="26">SUM(AC5:AV5)-SUM(AX5:BQ5)</f>
        <v>0</v>
      </c>
      <c r="BS5" s="402">
        <f t="shared" si="19"/>
        <v>0</v>
      </c>
      <c r="BT5" s="402">
        <f t="shared" si="20"/>
        <v>0</v>
      </c>
    </row>
    <row r="6" spans="1:72" s="235" customFormat="1" ht="15" hidden="1" customHeight="1" x14ac:dyDescent="0.25">
      <c r="A6" s="457" t="s">
        <v>125</v>
      </c>
      <c r="B6" s="458" t="str">
        <f>VLOOKUP(A6,'DFP-Com'!$A$16:$B$50,2,1)</f>
        <v xml:space="preserve">     1.1.b  Grants to Universities for Teacher Training (Diplomados)</v>
      </c>
      <c r="C6" s="413" t="s">
        <v>313</v>
      </c>
      <c r="D6" s="459">
        <v>1109637.32</v>
      </c>
      <c r="E6" s="460" t="s">
        <v>250</v>
      </c>
      <c r="F6" s="414"/>
      <c r="G6" s="414"/>
      <c r="H6" s="414"/>
      <c r="I6" s="414"/>
      <c r="J6" s="414"/>
      <c r="K6" s="414"/>
      <c r="L6" s="414"/>
      <c r="M6" s="414"/>
      <c r="N6" s="414">
        <v>0.13140547579996678</v>
      </c>
      <c r="O6" s="414">
        <v>0.17720751317196146</v>
      </c>
      <c r="P6" s="414">
        <v>5.1435544723748117E-2</v>
      </c>
      <c r="Q6" s="414">
        <v>0.14768109097123736</v>
      </c>
      <c r="R6" s="414">
        <v>4.9227030323745778E-2</v>
      </c>
      <c r="S6" s="414">
        <v>0.1476810999831909</v>
      </c>
      <c r="T6" s="414">
        <v>4.9227030323745778E-2</v>
      </c>
      <c r="U6" s="414">
        <v>0.14768109097123736</v>
      </c>
      <c r="V6" s="414">
        <v>4.9227066371560033E-2</v>
      </c>
      <c r="W6" s="414">
        <v>4.9227066371560033E-2</v>
      </c>
      <c r="X6" s="414"/>
      <c r="Y6" s="414"/>
      <c r="Z6" s="461">
        <f t="shared" si="21"/>
        <v>1.0000000090119536</v>
      </c>
      <c r="AA6" s="413"/>
      <c r="AB6" s="413"/>
      <c r="AC6" s="370">
        <f t="shared" ref="AC6:AC8" si="27">F6*$D6</f>
        <v>0</v>
      </c>
      <c r="AD6" s="370">
        <f t="shared" ref="AD6:AD8" si="28">G6*$D6</f>
        <v>0</v>
      </c>
      <c r="AE6" s="370">
        <f t="shared" ref="AE6:AE8" si="29">H6*$D6</f>
        <v>0</v>
      </c>
      <c r="AF6" s="370">
        <f t="shared" ref="AF6:AF8" si="30">I6*$D6</f>
        <v>0</v>
      </c>
      <c r="AG6" s="370">
        <f t="shared" ref="AG6:AG7" si="31">J6*$D6</f>
        <v>0</v>
      </c>
      <c r="AH6" s="370">
        <f t="shared" ref="AH6:AH7" si="32">K6*$D6</f>
        <v>0</v>
      </c>
      <c r="AI6" s="370">
        <f t="shared" ref="AI6:AI8" si="33">L6*$D6</f>
        <v>0</v>
      </c>
      <c r="AJ6" s="370">
        <f t="shared" ref="AJ6:AJ8" si="34">M6*$D6</f>
        <v>0</v>
      </c>
      <c r="AK6" s="476">
        <f t="shared" ref="AK6:AK7" si="35">N6*$D6</f>
        <v>145812.42000000001</v>
      </c>
      <c r="AL6" s="476">
        <f t="shared" ref="AL6:AL8" si="36">O6*$D6</f>
        <v>196636.07</v>
      </c>
      <c r="AM6" s="476">
        <f t="shared" ref="AM6:AM8" si="37">P6*$D6</f>
        <v>57074.8</v>
      </c>
      <c r="AN6" s="476">
        <f t="shared" ref="AN6:AN8" si="38">Q6*$D6</f>
        <v>163872.45000000001</v>
      </c>
      <c r="AO6" s="477">
        <f t="shared" ref="AO6:AO8" si="39">R6*$D6</f>
        <v>54624.15</v>
      </c>
      <c r="AP6" s="477">
        <f t="shared" ref="AP6:AP8" si="40">S6*$D6</f>
        <v>163872.46</v>
      </c>
      <c r="AQ6" s="477">
        <f t="shared" ref="AQ6:AQ8" si="41">T6*$D6</f>
        <v>54624.15</v>
      </c>
      <c r="AR6" s="477">
        <f t="shared" ref="AR6:AR8" si="42">U6*$D6</f>
        <v>163872.45000000001</v>
      </c>
      <c r="AS6" s="477">
        <f t="shared" ref="AS6:AS8" si="43">V6*$D6</f>
        <v>54624.19</v>
      </c>
      <c r="AT6" s="477">
        <f t="shared" ref="AT6:AT8" si="44">W6*$D6</f>
        <v>54624.19</v>
      </c>
      <c r="AU6" s="477">
        <f t="shared" ref="AU6:AU8" si="45">X6*$D6</f>
        <v>0</v>
      </c>
      <c r="AV6" s="370"/>
      <c r="AW6" s="370"/>
      <c r="AX6" s="370">
        <f t="shared" ref="AX6:BM8" si="46">IF(AX$3=$E6,$D6,0)</f>
        <v>0</v>
      </c>
      <c r="AY6" s="370">
        <f t="shared" si="46"/>
        <v>0</v>
      </c>
      <c r="AZ6" s="370">
        <f t="shared" si="46"/>
        <v>0</v>
      </c>
      <c r="BA6" s="370">
        <f t="shared" si="46"/>
        <v>0</v>
      </c>
      <c r="BB6" s="370">
        <f t="shared" si="46"/>
        <v>0</v>
      </c>
      <c r="BC6" s="370">
        <f t="shared" si="46"/>
        <v>0</v>
      </c>
      <c r="BD6" s="370">
        <f t="shared" si="46"/>
        <v>0</v>
      </c>
      <c r="BE6" s="370">
        <f t="shared" si="46"/>
        <v>0</v>
      </c>
      <c r="BF6" s="477">
        <f t="shared" si="46"/>
        <v>1109637.32</v>
      </c>
      <c r="BG6" s="370">
        <f>IF(BG$3=$E6,$D6,0)</f>
        <v>0</v>
      </c>
      <c r="BH6" s="370">
        <f t="shared" si="46"/>
        <v>0</v>
      </c>
      <c r="BI6" s="370">
        <f t="shared" si="46"/>
        <v>0</v>
      </c>
      <c r="BJ6" s="370">
        <f t="shared" si="46"/>
        <v>0</v>
      </c>
      <c r="BK6" s="370">
        <f t="shared" si="46"/>
        <v>0</v>
      </c>
      <c r="BL6" s="370">
        <f t="shared" si="46"/>
        <v>0</v>
      </c>
      <c r="BM6" s="370">
        <f t="shared" si="46"/>
        <v>0</v>
      </c>
      <c r="BN6" s="370">
        <f t="shared" si="18"/>
        <v>0</v>
      </c>
      <c r="BO6" s="370">
        <f t="shared" si="18"/>
        <v>0</v>
      </c>
      <c r="BP6" s="370">
        <f t="shared" si="18"/>
        <v>0</v>
      </c>
      <c r="BQ6" s="370" t="s">
        <v>378</v>
      </c>
      <c r="BR6" s="478">
        <f t="shared" si="26"/>
        <v>9.9999997764825821E-3</v>
      </c>
      <c r="BS6" s="402">
        <f t="shared" si="19"/>
        <v>0</v>
      </c>
      <c r="BT6" s="402">
        <f t="shared" si="20"/>
        <v>-9.9999997764825821E-3</v>
      </c>
    </row>
    <row r="7" spans="1:72" s="235" customFormat="1" ht="15" hidden="1" customHeight="1" x14ac:dyDescent="0.25">
      <c r="A7" s="457" t="s">
        <v>125</v>
      </c>
      <c r="B7" s="458" t="str">
        <f>VLOOKUP(A7,'DFP-Com'!$A$16:$B$50,2,1)</f>
        <v xml:space="preserve">     1.1.b  Grants to Universities for Teacher Training (Diplomados)</v>
      </c>
      <c r="C7" s="413" t="s">
        <v>314</v>
      </c>
      <c r="D7" s="459">
        <v>1185760</v>
      </c>
      <c r="E7" s="460" t="s">
        <v>250</v>
      </c>
      <c r="F7" s="414"/>
      <c r="G7" s="414"/>
      <c r="H7" s="414"/>
      <c r="I7" s="414"/>
      <c r="J7" s="414"/>
      <c r="K7" s="414"/>
      <c r="L7" s="414"/>
      <c r="M7" s="414"/>
      <c r="N7" s="414">
        <v>0</v>
      </c>
      <c r="O7" s="414">
        <v>0.35</v>
      </c>
      <c r="P7" s="414">
        <v>0.05</v>
      </c>
      <c r="Q7" s="414">
        <v>0.12000000000000001</v>
      </c>
      <c r="R7" s="414">
        <v>0.05</v>
      </c>
      <c r="S7" s="414">
        <v>0.12999999999999998</v>
      </c>
      <c r="T7" s="414">
        <v>0.2</v>
      </c>
      <c r="U7" s="414">
        <v>0</v>
      </c>
      <c r="V7" s="414">
        <v>0.05</v>
      </c>
      <c r="W7" s="414">
        <v>0.05</v>
      </c>
      <c r="X7" s="414"/>
      <c r="Y7" s="414"/>
      <c r="Z7" s="461">
        <f t="shared" si="21"/>
        <v>1.0000000000000002</v>
      </c>
      <c r="AA7" s="413"/>
      <c r="AB7" s="413"/>
      <c r="AC7" s="370">
        <f t="shared" si="27"/>
        <v>0</v>
      </c>
      <c r="AD7" s="370">
        <f t="shared" si="28"/>
        <v>0</v>
      </c>
      <c r="AE7" s="370">
        <f t="shared" si="29"/>
        <v>0</v>
      </c>
      <c r="AF7" s="370">
        <f t="shared" si="30"/>
        <v>0</v>
      </c>
      <c r="AG7" s="370">
        <f t="shared" si="31"/>
        <v>0</v>
      </c>
      <c r="AH7" s="370">
        <f t="shared" si="32"/>
        <v>0</v>
      </c>
      <c r="AI7" s="370">
        <f t="shared" si="33"/>
        <v>0</v>
      </c>
      <c r="AJ7" s="370">
        <f t="shared" si="34"/>
        <v>0</v>
      </c>
      <c r="AK7" s="477">
        <f t="shared" si="35"/>
        <v>0</v>
      </c>
      <c r="AL7" s="477">
        <f t="shared" si="36"/>
        <v>415016</v>
      </c>
      <c r="AM7" s="477">
        <f t="shared" si="37"/>
        <v>59288</v>
      </c>
      <c r="AN7" s="477">
        <f t="shared" si="38"/>
        <v>142291.20000000001</v>
      </c>
      <c r="AO7" s="477">
        <f t="shared" si="39"/>
        <v>59288</v>
      </c>
      <c r="AP7" s="477">
        <f t="shared" si="40"/>
        <v>154148.79999999996</v>
      </c>
      <c r="AQ7" s="477">
        <f t="shared" si="41"/>
        <v>237152</v>
      </c>
      <c r="AR7" s="477">
        <f t="shared" si="42"/>
        <v>0</v>
      </c>
      <c r="AS7" s="477">
        <f t="shared" si="43"/>
        <v>59288</v>
      </c>
      <c r="AT7" s="477">
        <f t="shared" si="44"/>
        <v>59288</v>
      </c>
      <c r="AU7" s="370">
        <f t="shared" si="45"/>
        <v>0</v>
      </c>
      <c r="AV7" s="370"/>
      <c r="AW7" s="370"/>
      <c r="AX7" s="370">
        <f t="shared" si="46"/>
        <v>0</v>
      </c>
      <c r="AY7" s="370">
        <f t="shared" si="46"/>
        <v>0</v>
      </c>
      <c r="AZ7" s="370">
        <f t="shared" si="46"/>
        <v>0</v>
      </c>
      <c r="BA7" s="370">
        <f t="shared" si="46"/>
        <v>0</v>
      </c>
      <c r="BB7" s="370">
        <f t="shared" si="46"/>
        <v>0</v>
      </c>
      <c r="BC7" s="370">
        <f t="shared" si="46"/>
        <v>0</v>
      </c>
      <c r="BD7" s="370">
        <f t="shared" si="46"/>
        <v>0</v>
      </c>
      <c r="BE7" s="370">
        <f t="shared" si="46"/>
        <v>0</v>
      </c>
      <c r="BF7" s="477">
        <f t="shared" si="46"/>
        <v>1185760</v>
      </c>
      <c r="BG7" s="370">
        <f t="shared" si="46"/>
        <v>0</v>
      </c>
      <c r="BH7" s="370">
        <f t="shared" si="46"/>
        <v>0</v>
      </c>
      <c r="BI7" s="370">
        <f t="shared" si="46"/>
        <v>0</v>
      </c>
      <c r="BJ7" s="370">
        <f t="shared" si="46"/>
        <v>0</v>
      </c>
      <c r="BK7" s="370">
        <f t="shared" si="46"/>
        <v>0</v>
      </c>
      <c r="BL7" s="370">
        <f t="shared" si="46"/>
        <v>0</v>
      </c>
      <c r="BM7" s="370">
        <f t="shared" si="46"/>
        <v>0</v>
      </c>
      <c r="BN7" s="370">
        <f t="shared" si="18"/>
        <v>0</v>
      </c>
      <c r="BO7" s="370">
        <f t="shared" si="18"/>
        <v>0</v>
      </c>
      <c r="BP7" s="370">
        <f t="shared" si="18"/>
        <v>0</v>
      </c>
      <c r="BQ7" s="370">
        <f t="shared" si="18"/>
        <v>0</v>
      </c>
      <c r="BR7" s="370">
        <f t="shared" si="26"/>
        <v>0</v>
      </c>
      <c r="BS7" s="402">
        <f t="shared" si="19"/>
        <v>0</v>
      </c>
      <c r="BT7" s="402">
        <f t="shared" si="20"/>
        <v>0</v>
      </c>
    </row>
    <row r="8" spans="1:72" s="235" customFormat="1" ht="15" hidden="1" customHeight="1" x14ac:dyDescent="0.25">
      <c r="A8" s="457" t="s">
        <v>125</v>
      </c>
      <c r="B8" s="458" t="str">
        <f>VLOOKUP(A8,'DFP-Com'!$A$16:$B$50,2,1)</f>
        <v xml:space="preserve">     1.1.b  Grants to Universities for Teacher Training (Diplomados)</v>
      </c>
      <c r="C8" s="413" t="s">
        <v>377</v>
      </c>
      <c r="D8" s="459">
        <v>229065.33000000002</v>
      </c>
      <c r="E8" s="460" t="s">
        <v>305</v>
      </c>
      <c r="F8" s="414"/>
      <c r="G8" s="414"/>
      <c r="H8" s="414"/>
      <c r="I8" s="414"/>
      <c r="J8" s="414"/>
      <c r="K8" s="414">
        <v>0</v>
      </c>
      <c r="L8" s="414">
        <v>0</v>
      </c>
      <c r="M8" s="414">
        <v>0</v>
      </c>
      <c r="N8" s="414">
        <v>0</v>
      </c>
      <c r="O8" s="414">
        <v>0</v>
      </c>
      <c r="P8" s="414">
        <v>0</v>
      </c>
      <c r="Q8" s="414">
        <v>0</v>
      </c>
      <c r="R8" s="414">
        <v>0.75855241821187003</v>
      </c>
      <c r="S8" s="462">
        <v>8.6311010051150036E-2</v>
      </c>
      <c r="T8" s="462">
        <v>9.9705442111209047E-2</v>
      </c>
      <c r="U8" s="414">
        <v>0</v>
      </c>
      <c r="V8" s="414">
        <v>5.5431129625770965E-2</v>
      </c>
      <c r="W8" s="414"/>
      <c r="X8" s="414"/>
      <c r="Y8" s="414"/>
      <c r="Z8" s="461">
        <f>SUM(F8:X8)</f>
        <v>1</v>
      </c>
      <c r="AA8" s="413"/>
      <c r="AB8" s="413"/>
      <c r="AC8" s="370">
        <f t="shared" si="27"/>
        <v>0</v>
      </c>
      <c r="AD8" s="370">
        <f t="shared" si="28"/>
        <v>0</v>
      </c>
      <c r="AE8" s="370">
        <f t="shared" si="29"/>
        <v>0</v>
      </c>
      <c r="AF8" s="370">
        <f t="shared" si="30"/>
        <v>0</v>
      </c>
      <c r="AG8" s="476">
        <f>J8*$D8</f>
        <v>0</v>
      </c>
      <c r="AH8" s="476">
        <v>0</v>
      </c>
      <c r="AI8" s="476">
        <f t="shared" si="33"/>
        <v>0</v>
      </c>
      <c r="AJ8" s="476">
        <f t="shared" si="34"/>
        <v>0</v>
      </c>
      <c r="AK8" s="476">
        <f>N8*$D8</f>
        <v>0</v>
      </c>
      <c r="AL8" s="476">
        <f t="shared" si="36"/>
        <v>0</v>
      </c>
      <c r="AM8" s="476">
        <f t="shared" si="37"/>
        <v>0</v>
      </c>
      <c r="AN8" s="476">
        <f t="shared" si="38"/>
        <v>0</v>
      </c>
      <c r="AO8" s="476">
        <f t="shared" si="39"/>
        <v>173758.06000000003</v>
      </c>
      <c r="AP8" s="476">
        <f t="shared" si="40"/>
        <v>19770.86</v>
      </c>
      <c r="AQ8" s="476">
        <f t="shared" si="41"/>
        <v>22839.059999999998</v>
      </c>
      <c r="AR8" s="370">
        <f t="shared" si="42"/>
        <v>0</v>
      </c>
      <c r="AS8" s="476">
        <f t="shared" si="43"/>
        <v>12697.350000000004</v>
      </c>
      <c r="AT8" s="370">
        <f t="shared" si="44"/>
        <v>0</v>
      </c>
      <c r="AU8" s="476">
        <f t="shared" si="45"/>
        <v>0</v>
      </c>
      <c r="AV8" s="476"/>
      <c r="AW8" s="370"/>
      <c r="AX8" s="370">
        <f t="shared" si="17"/>
        <v>0</v>
      </c>
      <c r="AY8" s="370">
        <f t="shared" si="17"/>
        <v>0</v>
      </c>
      <c r="AZ8" s="370">
        <f t="shared" si="46"/>
        <v>0</v>
      </c>
      <c r="BA8" s="370">
        <f t="shared" si="46"/>
        <v>0</v>
      </c>
      <c r="BB8" s="370">
        <f t="shared" si="46"/>
        <v>0</v>
      </c>
      <c r="BC8" s="370">
        <f t="shared" si="46"/>
        <v>0</v>
      </c>
      <c r="BD8" s="370">
        <f t="shared" si="46"/>
        <v>0</v>
      </c>
      <c r="BE8" s="370">
        <f t="shared" si="46"/>
        <v>0</v>
      </c>
      <c r="BF8" s="370">
        <f t="shared" si="46"/>
        <v>0</v>
      </c>
      <c r="BG8" s="370">
        <f t="shared" si="46"/>
        <v>0</v>
      </c>
      <c r="BH8" s="370">
        <f t="shared" si="46"/>
        <v>0</v>
      </c>
      <c r="BI8" s="370">
        <f t="shared" si="46"/>
        <v>0</v>
      </c>
      <c r="BJ8" s="370">
        <f t="shared" si="46"/>
        <v>229065.33000000002</v>
      </c>
      <c r="BK8" s="370">
        <f t="shared" si="46"/>
        <v>0</v>
      </c>
      <c r="BL8" s="370">
        <f t="shared" si="46"/>
        <v>0</v>
      </c>
      <c r="BM8" s="370">
        <f t="shared" si="46"/>
        <v>0</v>
      </c>
      <c r="BN8" s="370">
        <f t="shared" si="18"/>
        <v>0</v>
      </c>
      <c r="BO8" s="370">
        <f t="shared" si="18"/>
        <v>0</v>
      </c>
      <c r="BP8" s="370">
        <f t="shared" si="18"/>
        <v>0</v>
      </c>
      <c r="BQ8" s="370">
        <f t="shared" si="18"/>
        <v>0</v>
      </c>
      <c r="BR8" s="370">
        <f t="shared" ref="BR8" si="47">SUM(AC8:AV8)-SUM(AX8:BQ8)</f>
        <v>0</v>
      </c>
      <c r="BS8" s="402">
        <f t="shared" si="19"/>
        <v>0</v>
      </c>
      <c r="BT8" s="402">
        <f t="shared" si="20"/>
        <v>0</v>
      </c>
    </row>
    <row r="9" spans="1:72" s="235" customFormat="1" ht="15" hidden="1" customHeight="1" x14ac:dyDescent="0.25">
      <c r="A9" s="463" t="s">
        <v>126</v>
      </c>
      <c r="B9" s="464" t="str">
        <f>VLOOKUP(A9,'DFP-Com'!$A$16:$B$50,2,1)</f>
        <v xml:space="preserve">     1.1.c  Other</v>
      </c>
      <c r="C9" s="465" t="s">
        <v>344</v>
      </c>
      <c r="D9" s="466">
        <v>529.46</v>
      </c>
      <c r="E9" s="467" t="s">
        <v>212</v>
      </c>
      <c r="F9" s="468"/>
      <c r="G9" s="468"/>
      <c r="H9" s="468"/>
      <c r="I9" s="468"/>
      <c r="J9" s="468">
        <v>0</v>
      </c>
      <c r="K9" s="468">
        <v>0</v>
      </c>
      <c r="L9" s="468">
        <v>0</v>
      </c>
      <c r="M9" s="468">
        <v>1</v>
      </c>
      <c r="N9" s="468">
        <v>0</v>
      </c>
      <c r="O9" s="468"/>
      <c r="P9" s="468"/>
      <c r="Q9" s="468"/>
      <c r="R9" s="468"/>
      <c r="S9" s="468"/>
      <c r="T9" s="468"/>
      <c r="U9" s="468"/>
      <c r="V9" s="468"/>
      <c r="W9" s="468"/>
      <c r="X9" s="468"/>
      <c r="Y9" s="468"/>
      <c r="Z9" s="469">
        <f t="shared" si="21"/>
        <v>1</v>
      </c>
      <c r="AA9" s="465"/>
      <c r="AB9" s="465"/>
      <c r="AC9" s="479">
        <f t="shared" ref="AC9" si="48">F9*$D9</f>
        <v>0</v>
      </c>
      <c r="AD9" s="479">
        <f t="shared" ref="AD9" si="49">G9*$D9</f>
        <v>0</v>
      </c>
      <c r="AE9" s="479">
        <f t="shared" ref="AE9" si="50">H9*$D9</f>
        <v>0</v>
      </c>
      <c r="AF9" s="479">
        <f t="shared" ref="AF9" si="51">I9*$D9</f>
        <v>0</v>
      </c>
      <c r="AG9" s="479">
        <f t="shared" ref="AG9" si="52">J9*$D9</f>
        <v>0</v>
      </c>
      <c r="AH9" s="479">
        <f t="shared" ref="AH9" si="53">K9*$D9</f>
        <v>0</v>
      </c>
      <c r="AI9" s="479">
        <f t="shared" ref="AI9" si="54">L9*$D9</f>
        <v>0</v>
      </c>
      <c r="AJ9" s="479">
        <f t="shared" ref="AJ9" si="55">M9*$D9</f>
        <v>529.46</v>
      </c>
      <c r="AK9" s="479">
        <f t="shared" ref="AK9" si="56">N9*$D9</f>
        <v>0</v>
      </c>
      <c r="AL9" s="479">
        <f t="shared" ref="AL9" si="57">O9*$D9</f>
        <v>0</v>
      </c>
      <c r="AM9" s="479">
        <f t="shared" ref="AM9" si="58">P9*$D9</f>
        <v>0</v>
      </c>
      <c r="AN9" s="479">
        <f t="shared" ref="AN9" si="59">Q9*$D9</f>
        <v>0</v>
      </c>
      <c r="AO9" s="479">
        <f t="shared" ref="AO9" si="60">R9*$D9</f>
        <v>0</v>
      </c>
      <c r="AP9" s="480">
        <f t="shared" ref="AP9" si="61">S9*$D9</f>
        <v>0</v>
      </c>
      <c r="AQ9" s="480">
        <f t="shared" ref="AQ9" si="62">T9*$D9</f>
        <v>0</v>
      </c>
      <c r="AR9" s="480">
        <f t="shared" si="13"/>
        <v>0</v>
      </c>
      <c r="AS9" s="480">
        <f t="shared" si="14"/>
        <v>0</v>
      </c>
      <c r="AT9" s="480">
        <f t="shared" si="15"/>
        <v>0</v>
      </c>
      <c r="AU9" s="479">
        <f t="shared" si="16"/>
        <v>0</v>
      </c>
      <c r="AV9" s="479"/>
      <c r="AW9" s="479"/>
      <c r="AX9" s="479">
        <f t="shared" si="17"/>
        <v>0</v>
      </c>
      <c r="AY9" s="479">
        <f t="shared" si="17"/>
        <v>0</v>
      </c>
      <c r="AZ9" s="479">
        <f t="shared" si="17"/>
        <v>0</v>
      </c>
      <c r="BA9" s="479">
        <f t="shared" si="17"/>
        <v>0</v>
      </c>
      <c r="BB9" s="479">
        <v>0</v>
      </c>
      <c r="BC9" s="479">
        <v>0</v>
      </c>
      <c r="BD9" s="479">
        <f t="shared" si="17"/>
        <v>0</v>
      </c>
      <c r="BE9" s="479">
        <f t="shared" si="17"/>
        <v>529.46</v>
      </c>
      <c r="BF9" s="479">
        <f t="shared" si="17"/>
        <v>0</v>
      </c>
      <c r="BG9" s="479">
        <f t="shared" si="17"/>
        <v>0</v>
      </c>
      <c r="BH9" s="479">
        <f t="shared" si="17"/>
        <v>0</v>
      </c>
      <c r="BI9" s="479">
        <f t="shared" si="17"/>
        <v>0</v>
      </c>
      <c r="BJ9" s="479">
        <f t="shared" si="17"/>
        <v>0</v>
      </c>
      <c r="BK9" s="479">
        <f t="shared" si="17"/>
        <v>0</v>
      </c>
      <c r="BL9" s="479">
        <f t="shared" si="17"/>
        <v>0</v>
      </c>
      <c r="BM9" s="479">
        <f t="shared" si="17"/>
        <v>0</v>
      </c>
      <c r="BN9" s="479">
        <f t="shared" si="18"/>
        <v>0</v>
      </c>
      <c r="BO9" s="479">
        <f t="shared" si="18"/>
        <v>0</v>
      </c>
      <c r="BP9" s="479">
        <f t="shared" si="18"/>
        <v>0</v>
      </c>
      <c r="BQ9" s="479">
        <f t="shared" si="18"/>
        <v>0</v>
      </c>
      <c r="BR9" s="370">
        <f t="shared" si="26"/>
        <v>0</v>
      </c>
      <c r="BS9" s="402">
        <f t="shared" si="19"/>
        <v>0</v>
      </c>
      <c r="BT9" s="402">
        <f t="shared" si="20"/>
        <v>0</v>
      </c>
    </row>
    <row r="10" spans="1:72" s="235" customFormat="1" ht="15" hidden="1" customHeight="1" x14ac:dyDescent="0.25">
      <c r="A10" s="235" t="s">
        <v>127</v>
      </c>
      <c r="B10" s="235" t="str">
        <f>VLOOKUP(A10,'DFP-Com'!$A$16:$B$50,2,1)</f>
        <v xml:space="preserve">     1.2.a  TVET</v>
      </c>
      <c r="C10" s="344" t="s">
        <v>319</v>
      </c>
      <c r="D10" s="415">
        <v>2329506.84</v>
      </c>
      <c r="E10" s="470" t="s">
        <v>165</v>
      </c>
      <c r="F10" s="345">
        <v>0</v>
      </c>
      <c r="G10" s="345">
        <v>0</v>
      </c>
      <c r="H10" s="345">
        <v>0</v>
      </c>
      <c r="I10" s="345">
        <v>0</v>
      </c>
      <c r="J10" s="345">
        <v>0</v>
      </c>
      <c r="K10" s="345">
        <v>0</v>
      </c>
      <c r="L10" s="416">
        <v>5.9999999828289845E-2</v>
      </c>
      <c r="M10" s="345">
        <v>2.0000001373681308E-2</v>
      </c>
      <c r="N10" s="345">
        <v>8.0000001201971149E-2</v>
      </c>
      <c r="O10" s="345">
        <v>0.11000000755524721</v>
      </c>
      <c r="P10" s="345">
        <v>0.140000001030261</v>
      </c>
      <c r="Q10" s="345">
        <v>0</v>
      </c>
      <c r="R10" s="345">
        <v>0.13000000463617442</v>
      </c>
      <c r="S10" s="345">
        <v>0.10000000257565246</v>
      </c>
      <c r="T10" s="345">
        <v>0.10000000257565246</v>
      </c>
      <c r="U10" s="345">
        <v>8.0000001201971149E-2</v>
      </c>
      <c r="V10" s="345">
        <v>0.17999997802109907</v>
      </c>
      <c r="W10" s="345">
        <v>0</v>
      </c>
      <c r="X10" s="345">
        <v>0</v>
      </c>
      <c r="Y10" s="345"/>
      <c r="Z10" s="416">
        <f t="shared" si="21"/>
        <v>1</v>
      </c>
      <c r="AA10" s="344"/>
      <c r="AB10" s="344"/>
      <c r="AC10" s="333">
        <f t="shared" si="0"/>
        <v>0</v>
      </c>
      <c r="AD10" s="333">
        <f t="shared" si="1"/>
        <v>0</v>
      </c>
      <c r="AE10" s="333">
        <f t="shared" si="2"/>
        <v>0</v>
      </c>
      <c r="AF10" s="333">
        <f t="shared" si="3"/>
        <v>0</v>
      </c>
      <c r="AG10" s="333">
        <f>J10*$D10</f>
        <v>0</v>
      </c>
      <c r="AH10" s="333">
        <f t="shared" si="22"/>
        <v>0</v>
      </c>
      <c r="AI10" s="333">
        <f t="shared" si="23"/>
        <v>139770.41</v>
      </c>
      <c r="AJ10" s="333">
        <f t="shared" si="24"/>
        <v>46590.14</v>
      </c>
      <c r="AK10" s="333">
        <f>N10*$D10</f>
        <v>186360.55</v>
      </c>
      <c r="AL10" s="333">
        <f t="shared" si="25"/>
        <v>256245.77000000002</v>
      </c>
      <c r="AM10" s="333">
        <f t="shared" si="8"/>
        <v>326130.96000000002</v>
      </c>
      <c r="AN10" s="333">
        <f t="shared" si="9"/>
        <v>0</v>
      </c>
      <c r="AO10" s="333">
        <f t="shared" si="10"/>
        <v>302835.90000000002</v>
      </c>
      <c r="AP10" s="333">
        <f t="shared" si="11"/>
        <v>232950.69</v>
      </c>
      <c r="AQ10" s="333">
        <f t="shared" si="12"/>
        <v>232950.69</v>
      </c>
      <c r="AR10" s="333">
        <f t="shared" si="13"/>
        <v>186360.55</v>
      </c>
      <c r="AS10" s="333">
        <f t="shared" si="14"/>
        <v>419311.17999999993</v>
      </c>
      <c r="AT10" s="333">
        <f t="shared" si="15"/>
        <v>0</v>
      </c>
      <c r="AU10" s="333">
        <f t="shared" si="16"/>
        <v>0</v>
      </c>
      <c r="AV10" s="415"/>
      <c r="AW10" s="346"/>
      <c r="AX10" s="346">
        <f t="shared" si="17"/>
        <v>0</v>
      </c>
      <c r="AY10" s="346">
        <f t="shared" si="17"/>
        <v>0</v>
      </c>
      <c r="AZ10" s="346">
        <f t="shared" si="17"/>
        <v>0</v>
      </c>
      <c r="BA10" s="346">
        <f t="shared" si="17"/>
        <v>0</v>
      </c>
      <c r="BB10" s="346">
        <f t="shared" si="17"/>
        <v>0</v>
      </c>
      <c r="BC10" s="346">
        <f t="shared" si="17"/>
        <v>2329506.84</v>
      </c>
      <c r="BD10" s="346">
        <f t="shared" si="17"/>
        <v>0</v>
      </c>
      <c r="BE10" s="346">
        <f t="shared" si="17"/>
        <v>0</v>
      </c>
      <c r="BF10" s="346">
        <f t="shared" si="17"/>
        <v>0</v>
      </c>
      <c r="BG10" s="346">
        <f t="shared" si="17"/>
        <v>0</v>
      </c>
      <c r="BH10" s="346">
        <f t="shared" si="17"/>
        <v>0</v>
      </c>
      <c r="BI10" s="346">
        <f t="shared" si="17"/>
        <v>0</v>
      </c>
      <c r="BJ10" s="346">
        <f t="shared" si="17"/>
        <v>0</v>
      </c>
      <c r="BK10" s="346">
        <f t="shared" si="17"/>
        <v>0</v>
      </c>
      <c r="BL10" s="346">
        <f t="shared" si="17"/>
        <v>0</v>
      </c>
      <c r="BM10" s="346">
        <f t="shared" si="17"/>
        <v>0</v>
      </c>
      <c r="BN10" s="346">
        <f t="shared" si="18"/>
        <v>0</v>
      </c>
      <c r="BO10" s="346">
        <f t="shared" si="18"/>
        <v>0</v>
      </c>
      <c r="BP10" s="346">
        <f t="shared" si="18"/>
        <v>0</v>
      </c>
      <c r="BQ10" s="346">
        <f t="shared" si="18"/>
        <v>0</v>
      </c>
      <c r="BR10" s="370">
        <f t="shared" si="26"/>
        <v>0</v>
      </c>
      <c r="BS10" s="402">
        <f>D10-SUM(AX10:BQ10)</f>
        <v>0</v>
      </c>
      <c r="BT10" s="402">
        <f>+D10-SUM(AC10:AV10)</f>
        <v>0</v>
      </c>
    </row>
    <row r="11" spans="1:72" s="235" customFormat="1" ht="15" hidden="1" customHeight="1" x14ac:dyDescent="0.25">
      <c r="A11" s="235" t="s">
        <v>127</v>
      </c>
      <c r="B11" s="235" t="str">
        <f>VLOOKUP(A11,'DFP-Com'!$A$16:$B$50,2,1)</f>
        <v xml:space="preserve">     1.2.a  TVET</v>
      </c>
      <c r="C11" s="344" t="s">
        <v>320</v>
      </c>
      <c r="D11" s="415">
        <v>1200000</v>
      </c>
      <c r="E11" s="470" t="s">
        <v>250</v>
      </c>
      <c r="F11" s="417"/>
      <c r="G11" s="417"/>
      <c r="H11" s="417"/>
      <c r="I11" s="417"/>
      <c r="J11" s="417"/>
      <c r="K11" s="345"/>
      <c r="L11" s="345"/>
      <c r="M11" s="345"/>
      <c r="N11" s="345"/>
      <c r="O11" s="345">
        <v>0.1</v>
      </c>
      <c r="P11" s="345">
        <v>0.04</v>
      </c>
      <c r="Q11" s="345">
        <v>0.14000000000000001</v>
      </c>
      <c r="R11" s="345">
        <v>0.1</v>
      </c>
      <c r="S11" s="345">
        <v>0.2</v>
      </c>
      <c r="T11" s="345">
        <v>0.15</v>
      </c>
      <c r="U11" s="345">
        <v>0.05</v>
      </c>
      <c r="V11" s="418">
        <v>0.08</v>
      </c>
      <c r="W11" s="345">
        <v>0.14000000000000001</v>
      </c>
      <c r="X11" s="345"/>
      <c r="Y11" s="345"/>
      <c r="Z11" s="416">
        <f>SUM(F11:X11)</f>
        <v>1</v>
      </c>
      <c r="AA11" s="344"/>
      <c r="AB11" s="344"/>
      <c r="AC11" s="333">
        <f t="shared" si="0"/>
        <v>0</v>
      </c>
      <c r="AD11" s="333">
        <f t="shared" si="1"/>
        <v>0</v>
      </c>
      <c r="AE11" s="333">
        <f t="shared" si="2"/>
        <v>0</v>
      </c>
      <c r="AF11" s="333">
        <f t="shared" si="3"/>
        <v>0</v>
      </c>
      <c r="AG11" s="333">
        <f t="shared" ref="AG11" si="63">J11*$D11</f>
        <v>0</v>
      </c>
      <c r="AH11" s="333">
        <f t="shared" si="22"/>
        <v>0</v>
      </c>
      <c r="AI11" s="333">
        <f t="shared" si="23"/>
        <v>0</v>
      </c>
      <c r="AJ11" s="333">
        <f t="shared" si="24"/>
        <v>0</v>
      </c>
      <c r="AK11" s="333">
        <f t="shared" ref="AK11" si="64">N11*$D11</f>
        <v>0</v>
      </c>
      <c r="AL11" s="333">
        <f t="shared" si="25"/>
        <v>120000</v>
      </c>
      <c r="AM11" s="333">
        <f t="shared" si="8"/>
        <v>48000</v>
      </c>
      <c r="AN11" s="333">
        <f t="shared" si="9"/>
        <v>168000.00000000003</v>
      </c>
      <c r="AO11" s="333">
        <f t="shared" si="10"/>
        <v>120000</v>
      </c>
      <c r="AP11" s="333">
        <f t="shared" si="11"/>
        <v>240000</v>
      </c>
      <c r="AQ11" s="333">
        <f t="shared" si="12"/>
        <v>180000</v>
      </c>
      <c r="AR11" s="333">
        <f t="shared" si="13"/>
        <v>60000</v>
      </c>
      <c r="AS11" s="333">
        <f t="shared" si="14"/>
        <v>96000</v>
      </c>
      <c r="AT11" s="333">
        <f t="shared" si="15"/>
        <v>168000.00000000003</v>
      </c>
      <c r="AU11" s="333">
        <f t="shared" si="16"/>
        <v>0</v>
      </c>
      <c r="AV11" s="415"/>
      <c r="AW11" s="346"/>
      <c r="AX11" s="346">
        <f t="shared" si="17"/>
        <v>0</v>
      </c>
      <c r="AY11" s="346">
        <f t="shared" si="17"/>
        <v>0</v>
      </c>
      <c r="AZ11" s="346">
        <f t="shared" si="17"/>
        <v>0</v>
      </c>
      <c r="BA11" s="346">
        <f t="shared" si="17"/>
        <v>0</v>
      </c>
      <c r="BB11" s="346">
        <f t="shared" si="17"/>
        <v>0</v>
      </c>
      <c r="BC11" s="346">
        <f t="shared" si="17"/>
        <v>0</v>
      </c>
      <c r="BD11" s="346">
        <f t="shared" si="17"/>
        <v>0</v>
      </c>
      <c r="BE11" s="346">
        <f t="shared" si="17"/>
        <v>0</v>
      </c>
      <c r="BF11" s="346">
        <f t="shared" si="17"/>
        <v>1200000</v>
      </c>
      <c r="BG11" s="346">
        <f t="shared" si="17"/>
        <v>0</v>
      </c>
      <c r="BH11" s="346">
        <f t="shared" si="17"/>
        <v>0</v>
      </c>
      <c r="BI11" s="346">
        <f t="shared" si="17"/>
        <v>0</v>
      </c>
      <c r="BJ11" s="346">
        <f t="shared" si="17"/>
        <v>0</v>
      </c>
      <c r="BK11" s="346">
        <f t="shared" si="17"/>
        <v>0</v>
      </c>
      <c r="BL11" s="346">
        <f t="shared" si="17"/>
        <v>0</v>
      </c>
      <c r="BM11" s="346">
        <f t="shared" si="17"/>
        <v>0</v>
      </c>
      <c r="BN11" s="346">
        <f t="shared" si="18"/>
        <v>0</v>
      </c>
      <c r="BO11" s="346">
        <f t="shared" si="18"/>
        <v>0</v>
      </c>
      <c r="BP11" s="346">
        <f t="shared" si="18"/>
        <v>0</v>
      </c>
      <c r="BQ11" s="346">
        <f t="shared" si="18"/>
        <v>0</v>
      </c>
      <c r="BR11" s="370">
        <f t="shared" ref="BR11" si="65">SUM(AC11:AV11)-SUM(AX11:BQ11)</f>
        <v>0</v>
      </c>
      <c r="BS11" s="402">
        <f t="shared" ref="BS11:BS28" si="66">D11-SUM(AX11:BQ11)</f>
        <v>0</v>
      </c>
      <c r="BT11" s="402">
        <f t="shared" ref="BT11:BT28" si="67">+D11-SUM(AC11:AV11)</f>
        <v>0</v>
      </c>
    </row>
    <row r="12" spans="1:72" s="235" customFormat="1" ht="15" hidden="1" customHeight="1" x14ac:dyDescent="0.25">
      <c r="A12" s="235" t="s">
        <v>127</v>
      </c>
      <c r="B12" s="235" t="str">
        <f>VLOOKUP(A12,'DFP-Com'!$A$16:$B$50,2,1)</f>
        <v xml:space="preserve">     1.2.a  TVET</v>
      </c>
      <c r="C12" s="344" t="s">
        <v>356</v>
      </c>
      <c r="D12" s="415">
        <v>0</v>
      </c>
      <c r="E12" s="470" t="s">
        <v>350</v>
      </c>
      <c r="F12" s="345">
        <v>0</v>
      </c>
      <c r="G12" s="345">
        <v>0</v>
      </c>
      <c r="H12" s="345">
        <v>0</v>
      </c>
      <c r="I12" s="345">
        <v>0</v>
      </c>
      <c r="J12" s="345">
        <v>0</v>
      </c>
      <c r="K12" s="345">
        <v>0</v>
      </c>
      <c r="L12" s="416">
        <v>0</v>
      </c>
      <c r="M12" s="345">
        <v>0</v>
      </c>
      <c r="N12" s="345">
        <v>0</v>
      </c>
      <c r="O12" s="345">
        <v>0</v>
      </c>
      <c r="P12" s="345">
        <v>0</v>
      </c>
      <c r="Q12" s="345">
        <v>0</v>
      </c>
      <c r="R12" s="345">
        <v>0</v>
      </c>
      <c r="S12" s="345">
        <v>0</v>
      </c>
      <c r="T12" s="345">
        <v>0</v>
      </c>
      <c r="U12" s="345">
        <v>0.25</v>
      </c>
      <c r="V12" s="345">
        <v>0.25</v>
      </c>
      <c r="W12" s="345">
        <v>0.5</v>
      </c>
      <c r="X12" s="345">
        <v>0</v>
      </c>
      <c r="Y12" s="345"/>
      <c r="Z12" s="416">
        <f t="shared" ref="Z12:Z23" si="68">SUM(F12:X12)</f>
        <v>1</v>
      </c>
      <c r="AA12" s="344"/>
      <c r="AB12" s="344"/>
      <c r="AC12" s="333">
        <f t="shared" ref="AC12:AC23" si="69">F12*$D12</f>
        <v>0</v>
      </c>
      <c r="AD12" s="333">
        <f t="shared" ref="AD12:AD23" si="70">G12*$D12</f>
        <v>0</v>
      </c>
      <c r="AE12" s="333">
        <f t="shared" ref="AE12:AE23" si="71">H12*$D12</f>
        <v>0</v>
      </c>
      <c r="AF12" s="333">
        <f t="shared" ref="AF12:AF23" si="72">I12*$D12</f>
        <v>0</v>
      </c>
      <c r="AG12" s="333">
        <f t="shared" ref="AG12:AG23" si="73">J12*$D12</f>
        <v>0</v>
      </c>
      <c r="AH12" s="333">
        <f t="shared" ref="AH12:AH23" si="74">K12*$D12</f>
        <v>0</v>
      </c>
      <c r="AI12" s="333">
        <f t="shared" ref="AI12:AI23" si="75">L12*$D12</f>
        <v>0</v>
      </c>
      <c r="AJ12" s="333">
        <f t="shared" ref="AJ12:AJ23" si="76">M12*$D12</f>
        <v>0</v>
      </c>
      <c r="AK12" s="333">
        <f t="shared" ref="AK12:AK23" si="77">N12*$D12</f>
        <v>0</v>
      </c>
      <c r="AL12" s="333">
        <f t="shared" ref="AL12:AL23" si="78">O12*$D12</f>
        <v>0</v>
      </c>
      <c r="AM12" s="333">
        <f t="shared" ref="AM12:AM23" si="79">P12*$D12</f>
        <v>0</v>
      </c>
      <c r="AN12" s="333">
        <f t="shared" ref="AN12:AN23" si="80">Q12*$D12</f>
        <v>0</v>
      </c>
      <c r="AO12" s="333">
        <f t="shared" ref="AO12:AO23" si="81">R12*$D12</f>
        <v>0</v>
      </c>
      <c r="AP12" s="333">
        <f t="shared" ref="AP12:AP23" si="82">S12*$D12</f>
        <v>0</v>
      </c>
      <c r="AQ12" s="333">
        <f t="shared" ref="AQ12:AQ23" si="83">T12*$D12</f>
        <v>0</v>
      </c>
      <c r="AR12" s="333">
        <f t="shared" ref="AR12:AR23" si="84">U12*$D12</f>
        <v>0</v>
      </c>
      <c r="AS12" s="333">
        <f t="shared" ref="AS12:AS23" si="85">V12*$D12</f>
        <v>0</v>
      </c>
      <c r="AT12" s="333">
        <f t="shared" ref="AT12:AT23" si="86">W12*$D12</f>
        <v>0</v>
      </c>
      <c r="AU12" s="333">
        <f t="shared" ref="AU12:AU23" si="87">X12*$D12</f>
        <v>0</v>
      </c>
      <c r="AV12" s="415"/>
      <c r="AW12" s="346"/>
      <c r="AX12" s="346">
        <f t="shared" si="17"/>
        <v>0</v>
      </c>
      <c r="AY12" s="346">
        <f t="shared" si="17"/>
        <v>0</v>
      </c>
      <c r="AZ12" s="346">
        <f t="shared" si="17"/>
        <v>0</v>
      </c>
      <c r="BA12" s="346">
        <f t="shared" si="17"/>
        <v>0</v>
      </c>
      <c r="BB12" s="346">
        <f t="shared" si="17"/>
        <v>0</v>
      </c>
      <c r="BC12" s="346">
        <f t="shared" si="17"/>
        <v>0</v>
      </c>
      <c r="BD12" s="346">
        <f t="shared" si="17"/>
        <v>0</v>
      </c>
      <c r="BE12" s="346">
        <f t="shared" si="17"/>
        <v>0</v>
      </c>
      <c r="BF12" s="346">
        <f t="shared" si="17"/>
        <v>0</v>
      </c>
      <c r="BG12" s="346">
        <f t="shared" si="17"/>
        <v>0</v>
      </c>
      <c r="BH12" s="346">
        <f t="shared" si="17"/>
        <v>0</v>
      </c>
      <c r="BI12" s="346">
        <f t="shared" si="17"/>
        <v>0</v>
      </c>
      <c r="BJ12" s="346">
        <f t="shared" si="17"/>
        <v>0</v>
      </c>
      <c r="BK12" s="346">
        <f t="shared" si="17"/>
        <v>0</v>
      </c>
      <c r="BL12" s="346">
        <f t="shared" si="17"/>
        <v>0</v>
      </c>
      <c r="BM12" s="346">
        <f t="shared" si="17"/>
        <v>0</v>
      </c>
      <c r="BN12" s="346">
        <f t="shared" si="18"/>
        <v>0</v>
      </c>
      <c r="BO12" s="346">
        <f t="shared" si="18"/>
        <v>0</v>
      </c>
      <c r="BP12" s="346">
        <f t="shared" si="18"/>
        <v>0</v>
      </c>
      <c r="BQ12" s="346">
        <f t="shared" si="18"/>
        <v>0</v>
      </c>
      <c r="BR12" s="370">
        <f t="shared" ref="BR12:BR23" si="88">SUM(AC12:AV12)-SUM(AX12:BQ12)</f>
        <v>0</v>
      </c>
      <c r="BS12" s="402">
        <f t="shared" si="66"/>
        <v>0</v>
      </c>
      <c r="BT12" s="402">
        <f t="shared" si="67"/>
        <v>0</v>
      </c>
    </row>
    <row r="13" spans="1:72" s="235" customFormat="1" ht="15" hidden="1" customHeight="1" x14ac:dyDescent="0.25">
      <c r="A13" s="235" t="s">
        <v>127</v>
      </c>
      <c r="B13" s="235" t="str">
        <f>VLOOKUP(A13,'DFP-Com'!$A$16:$B$50,2,1)</f>
        <v xml:space="preserve">     1.2.a  TVET</v>
      </c>
      <c r="C13" s="344" t="s">
        <v>322</v>
      </c>
      <c r="D13" s="415">
        <v>4540.18</v>
      </c>
      <c r="E13" s="470" t="s">
        <v>305</v>
      </c>
      <c r="F13" s="417"/>
      <c r="G13" s="417"/>
      <c r="H13" s="417"/>
      <c r="I13" s="417"/>
      <c r="J13" s="417"/>
      <c r="K13" s="345">
        <v>0</v>
      </c>
      <c r="L13" s="416">
        <v>0</v>
      </c>
      <c r="M13" s="345">
        <v>0</v>
      </c>
      <c r="N13" s="345">
        <v>0</v>
      </c>
      <c r="O13" s="345">
        <v>0</v>
      </c>
      <c r="P13" s="345">
        <v>0</v>
      </c>
      <c r="Q13" s="345">
        <v>0</v>
      </c>
      <c r="R13" s="345">
        <v>0</v>
      </c>
      <c r="S13" s="345">
        <v>0</v>
      </c>
      <c r="T13" s="345">
        <v>1</v>
      </c>
      <c r="U13" s="345"/>
      <c r="V13" s="345"/>
      <c r="W13" s="345"/>
      <c r="X13" s="345"/>
      <c r="Y13" s="345"/>
      <c r="Z13" s="416">
        <f t="shared" ref="Z13" si="89">SUM(F13:X13)</f>
        <v>1</v>
      </c>
      <c r="AA13" s="344"/>
      <c r="AB13" s="344"/>
      <c r="AC13" s="333">
        <f t="shared" ref="AC13:AC21" si="90">F13*$D13</f>
        <v>0</v>
      </c>
      <c r="AD13" s="333">
        <f t="shared" si="70"/>
        <v>0</v>
      </c>
      <c r="AE13" s="333">
        <f t="shared" si="71"/>
        <v>0</v>
      </c>
      <c r="AF13" s="333">
        <f t="shared" si="72"/>
        <v>0</v>
      </c>
      <c r="AG13" s="333">
        <f t="shared" si="73"/>
        <v>0</v>
      </c>
      <c r="AH13" s="333">
        <f t="shared" si="74"/>
        <v>0</v>
      </c>
      <c r="AI13" s="333">
        <f t="shared" si="75"/>
        <v>0</v>
      </c>
      <c r="AJ13" s="333">
        <f t="shared" si="76"/>
        <v>0</v>
      </c>
      <c r="AK13" s="333">
        <f t="shared" si="77"/>
        <v>0</v>
      </c>
      <c r="AL13" s="333">
        <f t="shared" si="78"/>
        <v>0</v>
      </c>
      <c r="AM13" s="333">
        <f t="shared" si="79"/>
        <v>0</v>
      </c>
      <c r="AN13" s="333">
        <f t="shared" si="80"/>
        <v>0</v>
      </c>
      <c r="AO13" s="333">
        <f t="shared" si="81"/>
        <v>0</v>
      </c>
      <c r="AP13" s="333">
        <f t="shared" si="82"/>
        <v>0</v>
      </c>
      <c r="AQ13" s="333">
        <f t="shared" si="83"/>
        <v>4540.18</v>
      </c>
      <c r="AR13" s="333">
        <f t="shared" si="84"/>
        <v>0</v>
      </c>
      <c r="AS13" s="333">
        <f t="shared" si="85"/>
        <v>0</v>
      </c>
      <c r="AT13" s="333">
        <f t="shared" si="86"/>
        <v>0</v>
      </c>
      <c r="AU13" s="333">
        <f t="shared" si="87"/>
        <v>0</v>
      </c>
      <c r="AV13" s="415"/>
      <c r="AW13" s="346"/>
      <c r="AX13" s="346">
        <f t="shared" ref="AX13:BI21" si="91">IF(AX$3=$E13,$D13,0)</f>
        <v>0</v>
      </c>
      <c r="AY13" s="346">
        <f t="shared" si="91"/>
        <v>0</v>
      </c>
      <c r="AZ13" s="346">
        <f t="shared" si="91"/>
        <v>0</v>
      </c>
      <c r="BA13" s="346">
        <f t="shared" si="91"/>
        <v>0</v>
      </c>
      <c r="BB13" s="346">
        <f t="shared" si="91"/>
        <v>0</v>
      </c>
      <c r="BC13" s="346">
        <f t="shared" si="91"/>
        <v>0</v>
      </c>
      <c r="BD13" s="346">
        <f t="shared" si="91"/>
        <v>0</v>
      </c>
      <c r="BE13" s="346">
        <f t="shared" si="91"/>
        <v>0</v>
      </c>
      <c r="BF13" s="346">
        <f t="shared" si="91"/>
        <v>0</v>
      </c>
      <c r="BG13" s="346">
        <f t="shared" si="91"/>
        <v>0</v>
      </c>
      <c r="BH13" s="346">
        <f t="shared" si="91"/>
        <v>0</v>
      </c>
      <c r="BI13" s="346">
        <f t="shared" si="91"/>
        <v>0</v>
      </c>
      <c r="BJ13" s="333">
        <v>5085.01</v>
      </c>
      <c r="BK13" s="346">
        <v>-544.83000000000004</v>
      </c>
      <c r="BL13" s="346">
        <f t="shared" ref="BL13:BQ14" si="92">IF(BL$3=$E13,$D13,0)</f>
        <v>0</v>
      </c>
      <c r="BM13" s="346">
        <f t="shared" si="92"/>
        <v>0</v>
      </c>
      <c r="BN13" s="346">
        <f t="shared" si="92"/>
        <v>0</v>
      </c>
      <c r="BO13" s="346">
        <f t="shared" si="92"/>
        <v>0</v>
      </c>
      <c r="BP13" s="346">
        <f t="shared" si="92"/>
        <v>0</v>
      </c>
      <c r="BQ13" s="346">
        <f t="shared" si="92"/>
        <v>0</v>
      </c>
      <c r="BR13" s="370">
        <f t="shared" ref="BR13:BR19" si="93">SUM(AC13:AV13)-SUM(AX13:BQ13)</f>
        <v>0</v>
      </c>
      <c r="BS13" s="402">
        <f t="shared" si="66"/>
        <v>0</v>
      </c>
      <c r="BT13" s="402">
        <f t="shared" si="67"/>
        <v>0</v>
      </c>
    </row>
    <row r="14" spans="1:72" s="235" customFormat="1" ht="15" hidden="1" customHeight="1" x14ac:dyDescent="0.25">
      <c r="A14" s="235" t="s">
        <v>127</v>
      </c>
      <c r="B14" s="235" t="str">
        <f>VLOOKUP(A14,'DFP-Com'!$A$16:$B$50,2,1)</f>
        <v xml:space="preserve">     1.2.a  TVET</v>
      </c>
      <c r="C14" s="344" t="s">
        <v>334</v>
      </c>
      <c r="D14" s="471">
        <v>242045.23</v>
      </c>
      <c r="E14" s="470" t="s">
        <v>305</v>
      </c>
      <c r="F14" s="417"/>
      <c r="G14" s="417"/>
      <c r="H14" s="417"/>
      <c r="I14" s="417"/>
      <c r="J14" s="417"/>
      <c r="K14" s="345"/>
      <c r="L14" s="345"/>
      <c r="M14" s="345"/>
      <c r="N14" s="345">
        <v>0</v>
      </c>
      <c r="O14" s="345">
        <v>0</v>
      </c>
      <c r="P14" s="345">
        <v>0</v>
      </c>
      <c r="Q14" s="345">
        <v>0</v>
      </c>
      <c r="R14" s="345">
        <v>0</v>
      </c>
      <c r="S14" s="345">
        <v>0.37573460960168475</v>
      </c>
      <c r="T14" s="345">
        <v>7.1371949779799423E-2</v>
      </c>
      <c r="U14" s="345">
        <v>0</v>
      </c>
      <c r="V14" s="418">
        <v>0</v>
      </c>
      <c r="W14" s="345">
        <v>0.55289344061851575</v>
      </c>
      <c r="X14" s="345"/>
      <c r="Y14" s="345"/>
      <c r="Z14" s="416">
        <f>SUM(F14:X14)</f>
        <v>1</v>
      </c>
      <c r="AA14" s="344"/>
      <c r="AB14" s="344"/>
      <c r="AC14" s="333">
        <f t="shared" si="90"/>
        <v>0</v>
      </c>
      <c r="AD14" s="333">
        <f t="shared" si="70"/>
        <v>0</v>
      </c>
      <c r="AE14" s="333">
        <f t="shared" si="71"/>
        <v>0</v>
      </c>
      <c r="AF14" s="333">
        <f t="shared" si="72"/>
        <v>0</v>
      </c>
      <c r="AG14" s="333">
        <f t="shared" si="73"/>
        <v>0</v>
      </c>
      <c r="AH14" s="333">
        <f t="shared" si="74"/>
        <v>0</v>
      </c>
      <c r="AI14" s="333">
        <f t="shared" si="75"/>
        <v>0</v>
      </c>
      <c r="AJ14" s="333">
        <f t="shared" si="76"/>
        <v>0</v>
      </c>
      <c r="AK14" s="333">
        <f t="shared" si="77"/>
        <v>0</v>
      </c>
      <c r="AL14" s="333">
        <f t="shared" si="78"/>
        <v>0</v>
      </c>
      <c r="AM14" s="333">
        <f t="shared" si="79"/>
        <v>0</v>
      </c>
      <c r="AN14" s="333">
        <f t="shared" si="80"/>
        <v>0</v>
      </c>
      <c r="AO14" s="333">
        <f t="shared" si="81"/>
        <v>0</v>
      </c>
      <c r="AP14" s="333">
        <f t="shared" si="82"/>
        <v>90944.77</v>
      </c>
      <c r="AQ14" s="333">
        <f t="shared" si="83"/>
        <v>17275.240000000002</v>
      </c>
      <c r="AR14" s="333">
        <f t="shared" si="84"/>
        <v>0</v>
      </c>
      <c r="AS14" s="333">
        <f t="shared" si="85"/>
        <v>0</v>
      </c>
      <c r="AT14" s="333">
        <f t="shared" si="86"/>
        <v>133825.22</v>
      </c>
      <c r="AU14" s="333">
        <f t="shared" si="87"/>
        <v>0</v>
      </c>
      <c r="AV14" s="415"/>
      <c r="AW14" s="346"/>
      <c r="AX14" s="346">
        <f t="shared" si="91"/>
        <v>0</v>
      </c>
      <c r="AY14" s="346">
        <f t="shared" si="91"/>
        <v>0</v>
      </c>
      <c r="AZ14" s="346">
        <f t="shared" si="91"/>
        <v>0</v>
      </c>
      <c r="BA14" s="346">
        <f t="shared" si="91"/>
        <v>0</v>
      </c>
      <c r="BB14" s="346">
        <f t="shared" si="91"/>
        <v>0</v>
      </c>
      <c r="BC14" s="346">
        <f t="shared" si="91"/>
        <v>0</v>
      </c>
      <c r="BD14" s="346">
        <f t="shared" si="91"/>
        <v>0</v>
      </c>
      <c r="BE14" s="346">
        <f t="shared" si="91"/>
        <v>0</v>
      </c>
      <c r="BF14" s="346">
        <f t="shared" si="91"/>
        <v>0</v>
      </c>
      <c r="BG14" s="346">
        <f t="shared" si="91"/>
        <v>0</v>
      </c>
      <c r="BH14" s="346">
        <f t="shared" si="91"/>
        <v>0</v>
      </c>
      <c r="BI14" s="346">
        <f t="shared" si="91"/>
        <v>0</v>
      </c>
      <c r="BJ14" s="333">
        <f>IF(BJ$3=$E14,$D14,0)</f>
        <v>242045.23</v>
      </c>
      <c r="BK14" s="346">
        <f>IF(BK$3=$E14,$D14,0)</f>
        <v>0</v>
      </c>
      <c r="BL14" s="346">
        <f t="shared" si="92"/>
        <v>0</v>
      </c>
      <c r="BM14" s="346">
        <f t="shared" si="92"/>
        <v>0</v>
      </c>
      <c r="BN14" s="346">
        <f t="shared" si="92"/>
        <v>0</v>
      </c>
      <c r="BO14" s="346">
        <f t="shared" si="92"/>
        <v>0</v>
      </c>
      <c r="BP14" s="346">
        <f t="shared" si="92"/>
        <v>0</v>
      </c>
      <c r="BQ14" s="346">
        <f t="shared" si="92"/>
        <v>0</v>
      </c>
      <c r="BR14" s="370">
        <f t="shared" si="93"/>
        <v>0</v>
      </c>
      <c r="BS14" s="402">
        <f t="shared" si="66"/>
        <v>0</v>
      </c>
      <c r="BT14" s="402">
        <f t="shared" si="67"/>
        <v>0</v>
      </c>
    </row>
    <row r="15" spans="1:72" s="235" customFormat="1" ht="15" hidden="1" customHeight="1" x14ac:dyDescent="0.25">
      <c r="A15" s="235" t="s">
        <v>127</v>
      </c>
      <c r="B15" s="235" t="str">
        <f>VLOOKUP(A15,'DFP-Com'!$A$16:$B$50,2,1)</f>
        <v xml:space="preserve">     1.2.a  TVET</v>
      </c>
      <c r="C15" s="344" t="s">
        <v>317</v>
      </c>
      <c r="D15" s="415">
        <v>1762</v>
      </c>
      <c r="E15" s="470" t="s">
        <v>305</v>
      </c>
      <c r="F15" s="417"/>
      <c r="G15" s="417"/>
      <c r="H15" s="417"/>
      <c r="I15" s="417"/>
      <c r="J15" s="417"/>
      <c r="K15" s="345">
        <v>0</v>
      </c>
      <c r="L15" s="416">
        <v>0</v>
      </c>
      <c r="M15" s="345">
        <v>0</v>
      </c>
      <c r="N15" s="345">
        <v>0</v>
      </c>
      <c r="O15" s="345">
        <v>0</v>
      </c>
      <c r="P15" s="345">
        <v>0</v>
      </c>
      <c r="Q15" s="345">
        <v>0</v>
      </c>
      <c r="R15" s="345">
        <v>0</v>
      </c>
      <c r="S15" s="345">
        <v>1</v>
      </c>
      <c r="T15" s="345">
        <v>0</v>
      </c>
      <c r="U15" s="345">
        <v>0</v>
      </c>
      <c r="V15" s="345">
        <v>0</v>
      </c>
      <c r="W15" s="345">
        <v>0</v>
      </c>
      <c r="X15" s="345"/>
      <c r="Y15" s="345"/>
      <c r="Z15" s="416">
        <f>SUM(F15:X15)</f>
        <v>1</v>
      </c>
      <c r="AA15" s="344"/>
      <c r="AB15" s="344"/>
      <c r="AC15" s="333">
        <f t="shared" ref="AC15:AL17" si="94">F15*$D15</f>
        <v>0</v>
      </c>
      <c r="AD15" s="333">
        <f t="shared" si="94"/>
        <v>0</v>
      </c>
      <c r="AE15" s="333">
        <f t="shared" si="94"/>
        <v>0</v>
      </c>
      <c r="AF15" s="333">
        <f t="shared" si="94"/>
        <v>0</v>
      </c>
      <c r="AG15" s="333">
        <f t="shared" si="94"/>
        <v>0</v>
      </c>
      <c r="AH15" s="333">
        <f t="shared" si="94"/>
        <v>0</v>
      </c>
      <c r="AI15" s="333">
        <f t="shared" si="94"/>
        <v>0</v>
      </c>
      <c r="AJ15" s="333">
        <f t="shared" si="94"/>
        <v>0</v>
      </c>
      <c r="AK15" s="333">
        <f t="shared" si="94"/>
        <v>0</v>
      </c>
      <c r="AL15" s="333">
        <f t="shared" si="94"/>
        <v>0</v>
      </c>
      <c r="AM15" s="333">
        <f t="shared" si="79"/>
        <v>0</v>
      </c>
      <c r="AN15" s="333">
        <f t="shared" si="80"/>
        <v>0</v>
      </c>
      <c r="AO15" s="333">
        <f t="shared" si="81"/>
        <v>0</v>
      </c>
      <c r="AP15" s="333">
        <f t="shared" si="82"/>
        <v>1762</v>
      </c>
      <c r="AQ15" s="333">
        <f t="shared" si="83"/>
        <v>0</v>
      </c>
      <c r="AR15" s="333">
        <f t="shared" si="84"/>
        <v>0</v>
      </c>
      <c r="AS15" s="333">
        <f t="shared" si="85"/>
        <v>0</v>
      </c>
      <c r="AT15" s="333">
        <f t="shared" si="86"/>
        <v>0</v>
      </c>
      <c r="AU15" s="333">
        <f t="shared" si="87"/>
        <v>0</v>
      </c>
      <c r="AV15" s="415"/>
      <c r="AW15" s="346"/>
      <c r="AX15" s="346">
        <f t="shared" ref="AX15:BI17" si="95">IF(AX$3=$E15,$D15,0)</f>
        <v>0</v>
      </c>
      <c r="AY15" s="346">
        <f t="shared" si="95"/>
        <v>0</v>
      </c>
      <c r="AZ15" s="346">
        <f t="shared" si="95"/>
        <v>0</v>
      </c>
      <c r="BA15" s="346">
        <f t="shared" si="95"/>
        <v>0</v>
      </c>
      <c r="BB15" s="346">
        <f t="shared" si="95"/>
        <v>0</v>
      </c>
      <c r="BC15" s="346">
        <f t="shared" si="95"/>
        <v>0</v>
      </c>
      <c r="BD15" s="346">
        <f t="shared" si="95"/>
        <v>0</v>
      </c>
      <c r="BE15" s="346">
        <f t="shared" si="95"/>
        <v>0</v>
      </c>
      <c r="BF15" s="346">
        <f t="shared" si="95"/>
        <v>0</v>
      </c>
      <c r="BG15" s="346">
        <f t="shared" si="95"/>
        <v>0</v>
      </c>
      <c r="BH15" s="346">
        <f t="shared" si="95"/>
        <v>0</v>
      </c>
      <c r="BI15" s="346">
        <f t="shared" si="95"/>
        <v>0</v>
      </c>
      <c r="BJ15" s="333">
        <f>IF(BJ$3=$E15,$D15,0)</f>
        <v>1762</v>
      </c>
      <c r="BK15" s="346">
        <f>IF(BK$3=$E15,$D15,0)</f>
        <v>0</v>
      </c>
      <c r="BL15" s="346">
        <f t="shared" ref="BL15:BQ17" si="96">IF(BL$3=$E15,$D15,0)</f>
        <v>0</v>
      </c>
      <c r="BM15" s="346">
        <f t="shared" si="96"/>
        <v>0</v>
      </c>
      <c r="BN15" s="346">
        <f t="shared" si="96"/>
        <v>0</v>
      </c>
      <c r="BO15" s="346">
        <f t="shared" si="96"/>
        <v>0</v>
      </c>
      <c r="BP15" s="346">
        <f t="shared" si="96"/>
        <v>0</v>
      </c>
      <c r="BQ15" s="346">
        <f t="shared" si="96"/>
        <v>0</v>
      </c>
      <c r="BR15" s="370">
        <f t="shared" si="93"/>
        <v>0</v>
      </c>
      <c r="BS15" s="402">
        <f t="shared" si="66"/>
        <v>0</v>
      </c>
      <c r="BT15" s="402">
        <f t="shared" si="67"/>
        <v>0</v>
      </c>
    </row>
    <row r="16" spans="1:72" s="235" customFormat="1" ht="15" hidden="1" customHeight="1" x14ac:dyDescent="0.25">
      <c r="A16" s="235" t="s">
        <v>127</v>
      </c>
      <c r="B16" s="235" t="str">
        <f>VLOOKUP(A16,'DFP-Com'!$A$16:$B$50,2,1)</f>
        <v xml:space="preserve">     1.2.a  TVET</v>
      </c>
      <c r="C16" s="344" t="s">
        <v>317</v>
      </c>
      <c r="D16" s="415">
        <v>37470.720000000001</v>
      </c>
      <c r="E16" s="470" t="s">
        <v>305</v>
      </c>
      <c r="F16" s="417"/>
      <c r="G16" s="417"/>
      <c r="H16" s="417"/>
      <c r="I16" s="417"/>
      <c r="J16" s="417"/>
      <c r="K16" s="345">
        <v>0</v>
      </c>
      <c r="L16" s="416">
        <v>0</v>
      </c>
      <c r="M16" s="345">
        <v>0</v>
      </c>
      <c r="N16" s="345">
        <v>0</v>
      </c>
      <c r="O16" s="345">
        <v>0</v>
      </c>
      <c r="P16" s="345">
        <v>0</v>
      </c>
      <c r="Q16" s="345">
        <v>0</v>
      </c>
      <c r="R16" s="345">
        <v>0</v>
      </c>
      <c r="S16" s="345">
        <v>0.25</v>
      </c>
      <c r="T16" s="345">
        <v>0</v>
      </c>
      <c r="U16" s="345">
        <v>0</v>
      </c>
      <c r="V16" s="345">
        <v>0</v>
      </c>
      <c r="W16" s="345">
        <v>0.75</v>
      </c>
      <c r="X16" s="345"/>
      <c r="Y16" s="345"/>
      <c r="Z16" s="416">
        <f>SUM(F16:X16)</f>
        <v>1</v>
      </c>
      <c r="AA16" s="344"/>
      <c r="AB16" s="344"/>
      <c r="AC16" s="333">
        <f t="shared" si="94"/>
        <v>0</v>
      </c>
      <c r="AD16" s="333">
        <f t="shared" si="94"/>
        <v>0</v>
      </c>
      <c r="AE16" s="333">
        <f t="shared" si="94"/>
        <v>0</v>
      </c>
      <c r="AF16" s="333">
        <f t="shared" si="94"/>
        <v>0</v>
      </c>
      <c r="AG16" s="333">
        <f t="shared" si="94"/>
        <v>0</v>
      </c>
      <c r="AH16" s="333">
        <f t="shared" si="94"/>
        <v>0</v>
      </c>
      <c r="AI16" s="333">
        <f t="shared" si="94"/>
        <v>0</v>
      </c>
      <c r="AJ16" s="333">
        <f t="shared" si="94"/>
        <v>0</v>
      </c>
      <c r="AK16" s="333">
        <f t="shared" si="94"/>
        <v>0</v>
      </c>
      <c r="AL16" s="333">
        <f t="shared" si="94"/>
        <v>0</v>
      </c>
      <c r="AM16" s="333">
        <f t="shared" si="79"/>
        <v>0</v>
      </c>
      <c r="AN16" s="333">
        <f t="shared" si="80"/>
        <v>0</v>
      </c>
      <c r="AO16" s="333">
        <f t="shared" si="81"/>
        <v>0</v>
      </c>
      <c r="AP16" s="333">
        <f t="shared" si="82"/>
        <v>9367.68</v>
      </c>
      <c r="AQ16" s="333">
        <f t="shared" si="83"/>
        <v>0</v>
      </c>
      <c r="AR16" s="333">
        <f t="shared" si="84"/>
        <v>0</v>
      </c>
      <c r="AS16" s="333">
        <f t="shared" si="85"/>
        <v>0</v>
      </c>
      <c r="AT16" s="333">
        <f t="shared" si="86"/>
        <v>28103.040000000001</v>
      </c>
      <c r="AU16" s="333">
        <f t="shared" si="87"/>
        <v>0</v>
      </c>
      <c r="AV16" s="415"/>
      <c r="AW16" s="346"/>
      <c r="AX16" s="346">
        <f t="shared" si="95"/>
        <v>0</v>
      </c>
      <c r="AY16" s="346">
        <f t="shared" si="95"/>
        <v>0</v>
      </c>
      <c r="AZ16" s="346">
        <f t="shared" si="95"/>
        <v>0</v>
      </c>
      <c r="BA16" s="346">
        <f t="shared" si="95"/>
        <v>0</v>
      </c>
      <c r="BB16" s="346">
        <f t="shared" si="95"/>
        <v>0</v>
      </c>
      <c r="BC16" s="346">
        <f t="shared" si="95"/>
        <v>0</v>
      </c>
      <c r="BD16" s="346">
        <f t="shared" si="95"/>
        <v>0</v>
      </c>
      <c r="BE16" s="346">
        <f t="shared" si="95"/>
        <v>0</v>
      </c>
      <c r="BF16" s="346">
        <f t="shared" si="95"/>
        <v>0</v>
      </c>
      <c r="BG16" s="346">
        <f t="shared" si="95"/>
        <v>0</v>
      </c>
      <c r="BH16" s="346">
        <f t="shared" si="95"/>
        <v>0</v>
      </c>
      <c r="BI16" s="346">
        <f t="shared" si="95"/>
        <v>0</v>
      </c>
      <c r="BJ16" s="333">
        <v>37470.82</v>
      </c>
      <c r="BK16" s="346">
        <v>-0.1</v>
      </c>
      <c r="BL16" s="346">
        <f t="shared" si="96"/>
        <v>0</v>
      </c>
      <c r="BM16" s="346">
        <f t="shared" si="96"/>
        <v>0</v>
      </c>
      <c r="BN16" s="346">
        <f t="shared" si="96"/>
        <v>0</v>
      </c>
      <c r="BO16" s="346">
        <f t="shared" si="96"/>
        <v>0</v>
      </c>
      <c r="BP16" s="346">
        <f t="shared" si="96"/>
        <v>0</v>
      </c>
      <c r="BQ16" s="346">
        <f t="shared" si="96"/>
        <v>0</v>
      </c>
      <c r="BR16" s="370">
        <f t="shared" si="93"/>
        <v>0</v>
      </c>
      <c r="BS16" s="402">
        <f t="shared" si="66"/>
        <v>0</v>
      </c>
      <c r="BT16" s="402">
        <f t="shared" si="67"/>
        <v>0</v>
      </c>
    </row>
    <row r="17" spans="1:72" s="235" customFormat="1" ht="15" hidden="1" customHeight="1" x14ac:dyDescent="0.25">
      <c r="A17" s="235" t="s">
        <v>127</v>
      </c>
      <c r="B17" s="235" t="str">
        <f>VLOOKUP(A17,'DFP-Com'!$A$16:$B$50,2,1)</f>
        <v xml:space="preserve">     1.2.a  TVET</v>
      </c>
      <c r="C17" s="344" t="s">
        <v>317</v>
      </c>
      <c r="D17" s="415">
        <v>1278.6400000000001</v>
      </c>
      <c r="E17" s="470" t="s">
        <v>295</v>
      </c>
      <c r="F17" s="417"/>
      <c r="G17" s="417"/>
      <c r="H17" s="417"/>
      <c r="I17" s="417"/>
      <c r="J17" s="417"/>
      <c r="K17" s="345">
        <v>0</v>
      </c>
      <c r="L17" s="416">
        <v>0</v>
      </c>
      <c r="M17" s="345">
        <v>0</v>
      </c>
      <c r="N17" s="345">
        <v>0</v>
      </c>
      <c r="O17" s="345">
        <v>0</v>
      </c>
      <c r="P17" s="345">
        <v>0</v>
      </c>
      <c r="Q17" s="345">
        <v>0</v>
      </c>
      <c r="R17" s="345">
        <v>0</v>
      </c>
      <c r="S17" s="345">
        <v>1</v>
      </c>
      <c r="T17" s="345">
        <v>0</v>
      </c>
      <c r="U17" s="345">
        <v>0</v>
      </c>
      <c r="V17" s="345">
        <v>0</v>
      </c>
      <c r="W17" s="345">
        <v>0</v>
      </c>
      <c r="X17" s="345"/>
      <c r="Y17" s="345"/>
      <c r="Z17" s="416">
        <f>SUM(F17:X17)</f>
        <v>1</v>
      </c>
      <c r="AA17" s="344"/>
      <c r="AB17" s="344"/>
      <c r="AC17" s="333">
        <f t="shared" si="94"/>
        <v>0</v>
      </c>
      <c r="AD17" s="333">
        <f t="shared" si="94"/>
        <v>0</v>
      </c>
      <c r="AE17" s="333">
        <f t="shared" si="94"/>
        <v>0</v>
      </c>
      <c r="AF17" s="333">
        <f t="shared" si="94"/>
        <v>0</v>
      </c>
      <c r="AG17" s="333">
        <f t="shared" si="94"/>
        <v>0</v>
      </c>
      <c r="AH17" s="333">
        <f t="shared" si="94"/>
        <v>0</v>
      </c>
      <c r="AI17" s="333">
        <f t="shared" si="94"/>
        <v>0</v>
      </c>
      <c r="AJ17" s="333">
        <f t="shared" si="94"/>
        <v>0</v>
      </c>
      <c r="AK17" s="333">
        <f t="shared" si="94"/>
        <v>0</v>
      </c>
      <c r="AL17" s="333">
        <f t="shared" si="94"/>
        <v>0</v>
      </c>
      <c r="AM17" s="333">
        <f t="shared" si="79"/>
        <v>0</v>
      </c>
      <c r="AN17" s="333">
        <f t="shared" si="80"/>
        <v>0</v>
      </c>
      <c r="AO17" s="333">
        <f t="shared" si="81"/>
        <v>0</v>
      </c>
      <c r="AP17" s="333">
        <f t="shared" si="82"/>
        <v>1278.6400000000001</v>
      </c>
      <c r="AQ17" s="333">
        <f t="shared" si="83"/>
        <v>0</v>
      </c>
      <c r="AR17" s="333">
        <f t="shared" si="84"/>
        <v>0</v>
      </c>
      <c r="AS17" s="333">
        <f t="shared" si="85"/>
        <v>0</v>
      </c>
      <c r="AT17" s="333">
        <f t="shared" si="86"/>
        <v>0</v>
      </c>
      <c r="AU17" s="333">
        <f t="shared" si="87"/>
        <v>0</v>
      </c>
      <c r="AV17" s="415"/>
      <c r="AW17" s="346"/>
      <c r="AX17" s="346">
        <f t="shared" si="95"/>
        <v>0</v>
      </c>
      <c r="AY17" s="346">
        <f t="shared" si="95"/>
        <v>0</v>
      </c>
      <c r="AZ17" s="346">
        <f t="shared" si="95"/>
        <v>0</v>
      </c>
      <c r="BA17" s="346">
        <f t="shared" si="95"/>
        <v>0</v>
      </c>
      <c r="BB17" s="346">
        <f t="shared" si="95"/>
        <v>0</v>
      </c>
      <c r="BC17" s="346">
        <f t="shared" si="95"/>
        <v>0</v>
      </c>
      <c r="BD17" s="346">
        <f t="shared" si="95"/>
        <v>0</v>
      </c>
      <c r="BE17" s="346">
        <f t="shared" si="95"/>
        <v>0</v>
      </c>
      <c r="BF17" s="346">
        <f t="shared" si="95"/>
        <v>0</v>
      </c>
      <c r="BG17" s="346">
        <f t="shared" si="95"/>
        <v>0</v>
      </c>
      <c r="BH17" s="346">
        <f t="shared" si="95"/>
        <v>0</v>
      </c>
      <c r="BI17" s="346">
        <f t="shared" si="95"/>
        <v>0</v>
      </c>
      <c r="BJ17" s="333">
        <f>IF(BJ$3=$E17,$D17,0)</f>
        <v>0</v>
      </c>
      <c r="BK17" s="346">
        <f>IF(BK$3=$E17,$D17,0)</f>
        <v>1278.6400000000001</v>
      </c>
      <c r="BL17" s="346">
        <f t="shared" si="96"/>
        <v>0</v>
      </c>
      <c r="BM17" s="346">
        <f t="shared" si="96"/>
        <v>0</v>
      </c>
      <c r="BN17" s="346">
        <f t="shared" si="96"/>
        <v>0</v>
      </c>
      <c r="BO17" s="346">
        <f t="shared" si="96"/>
        <v>0</v>
      </c>
      <c r="BP17" s="346">
        <f t="shared" si="96"/>
        <v>0</v>
      </c>
      <c r="BQ17" s="346">
        <f t="shared" si="96"/>
        <v>0</v>
      </c>
      <c r="BR17" s="370">
        <f t="shared" si="93"/>
        <v>0</v>
      </c>
      <c r="BS17" s="402">
        <f t="shared" si="66"/>
        <v>0</v>
      </c>
      <c r="BT17" s="402">
        <f t="shared" si="67"/>
        <v>0</v>
      </c>
    </row>
    <row r="18" spans="1:72" s="235" customFormat="1" ht="15" hidden="1" customHeight="1" x14ac:dyDescent="0.25">
      <c r="A18" s="235" t="s">
        <v>127</v>
      </c>
      <c r="B18" s="235" t="str">
        <f>VLOOKUP(A18,'DFP-Com'!$A$16:$B$50,2,1)</f>
        <v xml:space="preserve">     1.2.a  TVET</v>
      </c>
      <c r="C18" s="344" t="s">
        <v>318</v>
      </c>
      <c r="D18" s="415">
        <v>47440</v>
      </c>
      <c r="E18" s="470" t="s">
        <v>305</v>
      </c>
      <c r="F18" s="417"/>
      <c r="G18" s="417"/>
      <c r="H18" s="417"/>
      <c r="I18" s="417"/>
      <c r="J18" s="417"/>
      <c r="K18" s="345"/>
      <c r="L18" s="345"/>
      <c r="M18" s="345"/>
      <c r="N18" s="345">
        <v>0</v>
      </c>
      <c r="O18" s="345">
        <v>0</v>
      </c>
      <c r="P18" s="345">
        <v>0</v>
      </c>
      <c r="Q18" s="345">
        <v>0</v>
      </c>
      <c r="R18" s="345">
        <v>0</v>
      </c>
      <c r="S18" s="345">
        <v>0.16863406408094436</v>
      </c>
      <c r="T18" s="345">
        <v>0.15682967959527824</v>
      </c>
      <c r="U18" s="345">
        <v>0.18549747048903878</v>
      </c>
      <c r="V18" s="345">
        <v>0.32040472175379425</v>
      </c>
      <c r="W18" s="345">
        <v>0.16863406408094436</v>
      </c>
      <c r="X18" s="345"/>
      <c r="Y18" s="345"/>
      <c r="Z18" s="416">
        <f>SUM(F18:X18)</f>
        <v>1</v>
      </c>
      <c r="AA18" s="344"/>
      <c r="AB18" s="344"/>
      <c r="AC18" s="333">
        <f t="shared" si="90"/>
        <v>0</v>
      </c>
      <c r="AD18" s="333">
        <f t="shared" si="70"/>
        <v>0</v>
      </c>
      <c r="AE18" s="333">
        <f t="shared" si="71"/>
        <v>0</v>
      </c>
      <c r="AF18" s="333">
        <f t="shared" si="72"/>
        <v>0</v>
      </c>
      <c r="AG18" s="333">
        <f t="shared" si="73"/>
        <v>0</v>
      </c>
      <c r="AH18" s="333">
        <f t="shared" si="74"/>
        <v>0</v>
      </c>
      <c r="AI18" s="333">
        <f t="shared" si="75"/>
        <v>0</v>
      </c>
      <c r="AJ18" s="333">
        <f t="shared" si="76"/>
        <v>0</v>
      </c>
      <c r="AK18" s="333">
        <f t="shared" si="77"/>
        <v>0</v>
      </c>
      <c r="AL18" s="333">
        <f t="shared" si="78"/>
        <v>0</v>
      </c>
      <c r="AM18" s="333">
        <f t="shared" si="79"/>
        <v>0</v>
      </c>
      <c r="AN18" s="333">
        <f t="shared" si="80"/>
        <v>0</v>
      </c>
      <c r="AO18" s="333">
        <f t="shared" si="81"/>
        <v>0</v>
      </c>
      <c r="AP18" s="333">
        <f t="shared" si="82"/>
        <v>8000.0000000000009</v>
      </c>
      <c r="AQ18" s="333">
        <f t="shared" si="83"/>
        <v>7440</v>
      </c>
      <c r="AR18" s="333">
        <f t="shared" si="84"/>
        <v>8800</v>
      </c>
      <c r="AS18" s="333">
        <f t="shared" si="85"/>
        <v>15200</v>
      </c>
      <c r="AT18" s="333">
        <f t="shared" si="86"/>
        <v>8000.0000000000009</v>
      </c>
      <c r="AU18" s="333">
        <f t="shared" si="87"/>
        <v>0</v>
      </c>
      <c r="AV18" s="415"/>
      <c r="AW18" s="346"/>
      <c r="AX18" s="346">
        <f t="shared" si="91"/>
        <v>0</v>
      </c>
      <c r="AY18" s="346">
        <f t="shared" si="91"/>
        <v>0</v>
      </c>
      <c r="AZ18" s="346">
        <f t="shared" si="91"/>
        <v>0</v>
      </c>
      <c r="BA18" s="346">
        <f t="shared" si="91"/>
        <v>0</v>
      </c>
      <c r="BB18" s="346">
        <f t="shared" si="91"/>
        <v>0</v>
      </c>
      <c r="BC18" s="346">
        <f t="shared" si="91"/>
        <v>0</v>
      </c>
      <c r="BD18" s="346">
        <f t="shared" si="91"/>
        <v>0</v>
      </c>
      <c r="BE18" s="346">
        <f t="shared" si="91"/>
        <v>0</v>
      </c>
      <c r="BF18" s="346">
        <f t="shared" si="91"/>
        <v>0</v>
      </c>
      <c r="BG18" s="346">
        <f t="shared" si="91"/>
        <v>0</v>
      </c>
      <c r="BH18" s="346">
        <f t="shared" si="91"/>
        <v>0</v>
      </c>
      <c r="BI18" s="346">
        <f t="shared" si="91"/>
        <v>0</v>
      </c>
      <c r="BJ18" s="333">
        <v>48000</v>
      </c>
      <c r="BK18" s="346">
        <v>0</v>
      </c>
      <c r="BL18" s="346">
        <v>-560</v>
      </c>
      <c r="BM18" s="346">
        <f t="shared" ref="BM18:BQ21" si="97">IF(BM$3=$E18,$D18,0)</f>
        <v>0</v>
      </c>
      <c r="BN18" s="346">
        <f t="shared" si="97"/>
        <v>0</v>
      </c>
      <c r="BO18" s="346">
        <f t="shared" si="97"/>
        <v>0</v>
      </c>
      <c r="BP18" s="346">
        <f t="shared" si="97"/>
        <v>0</v>
      </c>
      <c r="BQ18" s="346">
        <f t="shared" si="97"/>
        <v>0</v>
      </c>
      <c r="BR18" s="370">
        <f t="shared" si="93"/>
        <v>0</v>
      </c>
      <c r="BS18" s="402">
        <f t="shared" si="66"/>
        <v>0</v>
      </c>
      <c r="BT18" s="402">
        <f t="shared" si="67"/>
        <v>0</v>
      </c>
    </row>
    <row r="19" spans="1:72" s="235" customFormat="1" ht="15" hidden="1" customHeight="1" x14ac:dyDescent="0.25">
      <c r="A19" s="235" t="s">
        <v>127</v>
      </c>
      <c r="B19" s="235" t="str">
        <f>VLOOKUP(A19,'DFP-Com'!$A$16:$B$50,2,1)</f>
        <v xml:space="preserve">     1.2.a  TVET</v>
      </c>
      <c r="C19" s="344" t="s">
        <v>384</v>
      </c>
      <c r="D19" s="415">
        <v>12400</v>
      </c>
      <c r="E19" s="470" t="s">
        <v>305</v>
      </c>
      <c r="F19" s="417"/>
      <c r="G19" s="417"/>
      <c r="H19" s="417"/>
      <c r="I19" s="417"/>
      <c r="J19" s="417"/>
      <c r="K19" s="345"/>
      <c r="L19" s="345"/>
      <c r="M19" s="345"/>
      <c r="N19" s="345">
        <v>0</v>
      </c>
      <c r="O19" s="345">
        <v>0</v>
      </c>
      <c r="P19" s="345">
        <v>0</v>
      </c>
      <c r="Q19" s="345">
        <v>0</v>
      </c>
      <c r="R19" s="345">
        <v>0.25</v>
      </c>
      <c r="S19" s="345">
        <v>0.75</v>
      </c>
      <c r="T19" s="345">
        <v>0</v>
      </c>
      <c r="U19" s="345">
        <v>0</v>
      </c>
      <c r="V19" s="345">
        <v>0</v>
      </c>
      <c r="W19" s="345"/>
      <c r="X19" s="345"/>
      <c r="Y19" s="345"/>
      <c r="Z19" s="416">
        <f t="shared" ref="Z19:Z20" si="98">SUM(F19:X19)</f>
        <v>1</v>
      </c>
      <c r="AA19" s="344"/>
      <c r="AB19" s="344"/>
      <c r="AC19" s="333">
        <f t="shared" si="90"/>
        <v>0</v>
      </c>
      <c r="AD19" s="333">
        <f t="shared" si="70"/>
        <v>0</v>
      </c>
      <c r="AE19" s="333">
        <f t="shared" si="71"/>
        <v>0</v>
      </c>
      <c r="AF19" s="333">
        <f t="shared" si="72"/>
        <v>0</v>
      </c>
      <c r="AG19" s="333">
        <f t="shared" si="73"/>
        <v>0</v>
      </c>
      <c r="AH19" s="333">
        <f t="shared" si="74"/>
        <v>0</v>
      </c>
      <c r="AI19" s="333">
        <f t="shared" si="75"/>
        <v>0</v>
      </c>
      <c r="AJ19" s="333">
        <f t="shared" si="76"/>
        <v>0</v>
      </c>
      <c r="AK19" s="333">
        <f t="shared" si="77"/>
        <v>0</v>
      </c>
      <c r="AL19" s="333">
        <f t="shared" si="78"/>
        <v>0</v>
      </c>
      <c r="AM19" s="333">
        <f t="shared" si="79"/>
        <v>0</v>
      </c>
      <c r="AN19" s="333">
        <f t="shared" si="80"/>
        <v>0</v>
      </c>
      <c r="AO19" s="333">
        <f t="shared" si="81"/>
        <v>3100</v>
      </c>
      <c r="AP19" s="333">
        <f t="shared" si="82"/>
        <v>9300</v>
      </c>
      <c r="AQ19" s="333">
        <f t="shared" si="83"/>
        <v>0</v>
      </c>
      <c r="AR19" s="333">
        <f t="shared" si="84"/>
        <v>0</v>
      </c>
      <c r="AS19" s="333">
        <f t="shared" si="85"/>
        <v>0</v>
      </c>
      <c r="AT19" s="333">
        <f t="shared" si="86"/>
        <v>0</v>
      </c>
      <c r="AU19" s="333">
        <f t="shared" si="87"/>
        <v>0</v>
      </c>
      <c r="AV19" s="415"/>
      <c r="AW19" s="346"/>
      <c r="AX19" s="346">
        <f t="shared" si="91"/>
        <v>0</v>
      </c>
      <c r="AY19" s="346">
        <f t="shared" si="91"/>
        <v>0</v>
      </c>
      <c r="AZ19" s="346">
        <f t="shared" si="91"/>
        <v>0</v>
      </c>
      <c r="BA19" s="346">
        <f t="shared" si="91"/>
        <v>0</v>
      </c>
      <c r="BB19" s="346">
        <f t="shared" si="91"/>
        <v>0</v>
      </c>
      <c r="BC19" s="346">
        <f t="shared" si="91"/>
        <v>0</v>
      </c>
      <c r="BD19" s="346">
        <f t="shared" si="91"/>
        <v>0</v>
      </c>
      <c r="BE19" s="346">
        <f t="shared" si="91"/>
        <v>0</v>
      </c>
      <c r="BF19" s="346">
        <f t="shared" si="91"/>
        <v>0</v>
      </c>
      <c r="BG19" s="346">
        <f t="shared" si="91"/>
        <v>0</v>
      </c>
      <c r="BH19" s="346">
        <f t="shared" si="91"/>
        <v>0</v>
      </c>
      <c r="BI19" s="346">
        <f t="shared" si="91"/>
        <v>0</v>
      </c>
      <c r="BJ19" s="333">
        <v>37200</v>
      </c>
      <c r="BK19" s="346">
        <v>0</v>
      </c>
      <c r="BL19" s="346">
        <v>-24800</v>
      </c>
      <c r="BM19" s="346">
        <f t="shared" si="97"/>
        <v>0</v>
      </c>
      <c r="BN19" s="346">
        <f t="shared" si="97"/>
        <v>0</v>
      </c>
      <c r="BO19" s="346">
        <f t="shared" si="97"/>
        <v>0</v>
      </c>
      <c r="BP19" s="346">
        <f t="shared" si="97"/>
        <v>0</v>
      </c>
      <c r="BQ19" s="346">
        <f t="shared" si="97"/>
        <v>0</v>
      </c>
      <c r="BR19" s="370">
        <f t="shared" si="93"/>
        <v>0</v>
      </c>
      <c r="BS19" s="402">
        <f t="shared" si="66"/>
        <v>0</v>
      </c>
      <c r="BT19" s="402">
        <f t="shared" si="67"/>
        <v>0</v>
      </c>
    </row>
    <row r="20" spans="1:72" s="235" customFormat="1" ht="15" hidden="1" customHeight="1" x14ac:dyDescent="0.25">
      <c r="A20" s="235" t="s">
        <v>127</v>
      </c>
      <c r="B20" s="235" t="str">
        <f>VLOOKUP(A20,'DFP-Com'!$A$16:$B$50,2,1)</f>
        <v xml:space="preserve">     1.2.a  TVET</v>
      </c>
      <c r="C20" s="344" t="s">
        <v>315</v>
      </c>
      <c r="D20" s="415">
        <v>18938.400000000001</v>
      </c>
      <c r="E20" s="470" t="s">
        <v>305</v>
      </c>
      <c r="F20" s="417"/>
      <c r="G20" s="417"/>
      <c r="H20" s="417"/>
      <c r="I20" s="417"/>
      <c r="J20" s="417"/>
      <c r="K20" s="345"/>
      <c r="L20" s="345"/>
      <c r="M20" s="345"/>
      <c r="N20" s="345">
        <v>0</v>
      </c>
      <c r="O20" s="345">
        <v>0</v>
      </c>
      <c r="P20" s="345">
        <v>0</v>
      </c>
      <c r="Q20" s="345">
        <v>0</v>
      </c>
      <c r="R20" s="345">
        <v>0</v>
      </c>
      <c r="S20" s="345">
        <v>0</v>
      </c>
      <c r="T20" s="345">
        <v>1</v>
      </c>
      <c r="U20" s="345">
        <v>0</v>
      </c>
      <c r="V20" s="345"/>
      <c r="W20" s="345"/>
      <c r="X20" s="345"/>
      <c r="Y20" s="345"/>
      <c r="Z20" s="416">
        <f t="shared" si="98"/>
        <v>1</v>
      </c>
      <c r="AA20" s="344"/>
      <c r="AB20" s="344"/>
      <c r="AC20" s="333">
        <f t="shared" si="90"/>
        <v>0</v>
      </c>
      <c r="AD20" s="333">
        <f t="shared" si="70"/>
        <v>0</v>
      </c>
      <c r="AE20" s="333">
        <f t="shared" si="71"/>
        <v>0</v>
      </c>
      <c r="AF20" s="333">
        <f t="shared" si="72"/>
        <v>0</v>
      </c>
      <c r="AG20" s="333">
        <f t="shared" si="73"/>
        <v>0</v>
      </c>
      <c r="AH20" s="333">
        <f t="shared" si="74"/>
        <v>0</v>
      </c>
      <c r="AI20" s="333">
        <f t="shared" si="75"/>
        <v>0</v>
      </c>
      <c r="AJ20" s="333">
        <f t="shared" si="76"/>
        <v>0</v>
      </c>
      <c r="AK20" s="333">
        <f t="shared" si="77"/>
        <v>0</v>
      </c>
      <c r="AL20" s="333">
        <f t="shared" si="78"/>
        <v>0</v>
      </c>
      <c r="AM20" s="333">
        <f t="shared" si="79"/>
        <v>0</v>
      </c>
      <c r="AN20" s="333">
        <f t="shared" si="80"/>
        <v>0</v>
      </c>
      <c r="AO20" s="333">
        <f t="shared" si="81"/>
        <v>0</v>
      </c>
      <c r="AP20" s="333">
        <f t="shared" si="82"/>
        <v>0</v>
      </c>
      <c r="AQ20" s="333">
        <f t="shared" si="83"/>
        <v>18938.400000000001</v>
      </c>
      <c r="AR20" s="333">
        <f t="shared" si="84"/>
        <v>0</v>
      </c>
      <c r="AS20" s="333">
        <f t="shared" si="85"/>
        <v>0</v>
      </c>
      <c r="AT20" s="333">
        <f t="shared" si="86"/>
        <v>0</v>
      </c>
      <c r="AU20" s="333">
        <f t="shared" si="87"/>
        <v>0</v>
      </c>
      <c r="AV20" s="415"/>
      <c r="AW20" s="346"/>
      <c r="AX20" s="346">
        <f t="shared" si="91"/>
        <v>0</v>
      </c>
      <c r="AY20" s="346">
        <f t="shared" si="91"/>
        <v>0</v>
      </c>
      <c r="AZ20" s="346">
        <f t="shared" si="91"/>
        <v>0</v>
      </c>
      <c r="BA20" s="346">
        <f t="shared" si="91"/>
        <v>0</v>
      </c>
      <c r="BB20" s="346">
        <f t="shared" si="91"/>
        <v>0</v>
      </c>
      <c r="BC20" s="346">
        <f t="shared" si="91"/>
        <v>0</v>
      </c>
      <c r="BD20" s="346">
        <f t="shared" si="91"/>
        <v>0</v>
      </c>
      <c r="BE20" s="346">
        <f t="shared" si="91"/>
        <v>0</v>
      </c>
      <c r="BF20" s="346">
        <f t="shared" si="91"/>
        <v>0</v>
      </c>
      <c r="BG20" s="346">
        <f t="shared" si="91"/>
        <v>0</v>
      </c>
      <c r="BH20" s="346">
        <f t="shared" si="91"/>
        <v>0</v>
      </c>
      <c r="BI20" s="346">
        <f t="shared" si="91"/>
        <v>0</v>
      </c>
      <c r="BJ20" s="333">
        <v>21211.01</v>
      </c>
      <c r="BK20" s="346">
        <v>-2272.61</v>
      </c>
      <c r="BL20" s="346">
        <f>IF(BL$3=$E20,$D20,0)</f>
        <v>0</v>
      </c>
      <c r="BM20" s="346">
        <f t="shared" si="97"/>
        <v>0</v>
      </c>
      <c r="BN20" s="346">
        <f t="shared" si="97"/>
        <v>0</v>
      </c>
      <c r="BO20" s="346">
        <f t="shared" si="97"/>
        <v>0</v>
      </c>
      <c r="BP20" s="346">
        <f t="shared" si="97"/>
        <v>0</v>
      </c>
      <c r="BQ20" s="346">
        <f t="shared" si="97"/>
        <v>0</v>
      </c>
      <c r="BR20" s="370">
        <f t="shared" ref="BR20" si="99">SUM(AC20:AV20)-SUM(AX20:BQ20)</f>
        <v>0</v>
      </c>
      <c r="BS20" s="402">
        <f t="shared" si="66"/>
        <v>0</v>
      </c>
      <c r="BT20" s="402">
        <f t="shared" si="67"/>
        <v>0</v>
      </c>
    </row>
    <row r="21" spans="1:72" s="235" customFormat="1" ht="15" hidden="1" customHeight="1" x14ac:dyDescent="0.25">
      <c r="A21" s="235" t="s">
        <v>127</v>
      </c>
      <c r="B21" s="235" t="str">
        <f>VLOOKUP(A21,'DFP-Com'!$A$16:$B$50,2,1)</f>
        <v xml:space="preserve">     1.2.a  TVET</v>
      </c>
      <c r="C21" s="344" t="s">
        <v>366</v>
      </c>
      <c r="D21" s="415">
        <v>34100</v>
      </c>
      <c r="E21" s="470" t="s">
        <v>204</v>
      </c>
      <c r="F21" s="417"/>
      <c r="G21" s="417"/>
      <c r="H21" s="417"/>
      <c r="I21" s="417"/>
      <c r="J21" s="417"/>
      <c r="K21" s="345"/>
      <c r="L21" s="345"/>
      <c r="M21" s="345"/>
      <c r="N21" s="345">
        <v>0</v>
      </c>
      <c r="O21" s="345">
        <v>0</v>
      </c>
      <c r="P21" s="345">
        <v>0</v>
      </c>
      <c r="Q21" s="345">
        <v>0</v>
      </c>
      <c r="R21" s="345">
        <v>0</v>
      </c>
      <c r="S21" s="345">
        <v>0</v>
      </c>
      <c r="T21" s="345">
        <v>0.18181818181818182</v>
      </c>
      <c r="U21" s="345">
        <v>0.24951847507331379</v>
      </c>
      <c r="V21" s="345">
        <v>0.24043636363636361</v>
      </c>
      <c r="W21" s="345">
        <v>0.3282269794721408</v>
      </c>
      <c r="X21" s="345"/>
      <c r="Y21" s="345"/>
      <c r="Z21" s="416">
        <f t="shared" ref="Z21" si="100">SUM(F21:X21)</f>
        <v>1</v>
      </c>
      <c r="AA21" s="344"/>
      <c r="AB21" s="344"/>
      <c r="AC21" s="333">
        <f t="shared" si="90"/>
        <v>0</v>
      </c>
      <c r="AD21" s="333">
        <f t="shared" si="70"/>
        <v>0</v>
      </c>
      <c r="AE21" s="333">
        <f t="shared" si="71"/>
        <v>0</v>
      </c>
      <c r="AF21" s="333">
        <f t="shared" si="72"/>
        <v>0</v>
      </c>
      <c r="AG21" s="333">
        <f t="shared" si="73"/>
        <v>0</v>
      </c>
      <c r="AH21" s="333">
        <f t="shared" si="74"/>
        <v>0</v>
      </c>
      <c r="AI21" s="333">
        <f t="shared" si="75"/>
        <v>0</v>
      </c>
      <c r="AJ21" s="333">
        <f t="shared" si="76"/>
        <v>0</v>
      </c>
      <c r="AK21" s="333">
        <f t="shared" si="77"/>
        <v>0</v>
      </c>
      <c r="AL21" s="333">
        <f t="shared" si="78"/>
        <v>0</v>
      </c>
      <c r="AM21" s="333">
        <f t="shared" si="79"/>
        <v>0</v>
      </c>
      <c r="AN21" s="333">
        <f t="shared" si="80"/>
        <v>0</v>
      </c>
      <c r="AO21" s="333">
        <f t="shared" si="81"/>
        <v>0</v>
      </c>
      <c r="AP21" s="333">
        <f t="shared" si="82"/>
        <v>0</v>
      </c>
      <c r="AQ21" s="333">
        <f t="shared" si="83"/>
        <v>6200</v>
      </c>
      <c r="AR21" s="333">
        <f t="shared" si="84"/>
        <v>8508.58</v>
      </c>
      <c r="AS21" s="333">
        <f t="shared" si="85"/>
        <v>8198.8799999999992</v>
      </c>
      <c r="AT21" s="333">
        <f t="shared" si="86"/>
        <v>11192.54</v>
      </c>
      <c r="AU21" s="333">
        <f t="shared" si="87"/>
        <v>0</v>
      </c>
      <c r="AV21" s="415"/>
      <c r="AW21" s="346"/>
      <c r="AX21" s="346">
        <f t="shared" si="91"/>
        <v>0</v>
      </c>
      <c r="AY21" s="346">
        <f t="shared" si="91"/>
        <v>0</v>
      </c>
      <c r="AZ21" s="346">
        <f t="shared" si="91"/>
        <v>0</v>
      </c>
      <c r="BA21" s="346">
        <f t="shared" si="91"/>
        <v>0</v>
      </c>
      <c r="BB21" s="346">
        <f t="shared" si="91"/>
        <v>0</v>
      </c>
      <c r="BC21" s="346">
        <f t="shared" si="91"/>
        <v>0</v>
      </c>
      <c r="BD21" s="346">
        <f t="shared" si="91"/>
        <v>0</v>
      </c>
      <c r="BE21" s="346">
        <f t="shared" si="91"/>
        <v>0</v>
      </c>
      <c r="BF21" s="346">
        <f t="shared" si="91"/>
        <v>0</v>
      </c>
      <c r="BG21" s="346">
        <f t="shared" si="91"/>
        <v>0</v>
      </c>
      <c r="BH21" s="346">
        <f t="shared" si="91"/>
        <v>0</v>
      </c>
      <c r="BI21" s="346">
        <f t="shared" si="91"/>
        <v>0</v>
      </c>
      <c r="BJ21" s="333">
        <f>IF(BJ$3=$E21,$D21,0)</f>
        <v>0</v>
      </c>
      <c r="BK21" s="346">
        <f>IF(BK$3=$E21,$D21,0)</f>
        <v>0</v>
      </c>
      <c r="BL21" s="346">
        <f>IF(BL$3=$E21,$D21,0)</f>
        <v>34100</v>
      </c>
      <c r="BM21" s="346">
        <f t="shared" si="97"/>
        <v>0</v>
      </c>
      <c r="BN21" s="346">
        <f t="shared" si="97"/>
        <v>0</v>
      </c>
      <c r="BO21" s="346">
        <f t="shared" si="97"/>
        <v>0</v>
      </c>
      <c r="BP21" s="346">
        <f t="shared" si="97"/>
        <v>0</v>
      </c>
      <c r="BQ21" s="346">
        <f t="shared" si="97"/>
        <v>0</v>
      </c>
      <c r="BR21" s="370">
        <f t="shared" ref="BR21" si="101">SUM(AC21:AV21)-SUM(AX21:BQ21)</f>
        <v>0</v>
      </c>
      <c r="BS21" s="402">
        <f t="shared" si="66"/>
        <v>0</v>
      </c>
      <c r="BT21" s="402">
        <f t="shared" si="67"/>
        <v>0</v>
      </c>
    </row>
    <row r="22" spans="1:72" s="235" customFormat="1" ht="15" hidden="1" customHeight="1" x14ac:dyDescent="0.25">
      <c r="A22" s="235" t="s">
        <v>127</v>
      </c>
      <c r="B22" s="235" t="str">
        <f>VLOOKUP(A22,'DFP-Com'!$A$16:$B$50,2,1)</f>
        <v xml:space="preserve">     1.2.a  TVET</v>
      </c>
      <c r="C22" s="344" t="s">
        <v>358</v>
      </c>
      <c r="D22" s="415">
        <v>12500</v>
      </c>
      <c r="E22" s="470" t="s">
        <v>350</v>
      </c>
      <c r="F22" s="345">
        <v>0</v>
      </c>
      <c r="G22" s="345">
        <v>0</v>
      </c>
      <c r="H22" s="345">
        <v>0</v>
      </c>
      <c r="I22" s="345">
        <v>0</v>
      </c>
      <c r="J22" s="345">
        <v>0</v>
      </c>
      <c r="K22" s="345">
        <v>0</v>
      </c>
      <c r="L22" s="416">
        <v>0</v>
      </c>
      <c r="M22" s="345">
        <v>0</v>
      </c>
      <c r="N22" s="345">
        <v>0</v>
      </c>
      <c r="O22" s="345">
        <v>0</v>
      </c>
      <c r="P22" s="345">
        <v>0</v>
      </c>
      <c r="Q22" s="345">
        <v>0</v>
      </c>
      <c r="R22" s="345">
        <v>0</v>
      </c>
      <c r="S22" s="345">
        <v>0</v>
      </c>
      <c r="T22" s="345">
        <v>0</v>
      </c>
      <c r="U22" s="345">
        <v>0</v>
      </c>
      <c r="V22" s="345">
        <v>0.97199999999999998</v>
      </c>
      <c r="W22" s="345">
        <v>2.8000000000000001E-2</v>
      </c>
      <c r="X22" s="345">
        <v>0</v>
      </c>
      <c r="Y22" s="345"/>
      <c r="Z22" s="416">
        <f t="shared" si="68"/>
        <v>1</v>
      </c>
      <c r="AA22" s="344"/>
      <c r="AB22" s="344"/>
      <c r="AC22" s="333">
        <f t="shared" si="69"/>
        <v>0</v>
      </c>
      <c r="AD22" s="333">
        <f t="shared" si="70"/>
        <v>0</v>
      </c>
      <c r="AE22" s="333">
        <f t="shared" si="71"/>
        <v>0</v>
      </c>
      <c r="AF22" s="333">
        <f t="shared" si="72"/>
        <v>0</v>
      </c>
      <c r="AG22" s="333">
        <f t="shared" si="73"/>
        <v>0</v>
      </c>
      <c r="AH22" s="333">
        <f t="shared" si="74"/>
        <v>0</v>
      </c>
      <c r="AI22" s="333">
        <f t="shared" si="75"/>
        <v>0</v>
      </c>
      <c r="AJ22" s="333">
        <f t="shared" si="76"/>
        <v>0</v>
      </c>
      <c r="AK22" s="333">
        <f t="shared" si="77"/>
        <v>0</v>
      </c>
      <c r="AL22" s="333">
        <f t="shared" si="78"/>
        <v>0</v>
      </c>
      <c r="AM22" s="333">
        <f t="shared" si="79"/>
        <v>0</v>
      </c>
      <c r="AN22" s="333">
        <f t="shared" si="80"/>
        <v>0</v>
      </c>
      <c r="AO22" s="333">
        <f t="shared" si="81"/>
        <v>0</v>
      </c>
      <c r="AP22" s="333">
        <f t="shared" si="82"/>
        <v>0</v>
      </c>
      <c r="AQ22" s="333">
        <f t="shared" si="83"/>
        <v>0</v>
      </c>
      <c r="AR22" s="333">
        <f t="shared" si="84"/>
        <v>0</v>
      </c>
      <c r="AS22" s="333">
        <f t="shared" si="85"/>
        <v>12150</v>
      </c>
      <c r="AT22" s="333">
        <f t="shared" si="86"/>
        <v>350</v>
      </c>
      <c r="AU22" s="333">
        <f t="shared" si="87"/>
        <v>0</v>
      </c>
      <c r="AV22" s="415"/>
      <c r="AW22" s="346"/>
      <c r="AX22" s="346">
        <f t="shared" ref="AX22:BM25" si="102">IF(AX$3=$E22,$D22,0)</f>
        <v>0</v>
      </c>
      <c r="AY22" s="346">
        <f t="shared" si="102"/>
        <v>0</v>
      </c>
      <c r="AZ22" s="346">
        <f t="shared" si="102"/>
        <v>0</v>
      </c>
      <c r="BA22" s="346">
        <f t="shared" si="102"/>
        <v>0</v>
      </c>
      <c r="BB22" s="346">
        <f t="shared" si="102"/>
        <v>0</v>
      </c>
      <c r="BC22" s="346">
        <f t="shared" si="102"/>
        <v>0</v>
      </c>
      <c r="BD22" s="346">
        <f t="shared" si="102"/>
        <v>0</v>
      </c>
      <c r="BE22" s="346">
        <f t="shared" si="102"/>
        <v>0</v>
      </c>
      <c r="BF22" s="346">
        <f t="shared" si="102"/>
        <v>0</v>
      </c>
      <c r="BG22" s="346">
        <f t="shared" si="102"/>
        <v>0</v>
      </c>
      <c r="BH22" s="346">
        <f t="shared" si="102"/>
        <v>0</v>
      </c>
      <c r="BI22" s="346">
        <f t="shared" si="102"/>
        <v>0</v>
      </c>
      <c r="BJ22" s="346">
        <f t="shared" si="102"/>
        <v>0</v>
      </c>
      <c r="BK22" s="346">
        <f t="shared" si="102"/>
        <v>0</v>
      </c>
      <c r="BL22" s="346">
        <f t="shared" si="102"/>
        <v>0</v>
      </c>
      <c r="BM22" s="346">
        <f t="shared" si="102"/>
        <v>12500</v>
      </c>
      <c r="BN22" s="346">
        <f t="shared" si="18"/>
        <v>0</v>
      </c>
      <c r="BO22" s="346">
        <f t="shared" si="18"/>
        <v>0</v>
      </c>
      <c r="BP22" s="346">
        <f t="shared" si="18"/>
        <v>0</v>
      </c>
      <c r="BQ22" s="346">
        <f t="shared" si="18"/>
        <v>0</v>
      </c>
      <c r="BR22" s="370">
        <f t="shared" si="88"/>
        <v>0</v>
      </c>
      <c r="BS22" s="402">
        <f t="shared" si="66"/>
        <v>0</v>
      </c>
      <c r="BT22" s="402">
        <f t="shared" si="67"/>
        <v>0</v>
      </c>
    </row>
    <row r="23" spans="1:72" s="235" customFormat="1" ht="15" hidden="1" customHeight="1" x14ac:dyDescent="0.25">
      <c r="A23" s="235" t="s">
        <v>127</v>
      </c>
      <c r="B23" s="235" t="str">
        <f>VLOOKUP(A23,'DFP-Com'!$A$16:$B$50,2,1)</f>
        <v xml:space="preserve">     1.2.a  TVET</v>
      </c>
      <c r="C23" s="344" t="s">
        <v>359</v>
      </c>
      <c r="D23" s="415">
        <v>0</v>
      </c>
      <c r="E23" s="470" t="s">
        <v>350</v>
      </c>
      <c r="F23" s="345">
        <v>0</v>
      </c>
      <c r="G23" s="345">
        <v>0</v>
      </c>
      <c r="H23" s="345">
        <v>0</v>
      </c>
      <c r="I23" s="345">
        <v>0</v>
      </c>
      <c r="J23" s="345">
        <v>0</v>
      </c>
      <c r="K23" s="345">
        <v>0</v>
      </c>
      <c r="L23" s="416">
        <v>0</v>
      </c>
      <c r="M23" s="345">
        <v>0</v>
      </c>
      <c r="N23" s="345">
        <v>0</v>
      </c>
      <c r="O23" s="345">
        <v>0</v>
      </c>
      <c r="P23" s="345">
        <v>0</v>
      </c>
      <c r="Q23" s="345">
        <v>0</v>
      </c>
      <c r="R23" s="345">
        <v>0</v>
      </c>
      <c r="S23" s="345">
        <v>0</v>
      </c>
      <c r="T23" s="345">
        <v>0</v>
      </c>
      <c r="U23" s="345">
        <v>0.25</v>
      </c>
      <c r="V23" s="345">
        <v>0.25</v>
      </c>
      <c r="W23" s="345">
        <v>0.5</v>
      </c>
      <c r="X23" s="345">
        <v>0</v>
      </c>
      <c r="Y23" s="345"/>
      <c r="Z23" s="416">
        <f t="shared" si="68"/>
        <v>1</v>
      </c>
      <c r="AA23" s="344"/>
      <c r="AB23" s="344"/>
      <c r="AC23" s="333">
        <f t="shared" si="69"/>
        <v>0</v>
      </c>
      <c r="AD23" s="333">
        <f t="shared" si="70"/>
        <v>0</v>
      </c>
      <c r="AE23" s="333">
        <f t="shared" si="71"/>
        <v>0</v>
      </c>
      <c r="AF23" s="333">
        <f t="shared" si="72"/>
        <v>0</v>
      </c>
      <c r="AG23" s="333">
        <f t="shared" si="73"/>
        <v>0</v>
      </c>
      <c r="AH23" s="333">
        <f t="shared" si="74"/>
        <v>0</v>
      </c>
      <c r="AI23" s="333">
        <f t="shared" si="75"/>
        <v>0</v>
      </c>
      <c r="AJ23" s="333">
        <f t="shared" si="76"/>
        <v>0</v>
      </c>
      <c r="AK23" s="333">
        <f t="shared" si="77"/>
        <v>0</v>
      </c>
      <c r="AL23" s="333">
        <f t="shared" si="78"/>
        <v>0</v>
      </c>
      <c r="AM23" s="333">
        <f t="shared" si="79"/>
        <v>0</v>
      </c>
      <c r="AN23" s="333">
        <f t="shared" si="80"/>
        <v>0</v>
      </c>
      <c r="AO23" s="333">
        <f t="shared" si="81"/>
        <v>0</v>
      </c>
      <c r="AP23" s="333">
        <f t="shared" si="82"/>
        <v>0</v>
      </c>
      <c r="AQ23" s="333">
        <f t="shared" si="83"/>
        <v>0</v>
      </c>
      <c r="AR23" s="333">
        <f t="shared" si="84"/>
        <v>0</v>
      </c>
      <c r="AS23" s="333">
        <f t="shared" si="85"/>
        <v>0</v>
      </c>
      <c r="AT23" s="333">
        <f t="shared" si="86"/>
        <v>0</v>
      </c>
      <c r="AU23" s="333">
        <f t="shared" si="87"/>
        <v>0</v>
      </c>
      <c r="AV23" s="415"/>
      <c r="AW23" s="346"/>
      <c r="AX23" s="346">
        <f t="shared" si="102"/>
        <v>0</v>
      </c>
      <c r="AY23" s="346">
        <f t="shared" si="102"/>
        <v>0</v>
      </c>
      <c r="AZ23" s="346">
        <f t="shared" si="102"/>
        <v>0</v>
      </c>
      <c r="BA23" s="346">
        <f t="shared" si="102"/>
        <v>0</v>
      </c>
      <c r="BB23" s="346">
        <f t="shared" si="102"/>
        <v>0</v>
      </c>
      <c r="BC23" s="346">
        <f t="shared" si="102"/>
        <v>0</v>
      </c>
      <c r="BD23" s="346">
        <f t="shared" si="102"/>
        <v>0</v>
      </c>
      <c r="BE23" s="346">
        <f t="shared" si="102"/>
        <v>0</v>
      </c>
      <c r="BF23" s="346">
        <f t="shared" si="102"/>
        <v>0</v>
      </c>
      <c r="BG23" s="346">
        <f t="shared" si="102"/>
        <v>0</v>
      </c>
      <c r="BH23" s="346">
        <f t="shared" si="102"/>
        <v>0</v>
      </c>
      <c r="BI23" s="346">
        <f t="shared" si="102"/>
        <v>0</v>
      </c>
      <c r="BJ23" s="346">
        <f t="shared" si="102"/>
        <v>0</v>
      </c>
      <c r="BK23" s="346">
        <f t="shared" si="102"/>
        <v>0</v>
      </c>
      <c r="BL23" s="346">
        <f t="shared" si="102"/>
        <v>0</v>
      </c>
      <c r="BM23" s="346">
        <f t="shared" si="102"/>
        <v>0</v>
      </c>
      <c r="BN23" s="346">
        <f t="shared" si="18"/>
        <v>0</v>
      </c>
      <c r="BO23" s="346">
        <f t="shared" si="18"/>
        <v>0</v>
      </c>
      <c r="BP23" s="346">
        <f t="shared" si="18"/>
        <v>0</v>
      </c>
      <c r="BQ23" s="346">
        <f t="shared" si="18"/>
        <v>0</v>
      </c>
      <c r="BR23" s="370">
        <f t="shared" si="88"/>
        <v>0</v>
      </c>
      <c r="BS23" s="402">
        <f t="shared" si="66"/>
        <v>0</v>
      </c>
      <c r="BT23" s="402">
        <f t="shared" si="67"/>
        <v>0</v>
      </c>
    </row>
    <row r="24" spans="1:72" s="235" customFormat="1" ht="15" hidden="1" customHeight="1" x14ac:dyDescent="0.25">
      <c r="A24" s="235" t="s">
        <v>127</v>
      </c>
      <c r="B24" s="235" t="str">
        <f>VLOOKUP(A24,'DFP-Com'!$A$16:$B$50,2,1)</f>
        <v xml:space="preserve">     1.2.a  TVET</v>
      </c>
      <c r="C24" s="344" t="s">
        <v>360</v>
      </c>
      <c r="D24" s="415">
        <v>19796.400000000001</v>
      </c>
      <c r="E24" s="470" t="s">
        <v>350</v>
      </c>
      <c r="F24" s="345">
        <v>0</v>
      </c>
      <c r="G24" s="345">
        <v>0</v>
      </c>
      <c r="H24" s="345">
        <v>0</v>
      </c>
      <c r="I24" s="345">
        <v>0</v>
      </c>
      <c r="J24" s="345">
        <v>0</v>
      </c>
      <c r="K24" s="345">
        <v>0</v>
      </c>
      <c r="L24" s="416">
        <v>0</v>
      </c>
      <c r="M24" s="345">
        <v>0</v>
      </c>
      <c r="N24" s="345">
        <v>0</v>
      </c>
      <c r="O24" s="345">
        <v>0</v>
      </c>
      <c r="P24" s="345">
        <v>0</v>
      </c>
      <c r="Q24" s="345">
        <v>0</v>
      </c>
      <c r="R24" s="345">
        <v>0</v>
      </c>
      <c r="S24" s="345">
        <v>0</v>
      </c>
      <c r="T24" s="345">
        <v>0</v>
      </c>
      <c r="U24" s="345">
        <v>0.17094017094017092</v>
      </c>
      <c r="V24" s="345">
        <v>0.54700854700854695</v>
      </c>
      <c r="W24" s="345">
        <v>0.28205128205128199</v>
      </c>
      <c r="X24" s="345">
        <v>0</v>
      </c>
      <c r="Y24" s="345"/>
      <c r="Z24" s="416">
        <f t="shared" ref="Z24" si="103">SUM(F24:X24)</f>
        <v>0.99999999999999978</v>
      </c>
      <c r="AA24" s="344"/>
      <c r="AB24" s="344"/>
      <c r="AC24" s="333">
        <f t="shared" ref="AC24" si="104">F24*$D24</f>
        <v>0</v>
      </c>
      <c r="AD24" s="333">
        <f t="shared" ref="AD24" si="105">G24*$D24</f>
        <v>0</v>
      </c>
      <c r="AE24" s="333">
        <f t="shared" ref="AE24" si="106">H24*$D24</f>
        <v>0</v>
      </c>
      <c r="AF24" s="333">
        <f t="shared" ref="AF24" si="107">I24*$D24</f>
        <v>0</v>
      </c>
      <c r="AG24" s="333">
        <f t="shared" ref="AG24" si="108">J24*$D24</f>
        <v>0</v>
      </c>
      <c r="AH24" s="333">
        <f t="shared" ref="AH24" si="109">K24*$D24</f>
        <v>0</v>
      </c>
      <c r="AI24" s="333">
        <f t="shared" ref="AI24" si="110">L24*$D24</f>
        <v>0</v>
      </c>
      <c r="AJ24" s="333">
        <f t="shared" ref="AJ24" si="111">M24*$D24</f>
        <v>0</v>
      </c>
      <c r="AK24" s="333">
        <f t="shared" ref="AK24" si="112">N24*$D24</f>
        <v>0</v>
      </c>
      <c r="AL24" s="333">
        <f t="shared" ref="AL24" si="113">O24*$D24</f>
        <v>0</v>
      </c>
      <c r="AM24" s="333">
        <f t="shared" ref="AM24" si="114">P24*$D24</f>
        <v>0</v>
      </c>
      <c r="AN24" s="333">
        <f t="shared" ref="AN24" si="115">Q24*$D24</f>
        <v>0</v>
      </c>
      <c r="AO24" s="333">
        <f t="shared" ref="AO24" si="116">R24*$D24</f>
        <v>0</v>
      </c>
      <c r="AP24" s="333">
        <f t="shared" ref="AP24" si="117">S24*$D24</f>
        <v>0</v>
      </c>
      <c r="AQ24" s="333">
        <f t="shared" ref="AQ24" si="118">T24*$D24</f>
        <v>0</v>
      </c>
      <c r="AR24" s="333">
        <f t="shared" ref="AR24" si="119">U24*$D24</f>
        <v>3383.9999999999995</v>
      </c>
      <c r="AS24" s="333">
        <f t="shared" ref="AS24" si="120">V24*$D24</f>
        <v>10828.8</v>
      </c>
      <c r="AT24" s="333">
        <f t="shared" ref="AT24" si="121">W24*$D24</f>
        <v>5583.5999999999995</v>
      </c>
      <c r="AU24" s="333">
        <f t="shared" ref="AU24" si="122">X24*$D24</f>
        <v>0</v>
      </c>
      <c r="AV24" s="415"/>
      <c r="AW24" s="346"/>
      <c r="AX24" s="346">
        <f t="shared" si="102"/>
        <v>0</v>
      </c>
      <c r="AY24" s="346">
        <f t="shared" si="102"/>
        <v>0</v>
      </c>
      <c r="AZ24" s="346">
        <f t="shared" si="102"/>
        <v>0</v>
      </c>
      <c r="BA24" s="346">
        <f t="shared" si="102"/>
        <v>0</v>
      </c>
      <c r="BB24" s="346">
        <f t="shared" si="102"/>
        <v>0</v>
      </c>
      <c r="BC24" s="346">
        <f t="shared" si="102"/>
        <v>0</v>
      </c>
      <c r="BD24" s="346">
        <f t="shared" si="102"/>
        <v>0</v>
      </c>
      <c r="BE24" s="346">
        <f t="shared" si="102"/>
        <v>0</v>
      </c>
      <c r="BF24" s="346">
        <f t="shared" si="102"/>
        <v>0</v>
      </c>
      <c r="BG24" s="346">
        <f t="shared" si="102"/>
        <v>0</v>
      </c>
      <c r="BH24" s="346">
        <f t="shared" si="102"/>
        <v>0</v>
      </c>
      <c r="BI24" s="346">
        <f t="shared" si="102"/>
        <v>0</v>
      </c>
      <c r="BJ24" s="346">
        <f t="shared" si="102"/>
        <v>0</v>
      </c>
      <c r="BK24" s="346">
        <f t="shared" si="102"/>
        <v>0</v>
      </c>
      <c r="BL24" s="346">
        <f t="shared" si="102"/>
        <v>0</v>
      </c>
      <c r="BM24" s="346">
        <f t="shared" si="102"/>
        <v>19796.400000000001</v>
      </c>
      <c r="BN24" s="346">
        <f t="shared" si="18"/>
        <v>0</v>
      </c>
      <c r="BO24" s="346">
        <f t="shared" si="18"/>
        <v>0</v>
      </c>
      <c r="BP24" s="346">
        <f t="shared" si="18"/>
        <v>0</v>
      </c>
      <c r="BQ24" s="346">
        <f t="shared" si="18"/>
        <v>0</v>
      </c>
      <c r="BR24" s="370">
        <f t="shared" ref="BR24" si="123">SUM(AC24:AV24)-SUM(AX24:BQ24)</f>
        <v>0</v>
      </c>
      <c r="BS24" s="402">
        <f t="shared" si="66"/>
        <v>0</v>
      </c>
      <c r="BT24" s="402">
        <f t="shared" si="67"/>
        <v>0</v>
      </c>
    </row>
    <row r="25" spans="1:72" s="235" customFormat="1" ht="15" hidden="1" customHeight="1" x14ac:dyDescent="0.25">
      <c r="A25" s="235" t="s">
        <v>127</v>
      </c>
      <c r="B25" s="235" t="str">
        <f>VLOOKUP(A25,'DFP-Com'!$A$16:$B$50,2,1)</f>
        <v xml:space="preserve">     1.2.a  TVET</v>
      </c>
      <c r="C25" s="344" t="s">
        <v>363</v>
      </c>
      <c r="D25" s="415">
        <v>25000</v>
      </c>
      <c r="E25" s="470" t="s">
        <v>325</v>
      </c>
      <c r="F25" s="345">
        <v>0</v>
      </c>
      <c r="G25" s="345">
        <v>0</v>
      </c>
      <c r="H25" s="345">
        <v>0</v>
      </c>
      <c r="I25" s="345">
        <v>0</v>
      </c>
      <c r="J25" s="345">
        <v>0</v>
      </c>
      <c r="K25" s="345">
        <v>0</v>
      </c>
      <c r="L25" s="416">
        <v>0</v>
      </c>
      <c r="M25" s="345">
        <v>0</v>
      </c>
      <c r="N25" s="345">
        <v>0</v>
      </c>
      <c r="O25" s="345">
        <v>0</v>
      </c>
      <c r="P25" s="345">
        <v>0</v>
      </c>
      <c r="Q25" s="345">
        <v>0</v>
      </c>
      <c r="R25" s="345">
        <v>0</v>
      </c>
      <c r="S25" s="345">
        <v>0</v>
      </c>
      <c r="T25" s="345">
        <v>0</v>
      </c>
      <c r="U25" s="345">
        <v>0</v>
      </c>
      <c r="V25" s="345">
        <v>1</v>
      </c>
      <c r="W25" s="345">
        <v>0</v>
      </c>
      <c r="X25" s="345">
        <v>0</v>
      </c>
      <c r="Y25" s="345"/>
      <c r="Z25" s="416">
        <f t="shared" ref="Z25" si="124">SUM(F25:X25)</f>
        <v>1</v>
      </c>
      <c r="AA25" s="344"/>
      <c r="AB25" s="344"/>
      <c r="AC25" s="333">
        <f t="shared" ref="AC25" si="125">F25*$D25</f>
        <v>0</v>
      </c>
      <c r="AD25" s="333">
        <f t="shared" ref="AD25" si="126">G25*$D25</f>
        <v>0</v>
      </c>
      <c r="AE25" s="333">
        <f t="shared" ref="AE25" si="127">H25*$D25</f>
        <v>0</v>
      </c>
      <c r="AF25" s="333">
        <f t="shared" ref="AF25" si="128">I25*$D25</f>
        <v>0</v>
      </c>
      <c r="AG25" s="333">
        <f t="shared" ref="AG25" si="129">J25*$D25</f>
        <v>0</v>
      </c>
      <c r="AH25" s="333">
        <f t="shared" ref="AH25" si="130">K25*$D25</f>
        <v>0</v>
      </c>
      <c r="AI25" s="333">
        <f t="shared" ref="AI25" si="131">L25*$D25</f>
        <v>0</v>
      </c>
      <c r="AJ25" s="333">
        <f t="shared" ref="AJ25" si="132">M25*$D25</f>
        <v>0</v>
      </c>
      <c r="AK25" s="333">
        <f t="shared" ref="AK25" si="133">N25*$D25</f>
        <v>0</v>
      </c>
      <c r="AL25" s="333">
        <f t="shared" ref="AL25" si="134">O25*$D25</f>
        <v>0</v>
      </c>
      <c r="AM25" s="333">
        <f t="shared" ref="AM25" si="135">P25*$D25</f>
        <v>0</v>
      </c>
      <c r="AN25" s="333">
        <f t="shared" ref="AN25" si="136">Q25*$D25</f>
        <v>0</v>
      </c>
      <c r="AO25" s="333">
        <f t="shared" ref="AO25" si="137">R25*$D25</f>
        <v>0</v>
      </c>
      <c r="AP25" s="333">
        <f t="shared" ref="AP25" si="138">S25*$D25</f>
        <v>0</v>
      </c>
      <c r="AQ25" s="333">
        <f t="shared" ref="AQ25" si="139">T25*$D25</f>
        <v>0</v>
      </c>
      <c r="AR25" s="333">
        <f t="shared" ref="AR25" si="140">U25*$D25</f>
        <v>0</v>
      </c>
      <c r="AS25" s="333">
        <f t="shared" ref="AS25" si="141">V25*$D25</f>
        <v>25000</v>
      </c>
      <c r="AT25" s="333">
        <f t="shared" ref="AT25" si="142">W25*$D25</f>
        <v>0</v>
      </c>
      <c r="AU25" s="333">
        <f t="shared" ref="AU25" si="143">X25*$D25</f>
        <v>0</v>
      </c>
      <c r="AV25" s="415"/>
      <c r="AW25" s="346"/>
      <c r="AX25" s="346">
        <f t="shared" si="102"/>
        <v>0</v>
      </c>
      <c r="AY25" s="346">
        <f t="shared" si="102"/>
        <v>0</v>
      </c>
      <c r="AZ25" s="346">
        <f t="shared" si="102"/>
        <v>0</v>
      </c>
      <c r="BA25" s="346">
        <f t="shared" si="102"/>
        <v>0</v>
      </c>
      <c r="BB25" s="346">
        <f t="shared" si="102"/>
        <v>0</v>
      </c>
      <c r="BC25" s="346">
        <f t="shared" si="102"/>
        <v>0</v>
      </c>
      <c r="BD25" s="346">
        <f t="shared" si="102"/>
        <v>0</v>
      </c>
      <c r="BE25" s="346">
        <f t="shared" si="102"/>
        <v>0</v>
      </c>
      <c r="BF25" s="346">
        <f t="shared" si="102"/>
        <v>0</v>
      </c>
      <c r="BG25" s="346">
        <f t="shared" si="102"/>
        <v>0</v>
      </c>
      <c r="BH25" s="346">
        <f t="shared" si="102"/>
        <v>0</v>
      </c>
      <c r="BI25" s="346">
        <f t="shared" si="102"/>
        <v>0</v>
      </c>
      <c r="BJ25" s="346">
        <f t="shared" si="102"/>
        <v>0</v>
      </c>
      <c r="BK25" s="346">
        <f t="shared" si="102"/>
        <v>0</v>
      </c>
      <c r="BL25" s="346">
        <f t="shared" si="102"/>
        <v>0</v>
      </c>
      <c r="BM25" s="346">
        <f t="shared" si="102"/>
        <v>0</v>
      </c>
      <c r="BN25" s="346">
        <f t="shared" si="18"/>
        <v>25000</v>
      </c>
      <c r="BO25" s="346">
        <f t="shared" si="18"/>
        <v>0</v>
      </c>
      <c r="BP25" s="346">
        <f t="shared" si="18"/>
        <v>0</v>
      </c>
      <c r="BQ25" s="346">
        <f t="shared" si="18"/>
        <v>0</v>
      </c>
      <c r="BR25" s="370">
        <f t="shared" ref="BR25" si="144">SUM(AC25:AV25)-SUM(AX25:BQ25)</f>
        <v>0</v>
      </c>
      <c r="BS25" s="402">
        <f t="shared" si="66"/>
        <v>0</v>
      </c>
      <c r="BT25" s="402">
        <f t="shared" si="67"/>
        <v>0</v>
      </c>
    </row>
    <row r="26" spans="1:72" s="235" customFormat="1" ht="15" hidden="1" customHeight="1" x14ac:dyDescent="0.25">
      <c r="A26" s="235" t="s">
        <v>127</v>
      </c>
      <c r="B26" s="235" t="str">
        <f>VLOOKUP(A26,'DFP-Com'!$A$16:$B$50,2,1)</f>
        <v xml:space="preserve">     1.2.a  TVET</v>
      </c>
      <c r="C26" s="344" t="s">
        <v>404</v>
      </c>
      <c r="D26" s="415">
        <f>150000+150000+113000</f>
        <v>413000</v>
      </c>
      <c r="E26" s="470" t="s">
        <v>325</v>
      </c>
      <c r="F26" s="417"/>
      <c r="G26" s="417"/>
      <c r="H26" s="417"/>
      <c r="I26" s="417"/>
      <c r="J26" s="417"/>
      <c r="K26" s="345">
        <v>0</v>
      </c>
      <c r="L26" s="416">
        <v>0</v>
      </c>
      <c r="M26" s="345">
        <v>0</v>
      </c>
      <c r="N26" s="345">
        <v>0</v>
      </c>
      <c r="O26" s="345">
        <v>0</v>
      </c>
      <c r="P26" s="345">
        <v>0</v>
      </c>
      <c r="Q26" s="345">
        <v>0</v>
      </c>
      <c r="R26" s="345">
        <v>0</v>
      </c>
      <c r="S26" s="345">
        <v>0</v>
      </c>
      <c r="T26" s="345">
        <v>0</v>
      </c>
      <c r="U26" s="345">
        <v>0</v>
      </c>
      <c r="V26" s="345">
        <v>0</v>
      </c>
      <c r="W26" s="345">
        <v>1</v>
      </c>
      <c r="X26" s="345"/>
      <c r="Y26" s="345"/>
      <c r="Z26" s="416">
        <f>SUM(F26:X26)</f>
        <v>1</v>
      </c>
      <c r="AA26" s="344"/>
      <c r="AB26" s="344"/>
      <c r="AC26" s="333">
        <f t="shared" ref="AC26:AL28" si="145">F26*$D26</f>
        <v>0</v>
      </c>
      <c r="AD26" s="333">
        <f t="shared" si="145"/>
        <v>0</v>
      </c>
      <c r="AE26" s="333">
        <f t="shared" si="145"/>
        <v>0</v>
      </c>
      <c r="AF26" s="333">
        <f t="shared" si="145"/>
        <v>0</v>
      </c>
      <c r="AG26" s="333">
        <f t="shared" si="145"/>
        <v>0</v>
      </c>
      <c r="AH26" s="333">
        <f t="shared" si="145"/>
        <v>0</v>
      </c>
      <c r="AI26" s="333">
        <f t="shared" si="145"/>
        <v>0</v>
      </c>
      <c r="AJ26" s="333">
        <f t="shared" si="145"/>
        <v>0</v>
      </c>
      <c r="AK26" s="333">
        <f t="shared" si="145"/>
        <v>0</v>
      </c>
      <c r="AL26" s="333">
        <f t="shared" si="145"/>
        <v>0</v>
      </c>
      <c r="AM26" s="333">
        <f t="shared" ref="AM26:AU28" si="146">P26*$D26</f>
        <v>0</v>
      </c>
      <c r="AN26" s="333">
        <f t="shared" si="146"/>
        <v>0</v>
      </c>
      <c r="AO26" s="333">
        <f t="shared" si="146"/>
        <v>0</v>
      </c>
      <c r="AP26" s="333">
        <f t="shared" si="146"/>
        <v>0</v>
      </c>
      <c r="AQ26" s="333">
        <f t="shared" si="146"/>
        <v>0</v>
      </c>
      <c r="AR26" s="333">
        <f t="shared" si="146"/>
        <v>0</v>
      </c>
      <c r="AS26" s="333">
        <f t="shared" si="146"/>
        <v>0</v>
      </c>
      <c r="AT26" s="333">
        <f t="shared" si="146"/>
        <v>413000</v>
      </c>
      <c r="AU26" s="333">
        <f t="shared" si="146"/>
        <v>0</v>
      </c>
      <c r="AV26" s="415"/>
      <c r="AW26" s="346"/>
      <c r="AX26" s="346">
        <f t="shared" ref="AX26:BG28" si="147">IF(AX$3=$E26,$D26,0)</f>
        <v>0</v>
      </c>
      <c r="AY26" s="346">
        <f t="shared" si="147"/>
        <v>0</v>
      </c>
      <c r="AZ26" s="346">
        <f t="shared" si="147"/>
        <v>0</v>
      </c>
      <c r="BA26" s="346">
        <f t="shared" si="147"/>
        <v>0</v>
      </c>
      <c r="BB26" s="346">
        <f t="shared" si="147"/>
        <v>0</v>
      </c>
      <c r="BC26" s="346">
        <f t="shared" si="147"/>
        <v>0</v>
      </c>
      <c r="BD26" s="346">
        <f t="shared" si="147"/>
        <v>0</v>
      </c>
      <c r="BE26" s="346">
        <f t="shared" si="147"/>
        <v>0</v>
      </c>
      <c r="BF26" s="346">
        <f t="shared" si="147"/>
        <v>0</v>
      </c>
      <c r="BG26" s="346">
        <f t="shared" si="147"/>
        <v>0</v>
      </c>
      <c r="BH26" s="346">
        <f t="shared" ref="BH26:BQ28" si="148">IF(BH$3=$E26,$D26,0)</f>
        <v>0</v>
      </c>
      <c r="BI26" s="346">
        <f t="shared" si="148"/>
        <v>0</v>
      </c>
      <c r="BJ26" s="346">
        <f t="shared" si="148"/>
        <v>0</v>
      </c>
      <c r="BK26" s="346">
        <f t="shared" si="148"/>
        <v>0</v>
      </c>
      <c r="BL26" s="346">
        <f t="shared" si="148"/>
        <v>0</v>
      </c>
      <c r="BM26" s="346">
        <f t="shared" si="148"/>
        <v>0</v>
      </c>
      <c r="BN26" s="346">
        <f t="shared" si="148"/>
        <v>413000</v>
      </c>
      <c r="BO26" s="346">
        <f t="shared" si="148"/>
        <v>0</v>
      </c>
      <c r="BP26" s="346">
        <f t="shared" si="148"/>
        <v>0</v>
      </c>
      <c r="BQ26" s="346">
        <f t="shared" si="148"/>
        <v>0</v>
      </c>
      <c r="BR26" s="370">
        <f>SUM(AC26:AV26)-SUM(AX26:BQ26)</f>
        <v>0</v>
      </c>
      <c r="BS26" s="402">
        <f t="shared" si="66"/>
        <v>0</v>
      </c>
      <c r="BT26" s="402">
        <f t="shared" si="67"/>
        <v>0</v>
      </c>
    </row>
    <row r="27" spans="1:72" s="235" customFormat="1" ht="15" hidden="1" customHeight="1" x14ac:dyDescent="0.25">
      <c r="A27" s="235" t="s">
        <v>127</v>
      </c>
      <c r="B27" s="235" t="str">
        <f>VLOOKUP(A27,'DFP-Com'!$A$16:$B$50,2,1)</f>
        <v xml:space="preserve">     1.2.a  TVET</v>
      </c>
      <c r="C27" s="344" t="s">
        <v>357</v>
      </c>
      <c r="D27" s="415">
        <v>150000</v>
      </c>
      <c r="E27" s="470" t="s">
        <v>326</v>
      </c>
      <c r="F27" s="345">
        <v>0</v>
      </c>
      <c r="G27" s="345">
        <v>0</v>
      </c>
      <c r="H27" s="345">
        <v>0</v>
      </c>
      <c r="I27" s="345">
        <v>0</v>
      </c>
      <c r="J27" s="345">
        <v>0</v>
      </c>
      <c r="K27" s="345">
        <v>0</v>
      </c>
      <c r="L27" s="416">
        <v>0</v>
      </c>
      <c r="M27" s="345">
        <v>0</v>
      </c>
      <c r="N27" s="345">
        <v>0</v>
      </c>
      <c r="O27" s="345">
        <v>0</v>
      </c>
      <c r="P27" s="345">
        <v>0</v>
      </c>
      <c r="Q27" s="345">
        <v>0</v>
      </c>
      <c r="R27" s="345">
        <v>0</v>
      </c>
      <c r="S27" s="345">
        <v>0</v>
      </c>
      <c r="T27" s="345">
        <v>0</v>
      </c>
      <c r="U27" s="345">
        <v>0</v>
      </c>
      <c r="V27" s="345">
        <v>0</v>
      </c>
      <c r="W27" s="345">
        <v>1</v>
      </c>
      <c r="X27" s="345">
        <v>0</v>
      </c>
      <c r="Y27" s="345"/>
      <c r="Z27" s="416">
        <f>SUM(F27:X27)</f>
        <v>1</v>
      </c>
      <c r="AA27" s="344"/>
      <c r="AB27" s="344"/>
      <c r="AC27" s="333">
        <f t="shared" si="145"/>
        <v>0</v>
      </c>
      <c r="AD27" s="333">
        <f t="shared" si="145"/>
        <v>0</v>
      </c>
      <c r="AE27" s="333">
        <f t="shared" si="145"/>
        <v>0</v>
      </c>
      <c r="AF27" s="333">
        <f t="shared" si="145"/>
        <v>0</v>
      </c>
      <c r="AG27" s="333">
        <f t="shared" si="145"/>
        <v>0</v>
      </c>
      <c r="AH27" s="333">
        <f t="shared" si="145"/>
        <v>0</v>
      </c>
      <c r="AI27" s="333">
        <f t="shared" si="145"/>
        <v>0</v>
      </c>
      <c r="AJ27" s="333">
        <f t="shared" si="145"/>
        <v>0</v>
      </c>
      <c r="AK27" s="333">
        <f t="shared" si="145"/>
        <v>0</v>
      </c>
      <c r="AL27" s="333">
        <f t="shared" si="145"/>
        <v>0</v>
      </c>
      <c r="AM27" s="333">
        <f t="shared" si="146"/>
        <v>0</v>
      </c>
      <c r="AN27" s="333">
        <f t="shared" si="146"/>
        <v>0</v>
      </c>
      <c r="AO27" s="333">
        <f t="shared" si="146"/>
        <v>0</v>
      </c>
      <c r="AP27" s="333">
        <f t="shared" si="146"/>
        <v>0</v>
      </c>
      <c r="AQ27" s="333">
        <f t="shared" si="146"/>
        <v>0</v>
      </c>
      <c r="AR27" s="333">
        <f t="shared" si="146"/>
        <v>0</v>
      </c>
      <c r="AS27" s="333">
        <f t="shared" si="146"/>
        <v>0</v>
      </c>
      <c r="AT27" s="333">
        <f t="shared" si="146"/>
        <v>150000</v>
      </c>
      <c r="AU27" s="333">
        <f t="shared" si="146"/>
        <v>0</v>
      </c>
      <c r="AV27" s="415"/>
      <c r="AW27" s="346"/>
      <c r="AX27" s="346">
        <f t="shared" si="147"/>
        <v>0</v>
      </c>
      <c r="AY27" s="346">
        <f t="shared" si="147"/>
        <v>0</v>
      </c>
      <c r="AZ27" s="346">
        <f t="shared" si="147"/>
        <v>0</v>
      </c>
      <c r="BA27" s="346">
        <f t="shared" si="147"/>
        <v>0</v>
      </c>
      <c r="BB27" s="346">
        <f t="shared" si="147"/>
        <v>0</v>
      </c>
      <c r="BC27" s="346">
        <f t="shared" si="147"/>
        <v>0</v>
      </c>
      <c r="BD27" s="346">
        <f t="shared" si="147"/>
        <v>0</v>
      </c>
      <c r="BE27" s="346">
        <f t="shared" si="147"/>
        <v>0</v>
      </c>
      <c r="BF27" s="346">
        <f t="shared" si="147"/>
        <v>0</v>
      </c>
      <c r="BG27" s="346">
        <f t="shared" si="147"/>
        <v>0</v>
      </c>
      <c r="BH27" s="346">
        <f t="shared" si="148"/>
        <v>0</v>
      </c>
      <c r="BI27" s="346">
        <f t="shared" si="148"/>
        <v>0</v>
      </c>
      <c r="BJ27" s="346">
        <f t="shared" si="148"/>
        <v>0</v>
      </c>
      <c r="BK27" s="346">
        <f t="shared" si="148"/>
        <v>0</v>
      </c>
      <c r="BL27" s="346">
        <f t="shared" si="148"/>
        <v>0</v>
      </c>
      <c r="BM27" s="346">
        <f t="shared" si="148"/>
        <v>0</v>
      </c>
      <c r="BN27" s="346">
        <f t="shared" si="148"/>
        <v>0</v>
      </c>
      <c r="BO27" s="346">
        <f t="shared" si="148"/>
        <v>150000</v>
      </c>
      <c r="BP27" s="346">
        <f t="shared" si="148"/>
        <v>0</v>
      </c>
      <c r="BQ27" s="346">
        <f t="shared" si="148"/>
        <v>0</v>
      </c>
      <c r="BR27" s="370">
        <f>SUM(AC27:AV27)-SUM(AX27:BQ27)</f>
        <v>0</v>
      </c>
      <c r="BS27" s="402">
        <f t="shared" si="66"/>
        <v>0</v>
      </c>
      <c r="BT27" s="402">
        <f t="shared" si="67"/>
        <v>0</v>
      </c>
    </row>
    <row r="28" spans="1:72" s="235" customFormat="1" ht="29.25" hidden="1" customHeight="1" x14ac:dyDescent="0.25">
      <c r="A28" s="235" t="s">
        <v>127</v>
      </c>
      <c r="B28" s="235" t="str">
        <f>VLOOKUP(A28,'DFP-Com'!$A$16:$B$50,2,1)</f>
        <v xml:space="preserve">     1.2.a  TVET</v>
      </c>
      <c r="C28" s="472" t="s">
        <v>316</v>
      </c>
      <c r="D28" s="415">
        <v>16000</v>
      </c>
      <c r="E28" s="470" t="s">
        <v>325</v>
      </c>
      <c r="F28" s="417"/>
      <c r="G28" s="417"/>
      <c r="H28" s="417"/>
      <c r="I28" s="417"/>
      <c r="J28" s="417"/>
      <c r="K28" s="345"/>
      <c r="L28" s="345"/>
      <c r="M28" s="345"/>
      <c r="N28" s="345">
        <v>0</v>
      </c>
      <c r="O28" s="345">
        <v>0</v>
      </c>
      <c r="P28" s="345">
        <v>0</v>
      </c>
      <c r="Q28" s="345">
        <v>0</v>
      </c>
      <c r="R28" s="345">
        <v>0</v>
      </c>
      <c r="S28" s="345">
        <v>0</v>
      </c>
      <c r="T28" s="345">
        <v>0</v>
      </c>
      <c r="U28" s="345">
        <v>0</v>
      </c>
      <c r="V28" s="345">
        <v>1</v>
      </c>
      <c r="W28" s="345"/>
      <c r="X28" s="345"/>
      <c r="Y28" s="345"/>
      <c r="Z28" s="416">
        <f t="shared" ref="Z28" si="149">SUM(F28:X28)</f>
        <v>1</v>
      </c>
      <c r="AA28" s="344"/>
      <c r="AB28" s="344"/>
      <c r="AC28" s="333">
        <f t="shared" si="145"/>
        <v>0</v>
      </c>
      <c r="AD28" s="333">
        <f t="shared" si="145"/>
        <v>0</v>
      </c>
      <c r="AE28" s="333">
        <f t="shared" si="145"/>
        <v>0</v>
      </c>
      <c r="AF28" s="333">
        <f t="shared" si="145"/>
        <v>0</v>
      </c>
      <c r="AG28" s="333">
        <f t="shared" si="145"/>
        <v>0</v>
      </c>
      <c r="AH28" s="333">
        <f t="shared" si="145"/>
        <v>0</v>
      </c>
      <c r="AI28" s="333">
        <f t="shared" si="145"/>
        <v>0</v>
      </c>
      <c r="AJ28" s="333">
        <f t="shared" si="145"/>
        <v>0</v>
      </c>
      <c r="AK28" s="333">
        <f t="shared" si="145"/>
        <v>0</v>
      </c>
      <c r="AL28" s="333">
        <f t="shared" si="145"/>
        <v>0</v>
      </c>
      <c r="AM28" s="333">
        <f t="shared" si="146"/>
        <v>0</v>
      </c>
      <c r="AN28" s="333">
        <f t="shared" si="146"/>
        <v>0</v>
      </c>
      <c r="AO28" s="333">
        <f t="shared" si="146"/>
        <v>0</v>
      </c>
      <c r="AP28" s="333">
        <f t="shared" si="146"/>
        <v>0</v>
      </c>
      <c r="AQ28" s="333">
        <f t="shared" si="146"/>
        <v>0</v>
      </c>
      <c r="AR28" s="333">
        <f t="shared" si="146"/>
        <v>0</v>
      </c>
      <c r="AS28" s="333">
        <f t="shared" si="146"/>
        <v>16000</v>
      </c>
      <c r="AT28" s="333">
        <f t="shared" si="146"/>
        <v>0</v>
      </c>
      <c r="AU28" s="333">
        <f t="shared" si="146"/>
        <v>0</v>
      </c>
      <c r="AV28" s="415"/>
      <c r="AW28" s="346"/>
      <c r="AX28" s="346">
        <f t="shared" si="147"/>
        <v>0</v>
      </c>
      <c r="AY28" s="346">
        <f t="shared" si="147"/>
        <v>0</v>
      </c>
      <c r="AZ28" s="346">
        <f t="shared" si="147"/>
        <v>0</v>
      </c>
      <c r="BA28" s="346">
        <f t="shared" si="147"/>
        <v>0</v>
      </c>
      <c r="BB28" s="346">
        <f t="shared" si="147"/>
        <v>0</v>
      </c>
      <c r="BC28" s="346">
        <f t="shared" si="147"/>
        <v>0</v>
      </c>
      <c r="BD28" s="346">
        <f t="shared" si="147"/>
        <v>0</v>
      </c>
      <c r="BE28" s="346">
        <f t="shared" si="147"/>
        <v>0</v>
      </c>
      <c r="BF28" s="346">
        <f t="shared" si="147"/>
        <v>0</v>
      </c>
      <c r="BG28" s="346">
        <f t="shared" si="147"/>
        <v>0</v>
      </c>
      <c r="BH28" s="346">
        <f t="shared" si="148"/>
        <v>0</v>
      </c>
      <c r="BI28" s="346">
        <f t="shared" si="148"/>
        <v>0</v>
      </c>
      <c r="BJ28" s="333">
        <f t="shared" si="148"/>
        <v>0</v>
      </c>
      <c r="BK28" s="346">
        <f t="shared" si="148"/>
        <v>0</v>
      </c>
      <c r="BL28" s="346">
        <f t="shared" si="148"/>
        <v>0</v>
      </c>
      <c r="BM28" s="346">
        <f t="shared" si="148"/>
        <v>0</v>
      </c>
      <c r="BN28" s="346">
        <f t="shared" si="148"/>
        <v>16000</v>
      </c>
      <c r="BO28" s="346">
        <f t="shared" si="148"/>
        <v>0</v>
      </c>
      <c r="BP28" s="346">
        <f t="shared" si="148"/>
        <v>0</v>
      </c>
      <c r="BQ28" s="346">
        <f t="shared" si="148"/>
        <v>0</v>
      </c>
      <c r="BR28" s="370">
        <f>SUM(AC28:AV28)-SUM(AX28:BQ28)</f>
        <v>0</v>
      </c>
      <c r="BS28" s="402">
        <f t="shared" si="66"/>
        <v>0</v>
      </c>
      <c r="BT28" s="402">
        <f t="shared" si="67"/>
        <v>0</v>
      </c>
    </row>
    <row r="29" spans="1:72" s="235" customFormat="1" ht="15" customHeight="1" x14ac:dyDescent="0.25">
      <c r="A29" s="235" t="s">
        <v>128</v>
      </c>
      <c r="C29" s="344"/>
      <c r="D29" s="415">
        <v>2772876.18</v>
      </c>
      <c r="E29" s="344" t="s">
        <v>195</v>
      </c>
      <c r="F29" s="419"/>
      <c r="G29" s="419"/>
      <c r="H29" s="419"/>
      <c r="I29" s="419">
        <v>0</v>
      </c>
      <c r="J29" s="419"/>
      <c r="K29" s="419">
        <v>7.4766353252744222E-2</v>
      </c>
      <c r="L29" s="419">
        <v>5.6074764942302374E-2</v>
      </c>
      <c r="M29" s="419">
        <v>7.4766353250000001E-2</v>
      </c>
      <c r="N29" s="419">
        <v>3.7383176626372111E-2</v>
      </c>
      <c r="O29" s="419">
        <v>0.26168224359733216</v>
      </c>
      <c r="P29" s="419">
        <v>5.6074765913276363E-2</v>
      </c>
      <c r="Q29" s="419">
        <v>0.14953270650548844</v>
      </c>
      <c r="R29" s="419">
        <v>4.6728972000112889E-2</v>
      </c>
      <c r="S29" s="419">
        <v>0</v>
      </c>
      <c r="T29" s="419">
        <v>0.14953270650548844</v>
      </c>
      <c r="U29" s="419">
        <v>3.7383176626372111E-2</v>
      </c>
      <c r="V29" s="419">
        <f>1-(I29+J29+K29+L29+M29+N29+O29+P29+Q29+R29+S29+T29+U29)</f>
        <v>5.607478078051098E-2</v>
      </c>
      <c r="W29" s="419"/>
      <c r="X29" s="411">
        <f>1-(W29+V29+U29+T29+S29+R29+Q29+P29+O29+N29+M29+L29+K29+J29+I29)</f>
        <v>0</v>
      </c>
      <c r="Y29" s="420"/>
      <c r="Z29" s="416">
        <f t="shared" si="21"/>
        <v>1</v>
      </c>
      <c r="AA29" s="344"/>
      <c r="AB29" s="344"/>
      <c r="AC29" s="346">
        <f t="shared" si="0"/>
        <v>0</v>
      </c>
      <c r="AD29" s="415">
        <f t="shared" si="1"/>
        <v>0</v>
      </c>
      <c r="AE29" s="415">
        <f t="shared" si="2"/>
        <v>0</v>
      </c>
      <c r="AF29" s="415">
        <f t="shared" ref="AF29:AG32" si="150">I29*$D29</f>
        <v>0</v>
      </c>
      <c r="AG29" s="415">
        <f t="shared" si="150"/>
        <v>0</v>
      </c>
      <c r="AH29" s="415">
        <f t="shared" si="22"/>
        <v>207317.84</v>
      </c>
      <c r="AI29" s="415">
        <f t="shared" si="23"/>
        <v>155488.38000760935</v>
      </c>
      <c r="AJ29" s="415">
        <f t="shared" si="24"/>
        <v>207317.8399923906</v>
      </c>
      <c r="AK29" s="415">
        <f t="shared" ref="AK29:AL32" si="151">N29*$D29</f>
        <v>103658.92</v>
      </c>
      <c r="AL29" s="415">
        <f t="shared" si="151"/>
        <v>725612.46</v>
      </c>
      <c r="AM29" s="333">
        <f t="shared" si="8"/>
        <v>155488.38269999999</v>
      </c>
      <c r="AN29" s="333">
        <f t="shared" si="9"/>
        <v>414635.68</v>
      </c>
      <c r="AO29" s="333">
        <f t="shared" si="10"/>
        <v>129573.65337499999</v>
      </c>
      <c r="AP29" s="333">
        <f t="shared" si="11"/>
        <v>0</v>
      </c>
      <c r="AQ29" s="333">
        <f t="shared" si="12"/>
        <v>414635.68</v>
      </c>
      <c r="AR29" s="333">
        <f t="shared" si="13"/>
        <v>103658.92</v>
      </c>
      <c r="AS29" s="333">
        <f t="shared" si="14"/>
        <v>155488.42392500071</v>
      </c>
      <c r="AT29" s="333">
        <f t="shared" si="15"/>
        <v>0</v>
      </c>
      <c r="AU29" s="346">
        <f t="shared" si="16"/>
        <v>0</v>
      </c>
      <c r="AV29" s="346"/>
      <c r="AW29" s="346"/>
      <c r="AX29" s="346">
        <f t="shared" si="17"/>
        <v>0</v>
      </c>
      <c r="AY29" s="333">
        <f t="shared" si="17"/>
        <v>0</v>
      </c>
      <c r="AZ29" s="333">
        <f t="shared" si="17"/>
        <v>0</v>
      </c>
      <c r="BA29" s="333">
        <f t="shared" si="17"/>
        <v>2772876.18</v>
      </c>
      <c r="BB29" s="333">
        <f t="shared" si="17"/>
        <v>0</v>
      </c>
      <c r="BC29" s="333">
        <f t="shared" si="17"/>
        <v>0</v>
      </c>
      <c r="BD29" s="333">
        <f t="shared" si="17"/>
        <v>0</v>
      </c>
      <c r="BE29" s="333">
        <f t="shared" si="17"/>
        <v>0</v>
      </c>
      <c r="BF29" s="333">
        <f t="shared" si="17"/>
        <v>0</v>
      </c>
      <c r="BG29" s="333">
        <f t="shared" si="17"/>
        <v>0</v>
      </c>
      <c r="BH29" s="333">
        <f t="shared" si="17"/>
        <v>0</v>
      </c>
      <c r="BI29" s="346">
        <f t="shared" si="17"/>
        <v>0</v>
      </c>
      <c r="BJ29" s="346">
        <f t="shared" si="17"/>
        <v>0</v>
      </c>
      <c r="BK29" s="346">
        <f t="shared" si="17"/>
        <v>0</v>
      </c>
      <c r="BL29" s="346">
        <f t="shared" si="17"/>
        <v>0</v>
      </c>
      <c r="BM29" s="346">
        <f t="shared" ref="BM29:BM65" si="152">IF(BM$3=$E29,$D29,0)</f>
        <v>0</v>
      </c>
      <c r="BN29" s="346">
        <f t="shared" ref="AX29:BQ46" si="153">IF(BN$3=$E29,$D29,0)</f>
        <v>0</v>
      </c>
      <c r="BO29" s="346">
        <f t="shared" si="153"/>
        <v>0</v>
      </c>
      <c r="BP29" s="346">
        <f t="shared" si="153"/>
        <v>0</v>
      </c>
      <c r="BQ29" s="346">
        <f t="shared" si="153"/>
        <v>0</v>
      </c>
      <c r="BR29" s="370">
        <f t="shared" si="26"/>
        <v>0</v>
      </c>
      <c r="BS29" s="402">
        <f t="shared" ref="BS29:BS95" si="154">D29-SUM(AX29:BQ29)</f>
        <v>0</v>
      </c>
      <c r="BT29" s="402">
        <f t="shared" ref="BT29:BT95" si="155">+D29-SUM(AC29:AV29)</f>
        <v>0</v>
      </c>
    </row>
    <row r="30" spans="1:72" s="235" customFormat="1" ht="15" customHeight="1" x14ac:dyDescent="0.25">
      <c r="A30" s="235" t="s">
        <v>128</v>
      </c>
      <c r="C30" s="344"/>
      <c r="D30" s="415">
        <v>175000</v>
      </c>
      <c r="E30" s="344" t="s">
        <v>325</v>
      </c>
      <c r="F30" s="419"/>
      <c r="G30" s="419"/>
      <c r="H30" s="419"/>
      <c r="I30" s="419">
        <v>0</v>
      </c>
      <c r="J30" s="419">
        <v>0</v>
      </c>
      <c r="K30" s="419">
        <v>0</v>
      </c>
      <c r="L30" s="419">
        <v>0</v>
      </c>
      <c r="M30" s="419">
        <v>0</v>
      </c>
      <c r="N30" s="419">
        <v>0</v>
      </c>
      <c r="O30" s="419">
        <v>0</v>
      </c>
      <c r="P30" s="419">
        <v>0</v>
      </c>
      <c r="Q30" s="419">
        <v>0</v>
      </c>
      <c r="R30" s="419">
        <v>0</v>
      </c>
      <c r="S30" s="419">
        <v>0</v>
      </c>
      <c r="T30" s="419">
        <v>0</v>
      </c>
      <c r="U30" s="419">
        <v>0</v>
      </c>
      <c r="V30" s="419">
        <v>0</v>
      </c>
      <c r="W30" s="419">
        <v>0.7</v>
      </c>
      <c r="X30" s="411">
        <v>0.3</v>
      </c>
      <c r="Y30" s="420"/>
      <c r="Z30" s="416">
        <f t="shared" ref="Z30" si="156">SUM(F30:X30)</f>
        <v>1</v>
      </c>
      <c r="AA30" s="344"/>
      <c r="AB30" s="344"/>
      <c r="AC30" s="346">
        <f t="shared" ref="AC30" si="157">F30*$D30</f>
        <v>0</v>
      </c>
      <c r="AD30" s="415">
        <f t="shared" ref="AD30" si="158">G30*$D30</f>
        <v>0</v>
      </c>
      <c r="AE30" s="415">
        <f t="shared" ref="AE30" si="159">H30*$D30</f>
        <v>0</v>
      </c>
      <c r="AF30" s="415">
        <f t="shared" ref="AF30" si="160">I30*$D30</f>
        <v>0</v>
      </c>
      <c r="AG30" s="415">
        <f t="shared" ref="AG30" si="161">J30*$D30</f>
        <v>0</v>
      </c>
      <c r="AH30" s="415">
        <f t="shared" ref="AH30" si="162">K30*$D30</f>
        <v>0</v>
      </c>
      <c r="AI30" s="415">
        <f t="shared" ref="AI30" si="163">L30*$D30</f>
        <v>0</v>
      </c>
      <c r="AJ30" s="415">
        <f t="shared" ref="AJ30" si="164">M30*$D30</f>
        <v>0</v>
      </c>
      <c r="AK30" s="415">
        <f t="shared" ref="AK30" si="165">N30*$D30</f>
        <v>0</v>
      </c>
      <c r="AL30" s="415">
        <f t="shared" ref="AL30" si="166">O30*$D30</f>
        <v>0</v>
      </c>
      <c r="AM30" s="333">
        <f t="shared" ref="AM30" si="167">P30*$D30</f>
        <v>0</v>
      </c>
      <c r="AN30" s="333">
        <f t="shared" ref="AN30" si="168">Q30*$D30</f>
        <v>0</v>
      </c>
      <c r="AO30" s="333">
        <f t="shared" ref="AO30" si="169">R30*$D30</f>
        <v>0</v>
      </c>
      <c r="AP30" s="333">
        <f t="shared" ref="AP30" si="170">S30*$D30</f>
        <v>0</v>
      </c>
      <c r="AQ30" s="333">
        <f t="shared" ref="AQ30" si="171">T30*$D30</f>
        <v>0</v>
      </c>
      <c r="AR30" s="333">
        <f t="shared" ref="AR30" si="172">U30*$D30</f>
        <v>0</v>
      </c>
      <c r="AS30" s="333">
        <f t="shared" ref="AS30" si="173">V30*$D30</f>
        <v>0</v>
      </c>
      <c r="AT30" s="333">
        <f t="shared" ref="AT30" si="174">W30*$D30</f>
        <v>122499.99999999999</v>
      </c>
      <c r="AU30" s="346">
        <f t="shared" ref="AU30" si="175">X30*$D30</f>
        <v>52500</v>
      </c>
      <c r="AV30" s="346"/>
      <c r="AW30" s="346"/>
      <c r="AX30" s="346">
        <f t="shared" si="17"/>
        <v>0</v>
      </c>
      <c r="AY30" s="333">
        <f t="shared" si="17"/>
        <v>0</v>
      </c>
      <c r="AZ30" s="333">
        <f t="shared" si="17"/>
        <v>0</v>
      </c>
      <c r="BA30" s="333">
        <f t="shared" si="17"/>
        <v>0</v>
      </c>
      <c r="BB30" s="333">
        <f t="shared" si="17"/>
        <v>0</v>
      </c>
      <c r="BC30" s="333">
        <f t="shared" si="17"/>
        <v>0</v>
      </c>
      <c r="BD30" s="333">
        <f t="shared" si="17"/>
        <v>0</v>
      </c>
      <c r="BE30" s="333">
        <f t="shared" si="17"/>
        <v>0</v>
      </c>
      <c r="BF30" s="333">
        <f t="shared" si="17"/>
        <v>0</v>
      </c>
      <c r="BG30" s="333">
        <f t="shared" si="17"/>
        <v>0</v>
      </c>
      <c r="BH30" s="333">
        <f t="shared" si="17"/>
        <v>0</v>
      </c>
      <c r="BI30" s="346">
        <f t="shared" si="17"/>
        <v>0</v>
      </c>
      <c r="BJ30" s="346">
        <f t="shared" si="17"/>
        <v>0</v>
      </c>
      <c r="BK30" s="346">
        <f t="shared" si="17"/>
        <v>0</v>
      </c>
      <c r="BL30" s="346">
        <f t="shared" si="17"/>
        <v>0</v>
      </c>
      <c r="BM30" s="346">
        <f t="shared" si="152"/>
        <v>0</v>
      </c>
      <c r="BN30" s="346">
        <f t="shared" si="153"/>
        <v>175000</v>
      </c>
      <c r="BO30" s="346">
        <f t="shared" si="153"/>
        <v>0</v>
      </c>
      <c r="BP30" s="346">
        <f t="shared" si="153"/>
        <v>0</v>
      </c>
      <c r="BQ30" s="346">
        <f t="shared" si="153"/>
        <v>0</v>
      </c>
      <c r="BR30" s="370">
        <f t="shared" ref="BR30" si="176">SUM(AC30:AV30)-SUM(AX30:BQ30)</f>
        <v>0</v>
      </c>
      <c r="BS30" s="402">
        <f t="shared" ref="BS30" si="177">D30-SUM(AX30:BQ30)</f>
        <v>0</v>
      </c>
      <c r="BT30" s="402">
        <f t="shared" ref="BT30" si="178">+D30-SUM(AC30:AV30)</f>
        <v>0</v>
      </c>
    </row>
    <row r="31" spans="1:72" s="235" customFormat="1" ht="15" customHeight="1" x14ac:dyDescent="0.25">
      <c r="A31" s="235" t="s">
        <v>130</v>
      </c>
      <c r="C31" s="344"/>
      <c r="D31" s="415">
        <v>23.99</v>
      </c>
      <c r="E31" s="344" t="s">
        <v>177</v>
      </c>
      <c r="F31" s="419"/>
      <c r="G31" s="419"/>
      <c r="H31" s="419"/>
      <c r="I31" s="419"/>
      <c r="J31" s="419">
        <v>0</v>
      </c>
      <c r="K31" s="419">
        <v>0</v>
      </c>
      <c r="L31" s="419">
        <v>1</v>
      </c>
      <c r="M31" s="419">
        <v>0</v>
      </c>
      <c r="N31" s="419"/>
      <c r="O31" s="419"/>
      <c r="P31" s="419"/>
      <c r="Q31" s="419"/>
      <c r="R31" s="419"/>
      <c r="S31" s="419"/>
      <c r="T31" s="345"/>
      <c r="U31" s="345"/>
      <c r="V31" s="345"/>
      <c r="W31" s="345"/>
      <c r="X31" s="345"/>
      <c r="Y31" s="345"/>
      <c r="Z31" s="416">
        <f>SUM(F31:X31)</f>
        <v>1</v>
      </c>
      <c r="AA31" s="344"/>
      <c r="AB31" s="344"/>
      <c r="AC31" s="346">
        <f t="shared" ref="AC31:AE32" si="179">F31*$D31</f>
        <v>0</v>
      </c>
      <c r="AD31" s="415">
        <f t="shared" si="179"/>
        <v>0</v>
      </c>
      <c r="AE31" s="415">
        <f t="shared" si="179"/>
        <v>0</v>
      </c>
      <c r="AF31" s="415">
        <f t="shared" si="150"/>
        <v>0</v>
      </c>
      <c r="AG31" s="415">
        <f t="shared" si="150"/>
        <v>0</v>
      </c>
      <c r="AH31" s="415">
        <f t="shared" ref="AH31:AJ32" si="180">K31*$D31</f>
        <v>0</v>
      </c>
      <c r="AI31" s="415">
        <f t="shared" si="180"/>
        <v>23.99</v>
      </c>
      <c r="AJ31" s="415">
        <f t="shared" si="180"/>
        <v>0</v>
      </c>
      <c r="AK31" s="415">
        <f t="shared" si="151"/>
        <v>0</v>
      </c>
      <c r="AL31" s="346">
        <f t="shared" si="151"/>
        <v>0</v>
      </c>
      <c r="AM31" s="346">
        <f t="shared" ref="AM31:AU32" si="181">P31*$D31</f>
        <v>0</v>
      </c>
      <c r="AN31" s="346">
        <f t="shared" si="181"/>
        <v>0</v>
      </c>
      <c r="AO31" s="346">
        <f t="shared" si="181"/>
        <v>0</v>
      </c>
      <c r="AP31" s="333">
        <f t="shared" si="181"/>
        <v>0</v>
      </c>
      <c r="AQ31" s="333">
        <f t="shared" si="181"/>
        <v>0</v>
      </c>
      <c r="AR31" s="333">
        <f t="shared" si="181"/>
        <v>0</v>
      </c>
      <c r="AS31" s="333">
        <f t="shared" si="181"/>
        <v>0</v>
      </c>
      <c r="AT31" s="333">
        <f t="shared" si="181"/>
        <v>0</v>
      </c>
      <c r="AU31" s="346">
        <f t="shared" si="181"/>
        <v>0</v>
      </c>
      <c r="AV31" s="346"/>
      <c r="AW31" s="346"/>
      <c r="AX31" s="346">
        <f t="shared" ref="AX31:BA33" si="182">IF(AX$3=$E31,$D31,0)</f>
        <v>0</v>
      </c>
      <c r="AY31" s="346">
        <f t="shared" si="182"/>
        <v>0</v>
      </c>
      <c r="AZ31" s="346">
        <f t="shared" si="182"/>
        <v>0</v>
      </c>
      <c r="BA31" s="346">
        <f t="shared" si="182"/>
        <v>0</v>
      </c>
      <c r="BB31" s="346">
        <v>0</v>
      </c>
      <c r="BC31" s="346">
        <v>0</v>
      </c>
      <c r="BD31" s="415">
        <f t="shared" ref="BD31:BQ33" si="183">IF(BD$3=$E31,$D31,0)</f>
        <v>23.99</v>
      </c>
      <c r="BE31" s="346">
        <f t="shared" si="183"/>
        <v>0</v>
      </c>
      <c r="BF31" s="346">
        <f t="shared" si="183"/>
        <v>0</v>
      </c>
      <c r="BG31" s="346">
        <f t="shared" si="183"/>
        <v>0</v>
      </c>
      <c r="BH31" s="346">
        <f t="shared" si="183"/>
        <v>0</v>
      </c>
      <c r="BI31" s="346">
        <f t="shared" si="183"/>
        <v>0</v>
      </c>
      <c r="BJ31" s="346">
        <f t="shared" si="183"/>
        <v>0</v>
      </c>
      <c r="BK31" s="346">
        <f t="shared" si="183"/>
        <v>0</v>
      </c>
      <c r="BL31" s="346">
        <f t="shared" si="183"/>
        <v>0</v>
      </c>
      <c r="BM31" s="346">
        <f t="shared" si="183"/>
        <v>0</v>
      </c>
      <c r="BN31" s="346">
        <f t="shared" si="183"/>
        <v>0</v>
      </c>
      <c r="BO31" s="346">
        <f t="shared" si="183"/>
        <v>0</v>
      </c>
      <c r="BP31" s="346">
        <f t="shared" si="183"/>
        <v>0</v>
      </c>
      <c r="BQ31" s="346">
        <f t="shared" si="183"/>
        <v>0</v>
      </c>
      <c r="BR31" s="370">
        <f>SUM(AC31:AV31)-SUM(AX31:BQ31)</f>
        <v>0</v>
      </c>
      <c r="BS31" s="402">
        <f t="shared" si="154"/>
        <v>0</v>
      </c>
      <c r="BT31" s="402">
        <f t="shared" si="155"/>
        <v>0</v>
      </c>
    </row>
    <row r="32" spans="1:72" s="235" customFormat="1" ht="15" customHeight="1" x14ac:dyDescent="0.25">
      <c r="A32" s="235" t="s">
        <v>130</v>
      </c>
      <c r="C32" s="344"/>
      <c r="D32" s="415">
        <v>56.92</v>
      </c>
      <c r="E32" s="344" t="s">
        <v>177</v>
      </c>
      <c r="F32" s="419"/>
      <c r="G32" s="419"/>
      <c r="H32" s="419"/>
      <c r="I32" s="419"/>
      <c r="J32" s="419">
        <v>0</v>
      </c>
      <c r="K32" s="419">
        <v>0</v>
      </c>
      <c r="L32" s="419">
        <v>0</v>
      </c>
      <c r="M32" s="419">
        <v>1</v>
      </c>
      <c r="N32" s="419"/>
      <c r="O32" s="419"/>
      <c r="P32" s="419"/>
      <c r="Q32" s="419"/>
      <c r="R32" s="419"/>
      <c r="S32" s="419"/>
      <c r="T32" s="345"/>
      <c r="U32" s="345"/>
      <c r="V32" s="345"/>
      <c r="W32" s="345"/>
      <c r="X32" s="345"/>
      <c r="Y32" s="345"/>
      <c r="Z32" s="416">
        <f>SUM(F32:X32)</f>
        <v>1</v>
      </c>
      <c r="AA32" s="344"/>
      <c r="AB32" s="344"/>
      <c r="AC32" s="346">
        <f t="shared" si="179"/>
        <v>0</v>
      </c>
      <c r="AD32" s="415">
        <f t="shared" si="179"/>
        <v>0</v>
      </c>
      <c r="AE32" s="415">
        <f t="shared" si="179"/>
        <v>0</v>
      </c>
      <c r="AF32" s="415">
        <f t="shared" si="150"/>
        <v>0</v>
      </c>
      <c r="AG32" s="415">
        <f t="shared" si="150"/>
        <v>0</v>
      </c>
      <c r="AH32" s="415">
        <f t="shared" si="180"/>
        <v>0</v>
      </c>
      <c r="AI32" s="415">
        <f t="shared" si="180"/>
        <v>0</v>
      </c>
      <c r="AJ32" s="415">
        <f t="shared" si="180"/>
        <v>56.92</v>
      </c>
      <c r="AK32" s="415">
        <f t="shared" si="151"/>
        <v>0</v>
      </c>
      <c r="AL32" s="346">
        <f t="shared" si="151"/>
        <v>0</v>
      </c>
      <c r="AM32" s="346">
        <f t="shared" si="181"/>
        <v>0</v>
      </c>
      <c r="AN32" s="346">
        <f t="shared" si="181"/>
        <v>0</v>
      </c>
      <c r="AO32" s="346">
        <f t="shared" si="181"/>
        <v>0</v>
      </c>
      <c r="AP32" s="333">
        <f t="shared" si="181"/>
        <v>0</v>
      </c>
      <c r="AQ32" s="333">
        <f t="shared" si="181"/>
        <v>0</v>
      </c>
      <c r="AR32" s="333">
        <f t="shared" si="181"/>
        <v>0</v>
      </c>
      <c r="AS32" s="333">
        <f t="shared" si="181"/>
        <v>0</v>
      </c>
      <c r="AT32" s="333">
        <f t="shared" si="181"/>
        <v>0</v>
      </c>
      <c r="AU32" s="346">
        <f t="shared" si="181"/>
        <v>0</v>
      </c>
      <c r="AV32" s="346"/>
      <c r="AW32" s="346"/>
      <c r="AX32" s="346">
        <f t="shared" si="182"/>
        <v>0</v>
      </c>
      <c r="AY32" s="346">
        <f t="shared" si="182"/>
        <v>0</v>
      </c>
      <c r="AZ32" s="346">
        <f t="shared" si="182"/>
        <v>0</v>
      </c>
      <c r="BA32" s="346">
        <f t="shared" si="182"/>
        <v>0</v>
      </c>
      <c r="BB32" s="346">
        <v>0</v>
      </c>
      <c r="BC32" s="346">
        <v>0</v>
      </c>
      <c r="BD32" s="346">
        <f t="shared" si="183"/>
        <v>56.92</v>
      </c>
      <c r="BE32" s="415">
        <f t="shared" si="183"/>
        <v>0</v>
      </c>
      <c r="BF32" s="346">
        <f t="shared" si="183"/>
        <v>0</v>
      </c>
      <c r="BG32" s="346">
        <f t="shared" si="183"/>
        <v>0</v>
      </c>
      <c r="BH32" s="346">
        <f t="shared" si="183"/>
        <v>0</v>
      </c>
      <c r="BI32" s="346">
        <f t="shared" si="183"/>
        <v>0</v>
      </c>
      <c r="BJ32" s="346">
        <f t="shared" si="183"/>
        <v>0</v>
      </c>
      <c r="BK32" s="346">
        <f t="shared" si="183"/>
        <v>0</v>
      </c>
      <c r="BL32" s="346">
        <f t="shared" si="183"/>
        <v>0</v>
      </c>
      <c r="BM32" s="346">
        <f t="shared" si="183"/>
        <v>0</v>
      </c>
      <c r="BN32" s="346">
        <f t="shared" si="183"/>
        <v>0</v>
      </c>
      <c r="BO32" s="346">
        <f t="shared" si="183"/>
        <v>0</v>
      </c>
      <c r="BP32" s="346">
        <f t="shared" si="183"/>
        <v>0</v>
      </c>
      <c r="BQ32" s="346">
        <f t="shared" si="183"/>
        <v>0</v>
      </c>
      <c r="BR32" s="370">
        <f>SUM(AC32:AV32)-SUM(AX32:BQ32)</f>
        <v>0</v>
      </c>
      <c r="BS32" s="402">
        <f t="shared" si="154"/>
        <v>0</v>
      </c>
      <c r="BT32" s="402">
        <f t="shared" si="155"/>
        <v>0</v>
      </c>
    </row>
    <row r="33" spans="1:72" s="235" customFormat="1" ht="15" hidden="1" customHeight="1" x14ac:dyDescent="0.25">
      <c r="A33" s="235" t="s">
        <v>126</v>
      </c>
      <c r="B33" s="235" t="str">
        <f>VLOOKUP(A33,'DFP-Com'!$A$16:$B$50,2,1)</f>
        <v xml:space="preserve">     1.1.c  Other</v>
      </c>
      <c r="C33" s="344" t="s">
        <v>411</v>
      </c>
      <c r="D33" s="415">
        <v>1843</v>
      </c>
      <c r="E33" s="344" t="s">
        <v>350</v>
      </c>
      <c r="F33" s="419"/>
      <c r="G33" s="419"/>
      <c r="H33" s="419"/>
      <c r="I33" s="419"/>
      <c r="J33" s="419">
        <v>0</v>
      </c>
      <c r="K33" s="419">
        <v>0</v>
      </c>
      <c r="L33" s="419">
        <v>0</v>
      </c>
      <c r="M33" s="419">
        <v>0</v>
      </c>
      <c r="N33" s="419"/>
      <c r="O33" s="419"/>
      <c r="P33" s="419"/>
      <c r="Q33" s="419"/>
      <c r="R33" s="419"/>
      <c r="S33" s="419"/>
      <c r="T33" s="345"/>
      <c r="U33" s="345"/>
      <c r="V33" s="345"/>
      <c r="W33" s="345">
        <v>1</v>
      </c>
      <c r="X33" s="345"/>
      <c r="Y33" s="345"/>
      <c r="Z33" s="416">
        <f>SUM(F33:X33)</f>
        <v>1</v>
      </c>
      <c r="AA33" s="344"/>
      <c r="AB33" s="344"/>
      <c r="AC33" s="346">
        <f t="shared" ref="AC33" si="184">F33*$D33</f>
        <v>0</v>
      </c>
      <c r="AD33" s="415">
        <f t="shared" ref="AD33" si="185">G33*$D33</f>
        <v>0</v>
      </c>
      <c r="AE33" s="415">
        <f t="shared" ref="AE33" si="186">H33*$D33</f>
        <v>0</v>
      </c>
      <c r="AF33" s="415">
        <f t="shared" ref="AF33" si="187">I33*$D33</f>
        <v>0</v>
      </c>
      <c r="AG33" s="415">
        <f t="shared" ref="AG33" si="188">J33*$D33</f>
        <v>0</v>
      </c>
      <c r="AH33" s="415">
        <f t="shared" ref="AH33" si="189">K33*$D33</f>
        <v>0</v>
      </c>
      <c r="AI33" s="415">
        <f t="shared" ref="AI33" si="190">L33*$D33</f>
        <v>0</v>
      </c>
      <c r="AJ33" s="415">
        <f t="shared" ref="AJ33" si="191">M33*$D33</f>
        <v>0</v>
      </c>
      <c r="AK33" s="415">
        <f t="shared" ref="AK33" si="192">N33*$D33</f>
        <v>0</v>
      </c>
      <c r="AL33" s="346">
        <f t="shared" ref="AL33" si="193">O33*$D33</f>
        <v>0</v>
      </c>
      <c r="AM33" s="346">
        <f t="shared" ref="AM33" si="194">P33*$D33</f>
        <v>0</v>
      </c>
      <c r="AN33" s="346">
        <f t="shared" ref="AN33" si="195">Q33*$D33</f>
        <v>0</v>
      </c>
      <c r="AO33" s="346">
        <f t="shared" ref="AO33" si="196">R33*$D33</f>
        <v>0</v>
      </c>
      <c r="AP33" s="333">
        <f t="shared" ref="AP33" si="197">S33*$D33</f>
        <v>0</v>
      </c>
      <c r="AQ33" s="333">
        <f t="shared" ref="AQ33" si="198">T33*$D33</f>
        <v>0</v>
      </c>
      <c r="AR33" s="333">
        <f t="shared" ref="AR33" si="199">U33*$D33</f>
        <v>0</v>
      </c>
      <c r="AS33" s="333">
        <f t="shared" ref="AS33" si="200">V33*$D33</f>
        <v>0</v>
      </c>
      <c r="AT33" s="333">
        <f t="shared" ref="AT33" si="201">W33*$D33</f>
        <v>1843</v>
      </c>
      <c r="AU33" s="346">
        <f t="shared" ref="AU33" si="202">X33*$D33</f>
        <v>0</v>
      </c>
      <c r="AV33" s="346"/>
      <c r="AW33" s="346"/>
      <c r="AX33" s="346">
        <f t="shared" si="182"/>
        <v>0</v>
      </c>
      <c r="AY33" s="346">
        <f t="shared" si="182"/>
        <v>0</v>
      </c>
      <c r="AZ33" s="346">
        <f t="shared" si="182"/>
        <v>0</v>
      </c>
      <c r="BA33" s="346">
        <f t="shared" si="182"/>
        <v>0</v>
      </c>
      <c r="BB33" s="346">
        <v>0</v>
      </c>
      <c r="BC33" s="346">
        <v>0</v>
      </c>
      <c r="BD33" s="346">
        <f t="shared" si="183"/>
        <v>0</v>
      </c>
      <c r="BE33" s="415">
        <f t="shared" si="183"/>
        <v>0</v>
      </c>
      <c r="BF33" s="346">
        <f t="shared" si="183"/>
        <v>0</v>
      </c>
      <c r="BG33" s="346">
        <f t="shared" si="183"/>
        <v>0</v>
      </c>
      <c r="BH33" s="346">
        <f t="shared" si="183"/>
        <v>0</v>
      </c>
      <c r="BI33" s="346">
        <f t="shared" si="183"/>
        <v>0</v>
      </c>
      <c r="BJ33" s="346">
        <f t="shared" si="183"/>
        <v>0</v>
      </c>
      <c r="BK33" s="346">
        <f t="shared" si="183"/>
        <v>0</v>
      </c>
      <c r="BL33" s="346">
        <f t="shared" si="183"/>
        <v>0</v>
      </c>
      <c r="BM33" s="346">
        <f t="shared" si="183"/>
        <v>1843</v>
      </c>
      <c r="BN33" s="346">
        <f t="shared" si="183"/>
        <v>0</v>
      </c>
      <c r="BO33" s="346">
        <f t="shared" si="183"/>
        <v>0</v>
      </c>
      <c r="BP33" s="346">
        <f t="shared" si="183"/>
        <v>0</v>
      </c>
      <c r="BQ33" s="346">
        <f t="shared" si="183"/>
        <v>0</v>
      </c>
      <c r="BR33" s="370">
        <f>SUM(AC33:AV33)-SUM(AX33:BQ33)</f>
        <v>0</v>
      </c>
      <c r="BS33" s="402">
        <f t="shared" ref="BS33" si="203">D33-SUM(AX33:BQ33)</f>
        <v>0</v>
      </c>
      <c r="BT33" s="402">
        <f t="shared" ref="BT33" si="204">+D33-SUM(AC33:AV33)</f>
        <v>0</v>
      </c>
    </row>
    <row r="34" spans="1:72" s="235" customFormat="1" ht="15" hidden="1" customHeight="1" x14ac:dyDescent="0.25">
      <c r="A34" s="235" t="s">
        <v>131</v>
      </c>
      <c r="B34" s="308" t="str">
        <f>VLOOKUP(A34,'DFP-Com'!$A$16:$B$50,2,1)</f>
        <v xml:space="preserve">     2.1.a  Tax and Customs</v>
      </c>
      <c r="C34" s="344" t="s">
        <v>244</v>
      </c>
      <c r="D34" s="415">
        <v>36998.879999999997</v>
      </c>
      <c r="E34" s="344" t="s">
        <v>163</v>
      </c>
      <c r="F34" s="345"/>
      <c r="G34" s="345"/>
      <c r="H34" s="345"/>
      <c r="I34" s="345">
        <v>0.24325060650484556</v>
      </c>
      <c r="J34" s="345">
        <v>0.26195171313293808</v>
      </c>
      <c r="K34" s="345">
        <v>0.23700393092980113</v>
      </c>
      <c r="L34" s="345">
        <v>0.25779374943241529</v>
      </c>
      <c r="M34" s="345">
        <v>0</v>
      </c>
      <c r="N34" s="345"/>
      <c r="O34" s="345"/>
      <c r="P34" s="345"/>
      <c r="Q34" s="345"/>
      <c r="R34" s="417"/>
      <c r="S34" s="417"/>
      <c r="T34" s="417"/>
      <c r="U34" s="417"/>
      <c r="V34" s="417"/>
      <c r="W34" s="417"/>
      <c r="X34" s="417"/>
      <c r="Y34" s="417"/>
      <c r="Z34" s="416">
        <f t="shared" si="21"/>
        <v>1</v>
      </c>
      <c r="AA34" s="344"/>
      <c r="AB34" s="344"/>
      <c r="AC34" s="346">
        <f t="shared" si="0"/>
        <v>0</v>
      </c>
      <c r="AD34" s="346">
        <f t="shared" si="1"/>
        <v>0</v>
      </c>
      <c r="AE34" s="346">
        <f t="shared" si="2"/>
        <v>0</v>
      </c>
      <c r="AF34" s="346">
        <f t="shared" si="3"/>
        <v>9000</v>
      </c>
      <c r="AG34" s="415">
        <f t="shared" ref="AG34:AG37" si="205">J34*$D34</f>
        <v>9691.92</v>
      </c>
      <c r="AH34" s="415">
        <f t="shared" si="22"/>
        <v>8768.8799999999992</v>
      </c>
      <c r="AI34" s="415">
        <f t="shared" si="23"/>
        <v>9538.08</v>
      </c>
      <c r="AJ34" s="415">
        <f t="shared" si="24"/>
        <v>0</v>
      </c>
      <c r="AK34" s="415">
        <f>N34*$D34</f>
        <v>0</v>
      </c>
      <c r="AL34" s="415">
        <f t="shared" si="25"/>
        <v>0</v>
      </c>
      <c r="AM34" s="415">
        <f t="shared" si="8"/>
        <v>0</v>
      </c>
      <c r="AN34" s="415">
        <f t="shared" si="9"/>
        <v>0</v>
      </c>
      <c r="AO34" s="415">
        <f t="shared" si="10"/>
        <v>0</v>
      </c>
      <c r="AP34" s="333">
        <f t="shared" si="11"/>
        <v>0</v>
      </c>
      <c r="AQ34" s="333">
        <f t="shared" si="12"/>
        <v>0</v>
      </c>
      <c r="AR34" s="333">
        <f t="shared" si="13"/>
        <v>0</v>
      </c>
      <c r="AS34" s="333">
        <f t="shared" si="14"/>
        <v>0</v>
      </c>
      <c r="AT34" s="333">
        <f t="shared" si="15"/>
        <v>0</v>
      </c>
      <c r="AU34" s="346">
        <f t="shared" si="16"/>
        <v>0</v>
      </c>
      <c r="AV34" s="346"/>
      <c r="AW34" s="346"/>
      <c r="AX34" s="346">
        <f t="shared" si="17"/>
        <v>0</v>
      </c>
      <c r="AY34" s="346">
        <f t="shared" si="17"/>
        <v>0</v>
      </c>
      <c r="AZ34" s="415">
        <f t="shared" ref="AZ34:BA65" si="206">IF(AZ$3=$E34,$D34,0)</f>
        <v>36998.879999999997</v>
      </c>
      <c r="BA34" s="346">
        <f t="shared" si="206"/>
        <v>0</v>
      </c>
      <c r="BB34" s="346">
        <f t="shared" si="17"/>
        <v>0</v>
      </c>
      <c r="BC34" s="346">
        <f t="shared" si="17"/>
        <v>0</v>
      </c>
      <c r="BD34" s="346">
        <f t="shared" si="17"/>
        <v>0</v>
      </c>
      <c r="BE34" s="346">
        <f t="shared" si="17"/>
        <v>0</v>
      </c>
      <c r="BF34" s="346">
        <f t="shared" si="17"/>
        <v>0</v>
      </c>
      <c r="BG34" s="346">
        <f t="shared" si="17"/>
        <v>0</v>
      </c>
      <c r="BH34" s="346">
        <f t="shared" si="17"/>
        <v>0</v>
      </c>
      <c r="BI34" s="346">
        <f t="shared" si="17"/>
        <v>0</v>
      </c>
      <c r="BJ34" s="346">
        <f t="shared" si="17"/>
        <v>0</v>
      </c>
      <c r="BK34" s="346">
        <f t="shared" si="17"/>
        <v>0</v>
      </c>
      <c r="BL34" s="346">
        <f t="shared" si="17"/>
        <v>0</v>
      </c>
      <c r="BM34" s="346">
        <f t="shared" si="152"/>
        <v>0</v>
      </c>
      <c r="BN34" s="346">
        <f t="shared" si="153"/>
        <v>0</v>
      </c>
      <c r="BO34" s="346">
        <f t="shared" si="153"/>
        <v>0</v>
      </c>
      <c r="BP34" s="346">
        <f t="shared" si="153"/>
        <v>0</v>
      </c>
      <c r="BQ34" s="346">
        <f t="shared" si="153"/>
        <v>0</v>
      </c>
      <c r="BR34" s="370">
        <f t="shared" si="26"/>
        <v>0</v>
      </c>
      <c r="BS34" s="402">
        <f t="shared" si="154"/>
        <v>0</v>
      </c>
      <c r="BT34" s="402">
        <f t="shared" si="155"/>
        <v>0</v>
      </c>
    </row>
    <row r="35" spans="1:72" s="235" customFormat="1" ht="15" hidden="1" customHeight="1" x14ac:dyDescent="0.25">
      <c r="A35" s="235" t="s">
        <v>131</v>
      </c>
      <c r="B35" s="308" t="str">
        <f>VLOOKUP(A35,'DFP-Com'!$A$16:$B$50,2,1)</f>
        <v xml:space="preserve">     2.1.a  Tax and Customs</v>
      </c>
      <c r="C35" s="344" t="s">
        <v>237</v>
      </c>
      <c r="D35" s="415">
        <f>99000+851.16</f>
        <v>99851.16</v>
      </c>
      <c r="E35" s="344" t="s">
        <v>163</v>
      </c>
      <c r="F35" s="345"/>
      <c r="G35" s="345"/>
      <c r="H35" s="419">
        <v>0</v>
      </c>
      <c r="I35" s="419">
        <v>0.33049190415013707</v>
      </c>
      <c r="J35" s="419">
        <v>0.27120045475686017</v>
      </c>
      <c r="K35" s="419">
        <v>0.26270741371457274</v>
      </c>
      <c r="L35" s="345">
        <v>0.13560022737843005</v>
      </c>
      <c r="M35" s="345"/>
      <c r="N35" s="345"/>
      <c r="O35" s="417"/>
      <c r="P35" s="417"/>
      <c r="Q35" s="345"/>
      <c r="R35" s="345"/>
      <c r="S35" s="345"/>
      <c r="T35" s="345"/>
      <c r="U35" s="345"/>
      <c r="V35" s="345"/>
      <c r="W35" s="345"/>
      <c r="X35" s="345"/>
      <c r="Y35" s="345"/>
      <c r="Z35" s="416">
        <f>SUM(F35:X35)</f>
        <v>1</v>
      </c>
      <c r="AA35" s="344"/>
      <c r="AB35" s="344"/>
      <c r="AC35" s="346">
        <f t="shared" ref="AC35:AF37" si="207">F35*$D35</f>
        <v>0</v>
      </c>
      <c r="AD35" s="346">
        <f t="shared" si="207"/>
        <v>0</v>
      </c>
      <c r="AE35" s="346">
        <f t="shared" si="207"/>
        <v>0</v>
      </c>
      <c r="AF35" s="346">
        <f t="shared" si="207"/>
        <v>33000</v>
      </c>
      <c r="AG35" s="346">
        <f t="shared" si="205"/>
        <v>27079.680000000008</v>
      </c>
      <c r="AH35" s="346">
        <f t="shared" ref="AH35:AJ37" si="208">K35*$D35</f>
        <v>26231.639999999996</v>
      </c>
      <c r="AI35" s="415">
        <f t="shared" si="208"/>
        <v>13539.84</v>
      </c>
      <c r="AJ35" s="415">
        <f t="shared" si="208"/>
        <v>0</v>
      </c>
      <c r="AK35" s="415">
        <f>N35*$D35</f>
        <v>0</v>
      </c>
      <c r="AL35" s="415">
        <f t="shared" ref="AL35:AU37" si="209">O35*$D35</f>
        <v>0</v>
      </c>
      <c r="AM35" s="415">
        <f t="shared" si="209"/>
        <v>0</v>
      </c>
      <c r="AN35" s="415">
        <f t="shared" si="209"/>
        <v>0</v>
      </c>
      <c r="AO35" s="415">
        <f t="shared" si="209"/>
        <v>0</v>
      </c>
      <c r="AP35" s="333">
        <f t="shared" si="209"/>
        <v>0</v>
      </c>
      <c r="AQ35" s="333">
        <f t="shared" si="209"/>
        <v>0</v>
      </c>
      <c r="AR35" s="333">
        <f t="shared" si="209"/>
        <v>0</v>
      </c>
      <c r="AS35" s="333">
        <f t="shared" si="209"/>
        <v>0</v>
      </c>
      <c r="AT35" s="333">
        <f t="shared" si="209"/>
        <v>0</v>
      </c>
      <c r="AU35" s="346">
        <f t="shared" si="209"/>
        <v>0</v>
      </c>
      <c r="AV35" s="346"/>
      <c r="AW35" s="346"/>
      <c r="AX35" s="346">
        <f t="shared" ref="AX35:BG35" si="210">IF(AX$3=$E35,$D35,0)</f>
        <v>0</v>
      </c>
      <c r="AY35" s="346">
        <f t="shared" si="210"/>
        <v>0</v>
      </c>
      <c r="AZ35" s="415">
        <f t="shared" si="210"/>
        <v>99851.16</v>
      </c>
      <c r="BA35" s="346">
        <f t="shared" si="210"/>
        <v>0</v>
      </c>
      <c r="BB35" s="346">
        <f t="shared" si="210"/>
        <v>0</v>
      </c>
      <c r="BC35" s="346">
        <f t="shared" si="210"/>
        <v>0</v>
      </c>
      <c r="BD35" s="346">
        <f t="shared" si="210"/>
        <v>0</v>
      </c>
      <c r="BE35" s="346">
        <f t="shared" si="210"/>
        <v>0</v>
      </c>
      <c r="BF35" s="346">
        <f t="shared" si="210"/>
        <v>0</v>
      </c>
      <c r="BG35" s="346">
        <f t="shared" si="210"/>
        <v>0</v>
      </c>
      <c r="BH35" s="346">
        <f t="shared" si="17"/>
        <v>0</v>
      </c>
      <c r="BI35" s="346">
        <f t="shared" si="17"/>
        <v>0</v>
      </c>
      <c r="BJ35" s="346">
        <f t="shared" si="17"/>
        <v>0</v>
      </c>
      <c r="BK35" s="346">
        <f t="shared" si="17"/>
        <v>0</v>
      </c>
      <c r="BL35" s="346">
        <f t="shared" si="17"/>
        <v>0</v>
      </c>
      <c r="BM35" s="346">
        <f t="shared" si="17"/>
        <v>0</v>
      </c>
      <c r="BN35" s="346">
        <f t="shared" si="17"/>
        <v>0</v>
      </c>
      <c r="BO35" s="346">
        <f t="shared" si="153"/>
        <v>0</v>
      </c>
      <c r="BP35" s="346">
        <f t="shared" si="153"/>
        <v>0</v>
      </c>
      <c r="BQ35" s="346">
        <f t="shared" si="153"/>
        <v>0</v>
      </c>
      <c r="BR35" s="370">
        <f t="shared" si="26"/>
        <v>0</v>
      </c>
      <c r="BS35" s="402">
        <f t="shared" si="154"/>
        <v>0</v>
      </c>
      <c r="BT35" s="402">
        <f t="shared" si="155"/>
        <v>0</v>
      </c>
    </row>
    <row r="36" spans="1:72" s="235" customFormat="1" ht="15" hidden="1" customHeight="1" x14ac:dyDescent="0.25">
      <c r="A36" s="235" t="s">
        <v>131</v>
      </c>
      <c r="B36" s="308" t="str">
        <f>VLOOKUP(A36,'DFP-Com'!$A$16:$B$50,2,1)</f>
        <v xml:space="preserve">     2.1.a  Tax and Customs</v>
      </c>
      <c r="C36" s="344" t="s">
        <v>207</v>
      </c>
      <c r="D36" s="415">
        <v>4000</v>
      </c>
      <c r="E36" s="344" t="s">
        <v>163</v>
      </c>
      <c r="F36" s="345"/>
      <c r="G36" s="345"/>
      <c r="H36" s="345">
        <v>1</v>
      </c>
      <c r="I36" s="345"/>
      <c r="J36" s="345"/>
      <c r="K36" s="345"/>
      <c r="L36" s="345"/>
      <c r="M36" s="345"/>
      <c r="N36" s="345"/>
      <c r="O36" s="417"/>
      <c r="P36" s="417"/>
      <c r="Q36" s="345"/>
      <c r="R36" s="345"/>
      <c r="S36" s="345"/>
      <c r="T36" s="345"/>
      <c r="U36" s="345"/>
      <c r="V36" s="345"/>
      <c r="W36" s="345"/>
      <c r="X36" s="345"/>
      <c r="Y36" s="345"/>
      <c r="Z36" s="416">
        <f>SUM(F36:X36)</f>
        <v>1</v>
      </c>
      <c r="AA36" s="344"/>
      <c r="AB36" s="344"/>
      <c r="AC36" s="346">
        <f t="shared" si="207"/>
        <v>0</v>
      </c>
      <c r="AD36" s="346">
        <f t="shared" si="207"/>
        <v>0</v>
      </c>
      <c r="AE36" s="346">
        <f t="shared" si="207"/>
        <v>4000</v>
      </c>
      <c r="AF36" s="346">
        <f t="shared" si="207"/>
        <v>0</v>
      </c>
      <c r="AG36" s="346">
        <f t="shared" si="205"/>
        <v>0</v>
      </c>
      <c r="AH36" s="346">
        <f t="shared" si="208"/>
        <v>0</v>
      </c>
      <c r="AI36" s="415">
        <f t="shared" si="208"/>
        <v>0</v>
      </c>
      <c r="AJ36" s="415">
        <f t="shared" si="208"/>
        <v>0</v>
      </c>
      <c r="AK36" s="415">
        <f>N36*$D36</f>
        <v>0</v>
      </c>
      <c r="AL36" s="415">
        <f t="shared" si="209"/>
        <v>0</v>
      </c>
      <c r="AM36" s="415">
        <f t="shared" si="209"/>
        <v>0</v>
      </c>
      <c r="AN36" s="415">
        <f t="shared" si="209"/>
        <v>0</v>
      </c>
      <c r="AO36" s="415">
        <f t="shared" si="209"/>
        <v>0</v>
      </c>
      <c r="AP36" s="333">
        <f t="shared" si="209"/>
        <v>0</v>
      </c>
      <c r="AQ36" s="333">
        <f t="shared" si="209"/>
        <v>0</v>
      </c>
      <c r="AR36" s="333">
        <f t="shared" si="209"/>
        <v>0</v>
      </c>
      <c r="AS36" s="333">
        <f t="shared" si="209"/>
        <v>0</v>
      </c>
      <c r="AT36" s="333">
        <f t="shared" si="209"/>
        <v>0</v>
      </c>
      <c r="AU36" s="346">
        <f t="shared" si="209"/>
        <v>0</v>
      </c>
      <c r="AV36" s="346"/>
      <c r="AW36" s="346"/>
      <c r="AX36" s="346">
        <f t="shared" si="153"/>
        <v>0</v>
      </c>
      <c r="AY36" s="346">
        <f t="shared" si="153"/>
        <v>0</v>
      </c>
      <c r="AZ36" s="415">
        <f t="shared" si="153"/>
        <v>4000</v>
      </c>
      <c r="BA36" s="346">
        <f t="shared" si="153"/>
        <v>0</v>
      </c>
      <c r="BB36" s="346">
        <f t="shared" si="153"/>
        <v>0</v>
      </c>
      <c r="BC36" s="346">
        <f t="shared" si="153"/>
        <v>0</v>
      </c>
      <c r="BD36" s="346">
        <f t="shared" si="153"/>
        <v>0</v>
      </c>
      <c r="BE36" s="346">
        <f t="shared" si="153"/>
        <v>0</v>
      </c>
      <c r="BF36" s="346">
        <f t="shared" si="153"/>
        <v>0</v>
      </c>
      <c r="BG36" s="346">
        <f t="shared" si="153"/>
        <v>0</v>
      </c>
      <c r="BH36" s="346">
        <f t="shared" si="153"/>
        <v>0</v>
      </c>
      <c r="BI36" s="346">
        <f t="shared" si="153"/>
        <v>0</v>
      </c>
      <c r="BJ36" s="346">
        <f t="shared" si="153"/>
        <v>0</v>
      </c>
      <c r="BK36" s="346">
        <f t="shared" si="153"/>
        <v>0</v>
      </c>
      <c r="BL36" s="346">
        <f t="shared" si="153"/>
        <v>0</v>
      </c>
      <c r="BM36" s="346">
        <f t="shared" si="153"/>
        <v>0</v>
      </c>
      <c r="BN36" s="346">
        <f t="shared" si="153"/>
        <v>0</v>
      </c>
      <c r="BO36" s="346">
        <f t="shared" si="153"/>
        <v>0</v>
      </c>
      <c r="BP36" s="346">
        <f t="shared" si="153"/>
        <v>0</v>
      </c>
      <c r="BQ36" s="346">
        <f t="shared" ref="BQ36:BQ46" si="211">IF(BQ$3=$E36,$D36,0)</f>
        <v>0</v>
      </c>
      <c r="BR36" s="370">
        <f t="shared" si="26"/>
        <v>0</v>
      </c>
      <c r="BS36" s="402">
        <f t="shared" si="154"/>
        <v>0</v>
      </c>
      <c r="BT36" s="402">
        <f t="shared" si="155"/>
        <v>0</v>
      </c>
    </row>
    <row r="37" spans="1:72" s="235" customFormat="1" ht="15" hidden="1" customHeight="1" x14ac:dyDescent="0.25">
      <c r="A37" s="235" t="s">
        <v>131</v>
      </c>
      <c r="B37" s="308" t="str">
        <f>VLOOKUP(A37,'DFP-Com'!$A$16:$B$50,2,1)</f>
        <v xml:space="preserve">     2.1.a  Tax and Customs</v>
      </c>
      <c r="C37" s="344" t="s">
        <v>268</v>
      </c>
      <c r="D37" s="415">
        <v>1500</v>
      </c>
      <c r="E37" s="344" t="s">
        <v>195</v>
      </c>
      <c r="F37" s="345"/>
      <c r="G37" s="345"/>
      <c r="H37" s="345"/>
      <c r="I37" s="345">
        <v>1</v>
      </c>
      <c r="J37" s="345"/>
      <c r="K37" s="345">
        <v>0</v>
      </c>
      <c r="L37" s="345"/>
      <c r="M37" s="345"/>
      <c r="N37" s="345"/>
      <c r="O37" s="345"/>
      <c r="P37" s="345"/>
      <c r="Q37" s="345"/>
      <c r="R37" s="417"/>
      <c r="S37" s="417"/>
      <c r="T37" s="417"/>
      <c r="U37" s="417"/>
      <c r="V37" s="417"/>
      <c r="W37" s="417"/>
      <c r="X37" s="417"/>
      <c r="Y37" s="417"/>
      <c r="Z37" s="416">
        <f>SUM(F37:X37)</f>
        <v>1</v>
      </c>
      <c r="AA37" s="344"/>
      <c r="AB37" s="344"/>
      <c r="AC37" s="346">
        <f t="shared" si="207"/>
        <v>0</v>
      </c>
      <c r="AD37" s="346">
        <f t="shared" si="207"/>
        <v>0</v>
      </c>
      <c r="AE37" s="346">
        <f t="shared" si="207"/>
        <v>0</v>
      </c>
      <c r="AF37" s="346">
        <f t="shared" si="207"/>
        <v>1500</v>
      </c>
      <c r="AG37" s="346">
        <f t="shared" si="205"/>
        <v>0</v>
      </c>
      <c r="AH37" s="346">
        <f t="shared" si="208"/>
        <v>0</v>
      </c>
      <c r="AI37" s="415">
        <f t="shared" si="208"/>
        <v>0</v>
      </c>
      <c r="AJ37" s="415">
        <f t="shared" si="208"/>
        <v>0</v>
      </c>
      <c r="AK37" s="415">
        <f>N37*$D37</f>
        <v>0</v>
      </c>
      <c r="AL37" s="415">
        <f t="shared" si="209"/>
        <v>0</v>
      </c>
      <c r="AM37" s="415">
        <f t="shared" si="209"/>
        <v>0</v>
      </c>
      <c r="AN37" s="415">
        <f t="shared" si="209"/>
        <v>0</v>
      </c>
      <c r="AO37" s="415">
        <f t="shared" si="209"/>
        <v>0</v>
      </c>
      <c r="AP37" s="333">
        <f t="shared" si="209"/>
        <v>0</v>
      </c>
      <c r="AQ37" s="333">
        <f t="shared" si="209"/>
        <v>0</v>
      </c>
      <c r="AR37" s="333">
        <f t="shared" si="209"/>
        <v>0</v>
      </c>
      <c r="AS37" s="333">
        <f t="shared" si="209"/>
        <v>0</v>
      </c>
      <c r="AT37" s="333">
        <f t="shared" si="209"/>
        <v>0</v>
      </c>
      <c r="AU37" s="346">
        <f t="shared" si="209"/>
        <v>0</v>
      </c>
      <c r="AV37" s="346"/>
      <c r="AW37" s="346"/>
      <c r="AX37" s="346">
        <f t="shared" si="153"/>
        <v>0</v>
      </c>
      <c r="AY37" s="346">
        <f t="shared" si="153"/>
        <v>0</v>
      </c>
      <c r="AZ37" s="415">
        <f t="shared" si="153"/>
        <v>0</v>
      </c>
      <c r="BA37" s="415">
        <f t="shared" si="153"/>
        <v>1500</v>
      </c>
      <c r="BB37" s="346">
        <f t="shared" si="153"/>
        <v>0</v>
      </c>
      <c r="BC37" s="346">
        <f t="shared" si="153"/>
        <v>0</v>
      </c>
      <c r="BD37" s="346">
        <f t="shared" si="153"/>
        <v>0</v>
      </c>
      <c r="BE37" s="346">
        <f t="shared" si="153"/>
        <v>0</v>
      </c>
      <c r="BF37" s="346">
        <f t="shared" si="153"/>
        <v>0</v>
      </c>
      <c r="BG37" s="346">
        <f t="shared" si="153"/>
        <v>0</v>
      </c>
      <c r="BH37" s="346">
        <f t="shared" si="153"/>
        <v>0</v>
      </c>
      <c r="BI37" s="346">
        <f t="shared" si="153"/>
        <v>0</v>
      </c>
      <c r="BJ37" s="346">
        <f t="shared" si="153"/>
        <v>0</v>
      </c>
      <c r="BK37" s="346">
        <f t="shared" si="153"/>
        <v>0</v>
      </c>
      <c r="BL37" s="346">
        <f t="shared" si="153"/>
        <v>0</v>
      </c>
      <c r="BM37" s="346">
        <f t="shared" si="153"/>
        <v>0</v>
      </c>
      <c r="BN37" s="346">
        <f t="shared" si="153"/>
        <v>0</v>
      </c>
      <c r="BO37" s="346">
        <f t="shared" si="153"/>
        <v>0</v>
      </c>
      <c r="BP37" s="346">
        <f t="shared" si="153"/>
        <v>0</v>
      </c>
      <c r="BQ37" s="346">
        <f t="shared" si="211"/>
        <v>0</v>
      </c>
      <c r="BR37" s="370">
        <f t="shared" si="26"/>
        <v>0</v>
      </c>
      <c r="BS37" s="402">
        <f t="shared" si="154"/>
        <v>0</v>
      </c>
      <c r="BT37" s="402">
        <f t="shared" si="155"/>
        <v>0</v>
      </c>
    </row>
    <row r="38" spans="1:72" s="235" customFormat="1" ht="15" hidden="1" customHeight="1" x14ac:dyDescent="0.25">
      <c r="A38" s="235" t="s">
        <v>131</v>
      </c>
      <c r="B38" s="308" t="str">
        <f>VLOOKUP(A38,'DFP-Com'!$A$16:$B$50,2,1)</f>
        <v xml:space="preserve">     2.1.a  Tax and Customs</v>
      </c>
      <c r="C38" s="344" t="s">
        <v>249</v>
      </c>
      <c r="D38" s="415">
        <v>43134</v>
      </c>
      <c r="E38" s="344" t="s">
        <v>177</v>
      </c>
      <c r="F38" s="345"/>
      <c r="G38" s="345"/>
      <c r="H38" s="345"/>
      <c r="I38" s="345"/>
      <c r="J38" s="345"/>
      <c r="K38" s="345"/>
      <c r="L38" s="345">
        <v>0</v>
      </c>
      <c r="M38" s="345">
        <v>0.24615384615384611</v>
      </c>
      <c r="N38" s="345">
        <v>0.26256410256410251</v>
      </c>
      <c r="O38" s="345">
        <v>0.25435897435897437</v>
      </c>
      <c r="P38" s="345">
        <f>1-(O38+N38+M38)</f>
        <v>0.23692307692307701</v>
      </c>
      <c r="Q38" s="345"/>
      <c r="R38" s="345"/>
      <c r="S38" s="345"/>
      <c r="T38" s="345"/>
      <c r="U38" s="345"/>
      <c r="V38" s="345"/>
      <c r="W38" s="345"/>
      <c r="X38" s="345"/>
      <c r="Y38" s="345"/>
      <c r="Z38" s="416">
        <f t="shared" si="21"/>
        <v>1</v>
      </c>
      <c r="AA38" s="344"/>
      <c r="AB38" s="344"/>
      <c r="AC38" s="346">
        <f t="shared" ref="AC38" si="212">F38*$D38</f>
        <v>0</v>
      </c>
      <c r="AD38" s="346">
        <f t="shared" ref="AD38" si="213">G38*$D38</f>
        <v>0</v>
      </c>
      <c r="AE38" s="346">
        <f t="shared" ref="AE38" si="214">H38*$D38</f>
        <v>0</v>
      </c>
      <c r="AF38" s="346">
        <f t="shared" ref="AF38" si="215">I38*$D38</f>
        <v>0</v>
      </c>
      <c r="AG38" s="346">
        <f t="shared" ref="AG38" si="216">J38*$D38</f>
        <v>0</v>
      </c>
      <c r="AH38" s="346">
        <f t="shared" ref="AH38" si="217">K38*$D38</f>
        <v>0</v>
      </c>
      <c r="AI38" s="415">
        <f t="shared" ref="AI38" si="218">L38*$D38</f>
        <v>0</v>
      </c>
      <c r="AJ38" s="415">
        <f t="shared" ref="AJ38" si="219">M38*$D38</f>
        <v>10617.599999999999</v>
      </c>
      <c r="AK38" s="415">
        <f t="shared" ref="AK38" si="220">N38*$D38</f>
        <v>11325.439999999997</v>
      </c>
      <c r="AL38" s="415">
        <f t="shared" ref="AL38" si="221">O38*$D38</f>
        <v>10971.52</v>
      </c>
      <c r="AM38" s="415">
        <f t="shared" ref="AM38" si="222">P38*$D38</f>
        <v>10219.440000000004</v>
      </c>
      <c r="AN38" s="415">
        <f t="shared" ref="AN38" si="223">Q38*$D38</f>
        <v>0</v>
      </c>
      <c r="AO38" s="415">
        <f t="shared" ref="AO38" si="224">R38*$D38</f>
        <v>0</v>
      </c>
      <c r="AP38" s="333">
        <f t="shared" ref="AP38" si="225">S38*$D38</f>
        <v>0</v>
      </c>
      <c r="AQ38" s="333">
        <f t="shared" ref="AQ38" si="226">T38*$D38</f>
        <v>0</v>
      </c>
      <c r="AR38" s="333">
        <f t="shared" si="13"/>
        <v>0</v>
      </c>
      <c r="AS38" s="333">
        <f t="shared" si="14"/>
        <v>0</v>
      </c>
      <c r="AT38" s="333">
        <f t="shared" si="15"/>
        <v>0</v>
      </c>
      <c r="AU38" s="346">
        <f t="shared" si="16"/>
        <v>0</v>
      </c>
      <c r="AV38" s="346"/>
      <c r="AW38" s="346"/>
      <c r="AX38" s="346">
        <f t="shared" si="17"/>
        <v>0</v>
      </c>
      <c r="AY38" s="346">
        <f t="shared" si="17"/>
        <v>0</v>
      </c>
      <c r="AZ38" s="415">
        <f t="shared" si="17"/>
        <v>0</v>
      </c>
      <c r="BA38" s="346">
        <f t="shared" si="206"/>
        <v>0</v>
      </c>
      <c r="BB38" s="346">
        <f t="shared" si="17"/>
        <v>0</v>
      </c>
      <c r="BC38" s="346">
        <f t="shared" si="17"/>
        <v>0</v>
      </c>
      <c r="BD38" s="346">
        <f t="shared" ref="BD38:BK45" si="227">IF(BD$3=$E38,$D38,0)</f>
        <v>43134</v>
      </c>
      <c r="BE38" s="346">
        <f t="shared" si="17"/>
        <v>0</v>
      </c>
      <c r="BF38" s="346">
        <f t="shared" si="17"/>
        <v>0</v>
      </c>
      <c r="BG38" s="346">
        <f t="shared" si="17"/>
        <v>0</v>
      </c>
      <c r="BH38" s="346">
        <f t="shared" si="17"/>
        <v>0</v>
      </c>
      <c r="BI38" s="346">
        <f t="shared" si="17"/>
        <v>0</v>
      </c>
      <c r="BJ38" s="346">
        <f t="shared" si="17"/>
        <v>0</v>
      </c>
      <c r="BK38" s="346">
        <f t="shared" si="17"/>
        <v>0</v>
      </c>
      <c r="BL38" s="346">
        <f t="shared" si="17"/>
        <v>0</v>
      </c>
      <c r="BM38" s="346">
        <f t="shared" si="152"/>
        <v>0</v>
      </c>
      <c r="BN38" s="346">
        <f t="shared" si="153"/>
        <v>0</v>
      </c>
      <c r="BO38" s="346">
        <f t="shared" si="153"/>
        <v>0</v>
      </c>
      <c r="BP38" s="346">
        <f t="shared" si="153"/>
        <v>0</v>
      </c>
      <c r="BQ38" s="346">
        <f t="shared" si="211"/>
        <v>0</v>
      </c>
      <c r="BR38" s="370">
        <f t="shared" si="26"/>
        <v>0</v>
      </c>
      <c r="BS38" s="402">
        <f t="shared" si="154"/>
        <v>0</v>
      </c>
      <c r="BT38" s="402">
        <f t="shared" si="155"/>
        <v>0</v>
      </c>
    </row>
    <row r="39" spans="1:72" s="235" customFormat="1" ht="15" hidden="1" customHeight="1" x14ac:dyDescent="0.25">
      <c r="A39" s="235" t="s">
        <v>131</v>
      </c>
      <c r="B39" s="308" t="str">
        <f>VLOOKUP(A39,'DFP-Com'!$A$16:$B$50,2,1)</f>
        <v xml:space="preserve">     2.1.a  Tax and Customs</v>
      </c>
      <c r="C39" s="344" t="s">
        <v>298</v>
      </c>
      <c r="D39" s="415">
        <v>18489.64</v>
      </c>
      <c r="E39" s="344" t="s">
        <v>177</v>
      </c>
      <c r="F39" s="345"/>
      <c r="G39" s="345"/>
      <c r="H39" s="345"/>
      <c r="I39" s="345"/>
      <c r="J39" s="345"/>
      <c r="K39" s="345"/>
      <c r="L39" s="345">
        <v>0.17481789802289285</v>
      </c>
      <c r="M39" s="345">
        <v>0.2434963579604579</v>
      </c>
      <c r="N39" s="345">
        <v>0.27055150884495321</v>
      </c>
      <c r="O39" s="345">
        <v>0.25702393340270557</v>
      </c>
      <c r="P39" s="345">
        <v>5.4110301768990648E-2</v>
      </c>
      <c r="Q39" s="345"/>
      <c r="R39" s="345"/>
      <c r="S39" s="345"/>
      <c r="T39" s="345"/>
      <c r="U39" s="345"/>
      <c r="V39" s="345"/>
      <c r="W39" s="345"/>
      <c r="X39" s="345"/>
      <c r="Y39" s="345"/>
      <c r="Z39" s="416">
        <f t="shared" ref="Z39:Z44" si="228">SUM(F39:X39)</f>
        <v>1.0000000000000002</v>
      </c>
      <c r="AA39" s="344"/>
      <c r="AB39" s="344"/>
      <c r="AC39" s="346">
        <f t="shared" ref="AC39:AL44" si="229">F39*$D39</f>
        <v>0</v>
      </c>
      <c r="AD39" s="346">
        <f t="shared" si="229"/>
        <v>0</v>
      </c>
      <c r="AE39" s="346">
        <f t="shared" si="229"/>
        <v>0</v>
      </c>
      <c r="AF39" s="346">
        <f t="shared" si="229"/>
        <v>0</v>
      </c>
      <c r="AG39" s="346">
        <f t="shared" si="229"/>
        <v>0</v>
      </c>
      <c r="AH39" s="346">
        <f t="shared" si="229"/>
        <v>0</v>
      </c>
      <c r="AI39" s="415">
        <f t="shared" si="229"/>
        <v>3232.3200000000006</v>
      </c>
      <c r="AJ39" s="415">
        <f t="shared" si="229"/>
        <v>4502.1600000000008</v>
      </c>
      <c r="AK39" s="415">
        <f t="shared" si="229"/>
        <v>5002.4000000000005</v>
      </c>
      <c r="AL39" s="415">
        <f t="shared" si="229"/>
        <v>4752.2800000000007</v>
      </c>
      <c r="AM39" s="415">
        <f t="shared" ref="AM39:AU44" si="230">P39*$D39</f>
        <v>1000.4800000000002</v>
      </c>
      <c r="AN39" s="415">
        <f t="shared" si="230"/>
        <v>0</v>
      </c>
      <c r="AO39" s="415">
        <f t="shared" si="230"/>
        <v>0</v>
      </c>
      <c r="AP39" s="333">
        <f t="shared" si="230"/>
        <v>0</v>
      </c>
      <c r="AQ39" s="333">
        <f t="shared" si="230"/>
        <v>0</v>
      </c>
      <c r="AR39" s="333">
        <f t="shared" si="230"/>
        <v>0</v>
      </c>
      <c r="AS39" s="333">
        <f t="shared" si="230"/>
        <v>0</v>
      </c>
      <c r="AT39" s="333">
        <f t="shared" si="230"/>
        <v>0</v>
      </c>
      <c r="AU39" s="346">
        <f t="shared" si="230"/>
        <v>0</v>
      </c>
      <c r="AV39" s="346"/>
      <c r="AW39" s="346"/>
      <c r="AX39" s="346">
        <f t="shared" ref="AX39:BG39" si="231">IF(AX$3=$E39,$D39,0)</f>
        <v>0</v>
      </c>
      <c r="AY39" s="346">
        <f t="shared" si="231"/>
        <v>0</v>
      </c>
      <c r="AZ39" s="415">
        <f t="shared" si="231"/>
        <v>0</v>
      </c>
      <c r="BA39" s="346">
        <f t="shared" si="231"/>
        <v>0</v>
      </c>
      <c r="BB39" s="346">
        <f t="shared" si="231"/>
        <v>0</v>
      </c>
      <c r="BC39" s="346">
        <f t="shared" si="231"/>
        <v>0</v>
      </c>
      <c r="BD39" s="346">
        <f t="shared" si="231"/>
        <v>18489.64</v>
      </c>
      <c r="BE39" s="346">
        <f t="shared" si="231"/>
        <v>0</v>
      </c>
      <c r="BF39" s="346">
        <f t="shared" si="231"/>
        <v>0</v>
      </c>
      <c r="BG39" s="346">
        <f t="shared" si="231"/>
        <v>0</v>
      </c>
      <c r="BH39" s="346">
        <f t="shared" si="17"/>
        <v>0</v>
      </c>
      <c r="BI39" s="346">
        <f t="shared" si="17"/>
        <v>0</v>
      </c>
      <c r="BJ39" s="346">
        <f t="shared" si="17"/>
        <v>0</v>
      </c>
      <c r="BK39" s="346">
        <f t="shared" si="17"/>
        <v>0</v>
      </c>
      <c r="BL39" s="346">
        <f t="shared" si="17"/>
        <v>0</v>
      </c>
      <c r="BM39" s="346">
        <f t="shared" si="17"/>
        <v>0</v>
      </c>
      <c r="BN39" s="346">
        <f t="shared" si="17"/>
        <v>0</v>
      </c>
      <c r="BO39" s="346">
        <f t="shared" si="153"/>
        <v>0</v>
      </c>
      <c r="BP39" s="346">
        <f t="shared" si="153"/>
        <v>0</v>
      </c>
      <c r="BQ39" s="346">
        <f t="shared" si="211"/>
        <v>0</v>
      </c>
      <c r="BR39" s="370">
        <f t="shared" si="26"/>
        <v>0</v>
      </c>
      <c r="BS39" s="402">
        <f t="shared" si="154"/>
        <v>0</v>
      </c>
      <c r="BT39" s="402">
        <f t="shared" si="155"/>
        <v>0</v>
      </c>
    </row>
    <row r="40" spans="1:72" s="235" customFormat="1" ht="15" hidden="1" customHeight="1" x14ac:dyDescent="0.25">
      <c r="A40" s="235" t="s">
        <v>131</v>
      </c>
      <c r="B40" s="308" t="str">
        <f>VLOOKUP(A40,'DFP-Com'!$A$16:$B$50,2,1)</f>
        <v xml:space="preserve">     2.1.a  Tax and Customs</v>
      </c>
      <c r="C40" s="344" t="s">
        <v>207</v>
      </c>
      <c r="D40" s="415">
        <v>1800</v>
      </c>
      <c r="E40" s="344" t="s">
        <v>177</v>
      </c>
      <c r="F40" s="345"/>
      <c r="G40" s="345"/>
      <c r="H40" s="345">
        <v>0</v>
      </c>
      <c r="I40" s="345"/>
      <c r="J40" s="345"/>
      <c r="K40" s="345"/>
      <c r="L40" s="345">
        <v>1</v>
      </c>
      <c r="M40" s="345">
        <v>0</v>
      </c>
      <c r="N40" s="345"/>
      <c r="O40" s="417"/>
      <c r="P40" s="417"/>
      <c r="Q40" s="345"/>
      <c r="R40" s="345"/>
      <c r="S40" s="345"/>
      <c r="T40" s="345"/>
      <c r="U40" s="345"/>
      <c r="V40" s="345"/>
      <c r="W40" s="345"/>
      <c r="X40" s="345"/>
      <c r="Y40" s="345"/>
      <c r="Z40" s="416">
        <f t="shared" si="228"/>
        <v>1</v>
      </c>
      <c r="AA40" s="344"/>
      <c r="AB40" s="344"/>
      <c r="AC40" s="346">
        <f t="shared" si="229"/>
        <v>0</v>
      </c>
      <c r="AD40" s="346">
        <f t="shared" si="229"/>
        <v>0</v>
      </c>
      <c r="AE40" s="346">
        <f t="shared" si="229"/>
        <v>0</v>
      </c>
      <c r="AF40" s="346">
        <f t="shared" si="229"/>
        <v>0</v>
      </c>
      <c r="AG40" s="346">
        <f t="shared" si="229"/>
        <v>0</v>
      </c>
      <c r="AH40" s="346">
        <f t="shared" si="229"/>
        <v>0</v>
      </c>
      <c r="AI40" s="415">
        <f t="shared" si="229"/>
        <v>1800</v>
      </c>
      <c r="AJ40" s="415">
        <f t="shared" si="229"/>
        <v>0</v>
      </c>
      <c r="AK40" s="415">
        <f t="shared" si="229"/>
        <v>0</v>
      </c>
      <c r="AL40" s="415">
        <f t="shared" si="229"/>
        <v>0</v>
      </c>
      <c r="AM40" s="415">
        <f t="shared" si="230"/>
        <v>0</v>
      </c>
      <c r="AN40" s="415">
        <f t="shared" si="230"/>
        <v>0</v>
      </c>
      <c r="AO40" s="415">
        <f t="shared" si="230"/>
        <v>0</v>
      </c>
      <c r="AP40" s="333">
        <f t="shared" si="230"/>
        <v>0</v>
      </c>
      <c r="AQ40" s="333">
        <f t="shared" si="230"/>
        <v>0</v>
      </c>
      <c r="AR40" s="333">
        <f t="shared" si="230"/>
        <v>0</v>
      </c>
      <c r="AS40" s="333">
        <f t="shared" si="230"/>
        <v>0</v>
      </c>
      <c r="AT40" s="333">
        <f t="shared" si="230"/>
        <v>0</v>
      </c>
      <c r="AU40" s="346">
        <f t="shared" si="230"/>
        <v>0</v>
      </c>
      <c r="AV40" s="346"/>
      <c r="AW40" s="346"/>
      <c r="AX40" s="346">
        <f t="shared" si="153"/>
        <v>0</v>
      </c>
      <c r="AY40" s="346">
        <f t="shared" si="153"/>
        <v>0</v>
      </c>
      <c r="AZ40" s="415">
        <f t="shared" si="153"/>
        <v>0</v>
      </c>
      <c r="BA40" s="346">
        <f t="shared" si="153"/>
        <v>0</v>
      </c>
      <c r="BB40" s="346">
        <f t="shared" si="153"/>
        <v>0</v>
      </c>
      <c r="BC40" s="346">
        <f t="shared" si="153"/>
        <v>0</v>
      </c>
      <c r="BD40" s="346">
        <f t="shared" si="153"/>
        <v>1800</v>
      </c>
      <c r="BE40" s="346">
        <f t="shared" si="153"/>
        <v>0</v>
      </c>
      <c r="BF40" s="346">
        <f t="shared" si="153"/>
        <v>0</v>
      </c>
      <c r="BG40" s="346">
        <f t="shared" si="153"/>
        <v>0</v>
      </c>
      <c r="BH40" s="346">
        <f t="shared" si="153"/>
        <v>0</v>
      </c>
      <c r="BI40" s="346">
        <f t="shared" si="153"/>
        <v>0</v>
      </c>
      <c r="BJ40" s="346">
        <f t="shared" si="153"/>
        <v>0</v>
      </c>
      <c r="BK40" s="346">
        <f t="shared" si="153"/>
        <v>0</v>
      </c>
      <c r="BL40" s="346">
        <f t="shared" si="153"/>
        <v>0</v>
      </c>
      <c r="BM40" s="346">
        <f t="shared" si="153"/>
        <v>0</v>
      </c>
      <c r="BN40" s="346">
        <f t="shared" si="153"/>
        <v>0</v>
      </c>
      <c r="BO40" s="346">
        <f t="shared" si="153"/>
        <v>0</v>
      </c>
      <c r="BP40" s="346">
        <f t="shared" si="153"/>
        <v>0</v>
      </c>
      <c r="BQ40" s="346">
        <f t="shared" si="211"/>
        <v>0</v>
      </c>
      <c r="BR40" s="370">
        <f t="shared" si="26"/>
        <v>0</v>
      </c>
      <c r="BS40" s="402">
        <f t="shared" si="154"/>
        <v>0</v>
      </c>
      <c r="BT40" s="402">
        <f t="shared" si="155"/>
        <v>0</v>
      </c>
    </row>
    <row r="41" spans="1:72" s="235" customFormat="1" ht="15" hidden="1" customHeight="1" x14ac:dyDescent="0.25">
      <c r="A41" s="235" t="s">
        <v>131</v>
      </c>
      <c r="B41" s="308" t="str">
        <f>VLOOKUP(A41,'DFP-Com'!$A$16:$B$50,2,1)</f>
        <v xml:space="preserve">     2.1.a  Tax and Customs</v>
      </c>
      <c r="C41" s="344" t="s">
        <v>301</v>
      </c>
      <c r="D41" s="415">
        <v>111566.08</v>
      </c>
      <c r="E41" s="344" t="s">
        <v>177</v>
      </c>
      <c r="F41" s="345"/>
      <c r="G41" s="345"/>
      <c r="H41" s="419"/>
      <c r="I41" s="419"/>
      <c r="J41" s="419"/>
      <c r="K41" s="419"/>
      <c r="L41" s="345">
        <v>8.430232558139536E-2</v>
      </c>
      <c r="M41" s="421">
        <v>0.26744186046511637</v>
      </c>
      <c r="N41" s="345">
        <v>0.27616279069767452</v>
      </c>
      <c r="O41" s="345">
        <v>0.27034883720930242</v>
      </c>
      <c r="P41" s="345">
        <v>0.10174418604651164</v>
      </c>
      <c r="Q41" s="345"/>
      <c r="R41" s="345"/>
      <c r="S41" s="345"/>
      <c r="T41" s="345"/>
      <c r="U41" s="345"/>
      <c r="V41" s="345"/>
      <c r="W41" s="345"/>
      <c r="X41" s="345"/>
      <c r="Y41" s="345"/>
      <c r="Z41" s="416">
        <f t="shared" si="228"/>
        <v>1.0000000000000002</v>
      </c>
      <c r="AA41" s="344"/>
      <c r="AB41" s="344"/>
      <c r="AC41" s="346">
        <f t="shared" si="229"/>
        <v>0</v>
      </c>
      <c r="AD41" s="346">
        <f t="shared" si="229"/>
        <v>0</v>
      </c>
      <c r="AE41" s="346">
        <f t="shared" si="229"/>
        <v>0</v>
      </c>
      <c r="AF41" s="346">
        <f t="shared" si="229"/>
        <v>0</v>
      </c>
      <c r="AG41" s="346">
        <f t="shared" si="229"/>
        <v>0</v>
      </c>
      <c r="AH41" s="346">
        <f t="shared" si="229"/>
        <v>0</v>
      </c>
      <c r="AI41" s="415">
        <f t="shared" si="229"/>
        <v>9405.2800000000007</v>
      </c>
      <c r="AJ41" s="415">
        <f t="shared" si="229"/>
        <v>29837.44000000001</v>
      </c>
      <c r="AK41" s="415">
        <f t="shared" si="229"/>
        <v>30810.400000000012</v>
      </c>
      <c r="AL41" s="415">
        <f t="shared" si="229"/>
        <v>30161.760000000009</v>
      </c>
      <c r="AM41" s="415">
        <f t="shared" si="230"/>
        <v>11351.200000000003</v>
      </c>
      <c r="AN41" s="415">
        <f t="shared" si="230"/>
        <v>0</v>
      </c>
      <c r="AO41" s="415">
        <f t="shared" si="230"/>
        <v>0</v>
      </c>
      <c r="AP41" s="333">
        <f t="shared" si="230"/>
        <v>0</v>
      </c>
      <c r="AQ41" s="333">
        <f t="shared" si="230"/>
        <v>0</v>
      </c>
      <c r="AR41" s="333">
        <f t="shared" si="230"/>
        <v>0</v>
      </c>
      <c r="AS41" s="333">
        <f t="shared" si="230"/>
        <v>0</v>
      </c>
      <c r="AT41" s="333">
        <f t="shared" si="230"/>
        <v>0</v>
      </c>
      <c r="AU41" s="346">
        <f t="shared" si="230"/>
        <v>0</v>
      </c>
      <c r="AV41" s="346"/>
      <c r="AW41" s="346"/>
      <c r="AX41" s="346">
        <f t="shared" si="153"/>
        <v>0</v>
      </c>
      <c r="AY41" s="346">
        <f t="shared" si="153"/>
        <v>0</v>
      </c>
      <c r="AZ41" s="415">
        <f t="shared" si="153"/>
        <v>0</v>
      </c>
      <c r="BA41" s="346">
        <f t="shared" si="153"/>
        <v>0</v>
      </c>
      <c r="BB41" s="346">
        <f t="shared" si="153"/>
        <v>0</v>
      </c>
      <c r="BC41" s="346">
        <f t="shared" si="153"/>
        <v>0</v>
      </c>
      <c r="BD41" s="346">
        <f t="shared" si="153"/>
        <v>111566.08</v>
      </c>
      <c r="BE41" s="346">
        <f t="shared" si="153"/>
        <v>0</v>
      </c>
      <c r="BF41" s="346">
        <f t="shared" si="153"/>
        <v>0</v>
      </c>
      <c r="BG41" s="346">
        <f t="shared" si="153"/>
        <v>0</v>
      </c>
      <c r="BH41" s="346">
        <f t="shared" si="153"/>
        <v>0</v>
      </c>
      <c r="BI41" s="346">
        <f t="shared" si="153"/>
        <v>0</v>
      </c>
      <c r="BJ41" s="346">
        <f t="shared" si="153"/>
        <v>0</v>
      </c>
      <c r="BK41" s="346">
        <f t="shared" si="153"/>
        <v>0</v>
      </c>
      <c r="BL41" s="346">
        <f t="shared" si="153"/>
        <v>0</v>
      </c>
      <c r="BM41" s="346">
        <f t="shared" si="153"/>
        <v>0</v>
      </c>
      <c r="BN41" s="346">
        <f t="shared" si="153"/>
        <v>0</v>
      </c>
      <c r="BO41" s="346">
        <f t="shared" si="153"/>
        <v>0</v>
      </c>
      <c r="BP41" s="346">
        <f t="shared" si="153"/>
        <v>0</v>
      </c>
      <c r="BQ41" s="346">
        <f t="shared" si="211"/>
        <v>0</v>
      </c>
      <c r="BR41" s="370">
        <f t="shared" si="26"/>
        <v>0</v>
      </c>
      <c r="BS41" s="402">
        <f t="shared" si="154"/>
        <v>0</v>
      </c>
      <c r="BT41" s="402">
        <f t="shared" si="155"/>
        <v>0</v>
      </c>
    </row>
    <row r="42" spans="1:72" s="235" customFormat="1" ht="15" hidden="1" customHeight="1" x14ac:dyDescent="0.25">
      <c r="A42" s="235" t="s">
        <v>131</v>
      </c>
      <c r="B42" s="308" t="str">
        <f>VLOOKUP(A42,'DFP-Com'!$A$16:$B$50,2,1)</f>
        <v xml:space="preserve">     2.1.a  Tax and Customs</v>
      </c>
      <c r="C42" s="344" t="s">
        <v>261</v>
      </c>
      <c r="D42" s="415">
        <v>7725.48</v>
      </c>
      <c r="E42" s="344" t="s">
        <v>177</v>
      </c>
      <c r="F42" s="345"/>
      <c r="G42" s="345"/>
      <c r="H42" s="345"/>
      <c r="I42" s="345"/>
      <c r="J42" s="345"/>
      <c r="K42" s="345">
        <v>0</v>
      </c>
      <c r="L42" s="345">
        <v>1</v>
      </c>
      <c r="M42" s="345">
        <v>0</v>
      </c>
      <c r="N42" s="345">
        <v>0</v>
      </c>
      <c r="O42" s="345">
        <v>0</v>
      </c>
      <c r="P42" s="345">
        <v>0</v>
      </c>
      <c r="Q42" s="345">
        <v>0</v>
      </c>
      <c r="R42" s="345">
        <v>0</v>
      </c>
      <c r="S42" s="345"/>
      <c r="T42" s="345"/>
      <c r="U42" s="345"/>
      <c r="V42" s="345"/>
      <c r="W42" s="345"/>
      <c r="X42" s="345"/>
      <c r="Y42" s="345"/>
      <c r="Z42" s="416">
        <f t="shared" si="228"/>
        <v>1</v>
      </c>
      <c r="AA42" s="344"/>
      <c r="AB42" s="344"/>
      <c r="AC42" s="346">
        <f t="shared" si="229"/>
        <v>0</v>
      </c>
      <c r="AD42" s="346">
        <f t="shared" si="229"/>
        <v>0</v>
      </c>
      <c r="AE42" s="346">
        <f t="shared" si="229"/>
        <v>0</v>
      </c>
      <c r="AF42" s="346">
        <f t="shared" si="229"/>
        <v>0</v>
      </c>
      <c r="AG42" s="346">
        <f t="shared" si="229"/>
        <v>0</v>
      </c>
      <c r="AH42" s="346">
        <f t="shared" si="229"/>
        <v>0</v>
      </c>
      <c r="AI42" s="415">
        <f t="shared" si="229"/>
        <v>7725.48</v>
      </c>
      <c r="AJ42" s="415">
        <f t="shared" si="229"/>
        <v>0</v>
      </c>
      <c r="AK42" s="415">
        <f t="shared" si="229"/>
        <v>0</v>
      </c>
      <c r="AL42" s="415">
        <f t="shared" si="229"/>
        <v>0</v>
      </c>
      <c r="AM42" s="415">
        <f t="shared" si="230"/>
        <v>0</v>
      </c>
      <c r="AN42" s="415">
        <f t="shared" si="230"/>
        <v>0</v>
      </c>
      <c r="AO42" s="415">
        <f t="shared" si="230"/>
        <v>0</v>
      </c>
      <c r="AP42" s="333">
        <f t="shared" si="230"/>
        <v>0</v>
      </c>
      <c r="AQ42" s="333">
        <f t="shared" si="230"/>
        <v>0</v>
      </c>
      <c r="AR42" s="333">
        <f t="shared" si="230"/>
        <v>0</v>
      </c>
      <c r="AS42" s="333">
        <f t="shared" si="230"/>
        <v>0</v>
      </c>
      <c r="AT42" s="333">
        <f t="shared" si="230"/>
        <v>0</v>
      </c>
      <c r="AU42" s="346">
        <f t="shared" si="230"/>
        <v>0</v>
      </c>
      <c r="AV42" s="346"/>
      <c r="AW42" s="346"/>
      <c r="AX42" s="346">
        <f t="shared" si="153"/>
        <v>0</v>
      </c>
      <c r="AY42" s="346">
        <f t="shared" si="153"/>
        <v>0</v>
      </c>
      <c r="AZ42" s="415">
        <f t="shared" si="153"/>
        <v>0</v>
      </c>
      <c r="BA42" s="346">
        <f t="shared" si="153"/>
        <v>0</v>
      </c>
      <c r="BB42" s="346">
        <f t="shared" si="153"/>
        <v>0</v>
      </c>
      <c r="BC42" s="346">
        <f t="shared" si="153"/>
        <v>0</v>
      </c>
      <c r="BD42" s="346">
        <f t="shared" si="153"/>
        <v>7725.48</v>
      </c>
      <c r="BE42" s="346">
        <f t="shared" si="153"/>
        <v>0</v>
      </c>
      <c r="BF42" s="346">
        <f t="shared" si="153"/>
        <v>0</v>
      </c>
      <c r="BG42" s="346">
        <f t="shared" si="153"/>
        <v>0</v>
      </c>
      <c r="BH42" s="346">
        <f t="shared" si="153"/>
        <v>0</v>
      </c>
      <c r="BI42" s="346">
        <f t="shared" si="153"/>
        <v>0</v>
      </c>
      <c r="BJ42" s="346">
        <f t="shared" si="153"/>
        <v>0</v>
      </c>
      <c r="BK42" s="346">
        <f t="shared" si="153"/>
        <v>0</v>
      </c>
      <c r="BL42" s="346">
        <f t="shared" si="153"/>
        <v>0</v>
      </c>
      <c r="BM42" s="346">
        <f t="shared" si="153"/>
        <v>0</v>
      </c>
      <c r="BN42" s="346">
        <f t="shared" si="153"/>
        <v>0</v>
      </c>
      <c r="BO42" s="346">
        <f t="shared" si="153"/>
        <v>0</v>
      </c>
      <c r="BP42" s="346">
        <f t="shared" si="153"/>
        <v>0</v>
      </c>
      <c r="BQ42" s="346">
        <f t="shared" si="211"/>
        <v>0</v>
      </c>
      <c r="BR42" s="370">
        <f t="shared" si="26"/>
        <v>0</v>
      </c>
      <c r="BS42" s="402">
        <f t="shared" si="154"/>
        <v>0</v>
      </c>
      <c r="BT42" s="402">
        <f t="shared" si="155"/>
        <v>0</v>
      </c>
    </row>
    <row r="43" spans="1:72" s="235" customFormat="1" ht="15" hidden="1" customHeight="1" x14ac:dyDescent="0.25">
      <c r="A43" s="235" t="s">
        <v>131</v>
      </c>
      <c r="B43" s="308" t="str">
        <f>VLOOKUP(A43,'DFP-Com'!$A$16:$B$50,2,1)</f>
        <v xml:space="preserve">     2.1.a  Tax and Customs</v>
      </c>
      <c r="C43" s="344" t="s">
        <v>267</v>
      </c>
      <c r="D43" s="415">
        <v>1241.07</v>
      </c>
      <c r="E43" s="344" t="s">
        <v>212</v>
      </c>
      <c r="F43" s="345"/>
      <c r="G43" s="345"/>
      <c r="H43" s="345"/>
      <c r="I43" s="345"/>
      <c r="J43" s="345"/>
      <c r="K43" s="345">
        <v>0</v>
      </c>
      <c r="L43" s="345">
        <v>0</v>
      </c>
      <c r="M43" s="345">
        <v>1</v>
      </c>
      <c r="N43" s="345">
        <v>0</v>
      </c>
      <c r="O43" s="345">
        <v>0</v>
      </c>
      <c r="P43" s="345">
        <v>0</v>
      </c>
      <c r="Q43" s="345">
        <v>0</v>
      </c>
      <c r="R43" s="345">
        <v>0</v>
      </c>
      <c r="S43" s="345"/>
      <c r="T43" s="345"/>
      <c r="U43" s="345"/>
      <c r="V43" s="345"/>
      <c r="W43" s="345"/>
      <c r="X43" s="345"/>
      <c r="Y43" s="345"/>
      <c r="Z43" s="416">
        <f t="shared" si="228"/>
        <v>1</v>
      </c>
      <c r="AA43" s="344"/>
      <c r="AB43" s="344"/>
      <c r="AC43" s="346">
        <f t="shared" si="229"/>
        <v>0</v>
      </c>
      <c r="AD43" s="346">
        <f t="shared" si="229"/>
        <v>0</v>
      </c>
      <c r="AE43" s="346">
        <f t="shared" si="229"/>
        <v>0</v>
      </c>
      <c r="AF43" s="346">
        <f t="shared" si="229"/>
        <v>0</v>
      </c>
      <c r="AG43" s="346">
        <f t="shared" si="229"/>
        <v>0</v>
      </c>
      <c r="AH43" s="346">
        <f t="shared" si="229"/>
        <v>0</v>
      </c>
      <c r="AI43" s="415">
        <f t="shared" si="229"/>
        <v>0</v>
      </c>
      <c r="AJ43" s="415">
        <f t="shared" si="229"/>
        <v>1241.07</v>
      </c>
      <c r="AK43" s="415">
        <f t="shared" si="229"/>
        <v>0</v>
      </c>
      <c r="AL43" s="415">
        <f t="shared" si="229"/>
        <v>0</v>
      </c>
      <c r="AM43" s="415">
        <f t="shared" si="230"/>
        <v>0</v>
      </c>
      <c r="AN43" s="415">
        <f t="shared" si="230"/>
        <v>0</v>
      </c>
      <c r="AO43" s="415">
        <f t="shared" si="230"/>
        <v>0</v>
      </c>
      <c r="AP43" s="333">
        <f t="shared" si="230"/>
        <v>0</v>
      </c>
      <c r="AQ43" s="333">
        <f t="shared" si="230"/>
        <v>0</v>
      </c>
      <c r="AR43" s="333">
        <f t="shared" si="230"/>
        <v>0</v>
      </c>
      <c r="AS43" s="333">
        <f t="shared" si="230"/>
        <v>0</v>
      </c>
      <c r="AT43" s="333">
        <f t="shared" si="230"/>
        <v>0</v>
      </c>
      <c r="AU43" s="346">
        <f t="shared" si="230"/>
        <v>0</v>
      </c>
      <c r="AV43" s="346"/>
      <c r="AW43" s="346"/>
      <c r="AX43" s="346">
        <f t="shared" si="153"/>
        <v>0</v>
      </c>
      <c r="AY43" s="346">
        <f t="shared" si="153"/>
        <v>0</v>
      </c>
      <c r="AZ43" s="415">
        <f t="shared" si="153"/>
        <v>0</v>
      </c>
      <c r="BA43" s="346">
        <f t="shared" si="153"/>
        <v>0</v>
      </c>
      <c r="BB43" s="346">
        <f t="shared" si="153"/>
        <v>0</v>
      </c>
      <c r="BC43" s="346">
        <f t="shared" si="153"/>
        <v>0</v>
      </c>
      <c r="BD43" s="346">
        <f t="shared" si="153"/>
        <v>0</v>
      </c>
      <c r="BE43" s="346">
        <f t="shared" si="153"/>
        <v>1241.07</v>
      </c>
      <c r="BF43" s="346">
        <f t="shared" si="153"/>
        <v>0</v>
      </c>
      <c r="BG43" s="346">
        <f t="shared" si="153"/>
        <v>0</v>
      </c>
      <c r="BH43" s="346">
        <f t="shared" si="153"/>
        <v>0</v>
      </c>
      <c r="BI43" s="346">
        <f t="shared" si="153"/>
        <v>0</v>
      </c>
      <c r="BJ43" s="346">
        <f t="shared" si="153"/>
        <v>0</v>
      </c>
      <c r="BK43" s="346">
        <f t="shared" si="153"/>
        <v>0</v>
      </c>
      <c r="BL43" s="346">
        <f t="shared" si="153"/>
        <v>0</v>
      </c>
      <c r="BM43" s="346">
        <f t="shared" si="153"/>
        <v>0</v>
      </c>
      <c r="BN43" s="346">
        <f t="shared" si="153"/>
        <v>0</v>
      </c>
      <c r="BO43" s="346">
        <f t="shared" si="153"/>
        <v>0</v>
      </c>
      <c r="BP43" s="346">
        <f t="shared" si="153"/>
        <v>0</v>
      </c>
      <c r="BQ43" s="346">
        <f t="shared" si="211"/>
        <v>0</v>
      </c>
      <c r="BR43" s="370">
        <f t="shared" si="26"/>
        <v>0</v>
      </c>
      <c r="BS43" s="402">
        <f t="shared" si="154"/>
        <v>0</v>
      </c>
      <c r="BT43" s="402">
        <f t="shared" si="155"/>
        <v>0</v>
      </c>
    </row>
    <row r="44" spans="1:72" s="235" customFormat="1" ht="15" hidden="1" customHeight="1" x14ac:dyDescent="0.25">
      <c r="A44" s="235" t="s">
        <v>131</v>
      </c>
      <c r="B44" s="308" t="str">
        <f>VLOOKUP(A44,'DFP-Com'!$A$16:$B$50,2,1)</f>
        <v xml:space="preserve">     2.1.a  Tax and Customs</v>
      </c>
      <c r="C44" s="344" t="s">
        <v>261</v>
      </c>
      <c r="D44" s="415">
        <v>167.23</v>
      </c>
      <c r="E44" s="344" t="s">
        <v>250</v>
      </c>
      <c r="F44" s="345"/>
      <c r="G44" s="345"/>
      <c r="H44" s="345"/>
      <c r="I44" s="345"/>
      <c r="J44" s="345"/>
      <c r="K44" s="345">
        <v>0</v>
      </c>
      <c r="L44" s="345">
        <v>0</v>
      </c>
      <c r="M44" s="345">
        <v>0</v>
      </c>
      <c r="N44" s="345">
        <v>1</v>
      </c>
      <c r="O44" s="345">
        <v>0</v>
      </c>
      <c r="P44" s="345">
        <v>0</v>
      </c>
      <c r="Q44" s="345">
        <v>0</v>
      </c>
      <c r="R44" s="345">
        <v>0</v>
      </c>
      <c r="S44" s="345"/>
      <c r="T44" s="345"/>
      <c r="U44" s="345"/>
      <c r="V44" s="345"/>
      <c r="W44" s="345"/>
      <c r="X44" s="345"/>
      <c r="Y44" s="345"/>
      <c r="Z44" s="416">
        <f t="shared" si="228"/>
        <v>1</v>
      </c>
      <c r="AA44" s="344"/>
      <c r="AB44" s="344"/>
      <c r="AC44" s="346">
        <f t="shared" si="229"/>
        <v>0</v>
      </c>
      <c r="AD44" s="346">
        <f t="shared" si="229"/>
        <v>0</v>
      </c>
      <c r="AE44" s="346">
        <f t="shared" si="229"/>
        <v>0</v>
      </c>
      <c r="AF44" s="346">
        <f t="shared" si="229"/>
        <v>0</v>
      </c>
      <c r="AG44" s="346">
        <f t="shared" si="229"/>
        <v>0</v>
      </c>
      <c r="AH44" s="346">
        <f t="shared" si="229"/>
        <v>0</v>
      </c>
      <c r="AI44" s="415">
        <f t="shared" si="229"/>
        <v>0</v>
      </c>
      <c r="AJ44" s="415">
        <f t="shared" si="229"/>
        <v>0</v>
      </c>
      <c r="AK44" s="415">
        <f t="shared" si="229"/>
        <v>167.23</v>
      </c>
      <c r="AL44" s="415">
        <f t="shared" si="229"/>
        <v>0</v>
      </c>
      <c r="AM44" s="415">
        <f t="shared" si="230"/>
        <v>0</v>
      </c>
      <c r="AN44" s="415">
        <f t="shared" si="230"/>
        <v>0</v>
      </c>
      <c r="AO44" s="415">
        <f t="shared" si="230"/>
        <v>0</v>
      </c>
      <c r="AP44" s="333">
        <f t="shared" si="230"/>
        <v>0</v>
      </c>
      <c r="AQ44" s="333">
        <f t="shared" si="230"/>
        <v>0</v>
      </c>
      <c r="AR44" s="333">
        <f t="shared" si="230"/>
        <v>0</v>
      </c>
      <c r="AS44" s="333">
        <f t="shared" si="230"/>
        <v>0</v>
      </c>
      <c r="AT44" s="333">
        <f t="shared" si="230"/>
        <v>0</v>
      </c>
      <c r="AU44" s="346">
        <f t="shared" si="230"/>
        <v>0</v>
      </c>
      <c r="AV44" s="346"/>
      <c r="AW44" s="346"/>
      <c r="AX44" s="346">
        <f t="shared" si="153"/>
        <v>0</v>
      </c>
      <c r="AY44" s="346">
        <f t="shared" si="153"/>
        <v>0</v>
      </c>
      <c r="AZ44" s="415">
        <f t="shared" si="153"/>
        <v>0</v>
      </c>
      <c r="BA44" s="346">
        <f t="shared" si="153"/>
        <v>0</v>
      </c>
      <c r="BB44" s="346">
        <f t="shared" si="153"/>
        <v>0</v>
      </c>
      <c r="BC44" s="346">
        <f t="shared" si="153"/>
        <v>0</v>
      </c>
      <c r="BD44" s="346">
        <f t="shared" si="153"/>
        <v>0</v>
      </c>
      <c r="BE44" s="346">
        <f t="shared" si="153"/>
        <v>0</v>
      </c>
      <c r="BF44" s="346">
        <f t="shared" si="153"/>
        <v>167.23</v>
      </c>
      <c r="BG44" s="346">
        <f t="shared" si="153"/>
        <v>0</v>
      </c>
      <c r="BH44" s="346">
        <f t="shared" si="153"/>
        <v>0</v>
      </c>
      <c r="BI44" s="346">
        <f t="shared" si="153"/>
        <v>0</v>
      </c>
      <c r="BJ44" s="346">
        <f t="shared" si="153"/>
        <v>0</v>
      </c>
      <c r="BK44" s="346">
        <f t="shared" si="153"/>
        <v>0</v>
      </c>
      <c r="BL44" s="346">
        <f t="shared" si="153"/>
        <v>0</v>
      </c>
      <c r="BM44" s="346">
        <f t="shared" si="153"/>
        <v>0</v>
      </c>
      <c r="BN44" s="346">
        <f t="shared" si="153"/>
        <v>0</v>
      </c>
      <c r="BO44" s="346">
        <f t="shared" si="153"/>
        <v>0</v>
      </c>
      <c r="BP44" s="346">
        <f t="shared" si="153"/>
        <v>0</v>
      </c>
      <c r="BQ44" s="346">
        <f t="shared" si="211"/>
        <v>0</v>
      </c>
      <c r="BR44" s="370">
        <f t="shared" si="26"/>
        <v>0</v>
      </c>
      <c r="BS44" s="402">
        <f t="shared" si="154"/>
        <v>0</v>
      </c>
      <c r="BT44" s="402">
        <f t="shared" si="155"/>
        <v>0</v>
      </c>
    </row>
    <row r="45" spans="1:72" s="235" customFormat="1" ht="15" hidden="1" customHeight="1" x14ac:dyDescent="0.25">
      <c r="A45" s="235" t="s">
        <v>131</v>
      </c>
      <c r="B45" s="308" t="str">
        <f>VLOOKUP(A45,'DFP-Com'!$A$16:$B$50,2,1)</f>
        <v xml:space="preserve">     2.1.a  Tax and Customs</v>
      </c>
      <c r="C45" s="344" t="s">
        <v>287</v>
      </c>
      <c r="D45" s="415">
        <v>35745.919999999998</v>
      </c>
      <c r="E45" s="344" t="s">
        <v>286</v>
      </c>
      <c r="F45" s="345">
        <v>0</v>
      </c>
      <c r="G45" s="345"/>
      <c r="H45" s="345"/>
      <c r="I45" s="345"/>
      <c r="J45" s="345"/>
      <c r="K45" s="345"/>
      <c r="L45" s="345">
        <v>0</v>
      </c>
      <c r="M45" s="345">
        <v>0</v>
      </c>
      <c r="N45" s="345">
        <v>0</v>
      </c>
      <c r="O45" s="345">
        <v>0</v>
      </c>
      <c r="P45" s="345">
        <v>0</v>
      </c>
      <c r="Q45" s="345">
        <v>0.29207920792079206</v>
      </c>
      <c r="R45" s="345">
        <v>0.30693069306930698</v>
      </c>
      <c r="S45" s="345">
        <v>0.31188118811881188</v>
      </c>
      <c r="T45" s="345">
        <v>8.9108910891089119E-2</v>
      </c>
      <c r="U45" s="345"/>
      <c r="V45" s="345"/>
      <c r="W45" s="345"/>
      <c r="X45" s="345"/>
      <c r="Y45" s="345"/>
      <c r="Z45" s="416">
        <f t="shared" si="21"/>
        <v>1.0000000000000002</v>
      </c>
      <c r="AA45" s="344"/>
      <c r="AB45" s="344"/>
      <c r="AC45" s="346">
        <f t="shared" ref="AC45" si="232">F45*$D45</f>
        <v>0</v>
      </c>
      <c r="AD45" s="346">
        <f t="shared" ref="AD45" si="233">G45*$D45</f>
        <v>0</v>
      </c>
      <c r="AE45" s="346">
        <f t="shared" ref="AE45" si="234">H45*$D45</f>
        <v>0</v>
      </c>
      <c r="AF45" s="346">
        <f t="shared" ref="AF45" si="235">I45*$D45</f>
        <v>0</v>
      </c>
      <c r="AG45" s="346">
        <f t="shared" ref="AG45" si="236">J45*$D45</f>
        <v>0</v>
      </c>
      <c r="AH45" s="346">
        <f t="shared" ref="AH45" si="237">K45*$D45</f>
        <v>0</v>
      </c>
      <c r="AI45" s="415">
        <f t="shared" ref="AI45" si="238">L45*$D45</f>
        <v>0</v>
      </c>
      <c r="AJ45" s="415">
        <f t="shared" ref="AJ45" si="239">M45*$D45</f>
        <v>0</v>
      </c>
      <c r="AK45" s="415">
        <f t="shared" ref="AK45" si="240">N45*$D45</f>
        <v>0</v>
      </c>
      <c r="AL45" s="415">
        <f t="shared" ref="AL45" si="241">O45*$D45</f>
        <v>0</v>
      </c>
      <c r="AM45" s="415">
        <f t="shared" ref="AM45" si="242">P45*$D45</f>
        <v>0</v>
      </c>
      <c r="AN45" s="415">
        <f t="shared" ref="AN45" si="243">Q45*$D45</f>
        <v>10440.64</v>
      </c>
      <c r="AO45" s="415">
        <f t="shared" ref="AO45" si="244">R45*$D45</f>
        <v>10971.52</v>
      </c>
      <c r="AP45" s="333">
        <f t="shared" ref="AP45" si="245">S45*$D45</f>
        <v>11148.48</v>
      </c>
      <c r="AQ45" s="333">
        <f t="shared" ref="AQ45" si="246">T45*$D45</f>
        <v>3185.28</v>
      </c>
      <c r="AR45" s="333">
        <f t="shared" ref="AR45" si="247">U45*$D45</f>
        <v>0</v>
      </c>
      <c r="AS45" s="333">
        <f t="shared" ref="AS45" si="248">V45*$D45</f>
        <v>0</v>
      </c>
      <c r="AT45" s="333">
        <f t="shared" ref="AT45" si="249">W45*$D45</f>
        <v>0</v>
      </c>
      <c r="AU45" s="346">
        <f t="shared" ref="AU45" si="250">X45*$D45</f>
        <v>0</v>
      </c>
      <c r="AV45" s="346"/>
      <c r="AW45" s="346"/>
      <c r="AX45" s="346">
        <f t="shared" si="17"/>
        <v>0</v>
      </c>
      <c r="AY45" s="346">
        <f t="shared" si="17"/>
        <v>0</v>
      </c>
      <c r="AZ45" s="415">
        <f t="shared" si="17"/>
        <v>0</v>
      </c>
      <c r="BA45" s="346">
        <f t="shared" si="206"/>
        <v>0</v>
      </c>
      <c r="BB45" s="346">
        <f t="shared" si="17"/>
        <v>0</v>
      </c>
      <c r="BC45" s="346">
        <f t="shared" si="17"/>
        <v>0</v>
      </c>
      <c r="BD45" s="346">
        <f t="shared" si="227"/>
        <v>0</v>
      </c>
      <c r="BE45" s="346">
        <f t="shared" si="227"/>
        <v>0</v>
      </c>
      <c r="BF45" s="346">
        <f t="shared" si="227"/>
        <v>0</v>
      </c>
      <c r="BG45" s="346">
        <f t="shared" si="227"/>
        <v>0</v>
      </c>
      <c r="BH45" s="333">
        <v>35945</v>
      </c>
      <c r="BI45" s="346">
        <f t="shared" si="227"/>
        <v>0</v>
      </c>
      <c r="BJ45" s="346">
        <f t="shared" si="227"/>
        <v>0</v>
      </c>
      <c r="BK45" s="346">
        <f t="shared" si="227"/>
        <v>0</v>
      </c>
      <c r="BL45" s="346">
        <v>-199.08</v>
      </c>
      <c r="BM45" s="346">
        <f t="shared" si="152"/>
        <v>0</v>
      </c>
      <c r="BN45" s="346">
        <f t="shared" si="153"/>
        <v>0</v>
      </c>
      <c r="BO45" s="346">
        <f t="shared" si="153"/>
        <v>0</v>
      </c>
      <c r="BP45" s="346">
        <f t="shared" si="153"/>
        <v>0</v>
      </c>
      <c r="BQ45" s="346">
        <f t="shared" si="211"/>
        <v>0</v>
      </c>
      <c r="BR45" s="370">
        <f t="shared" si="26"/>
        <v>0</v>
      </c>
      <c r="BS45" s="402">
        <f t="shared" si="154"/>
        <v>0</v>
      </c>
      <c r="BT45" s="402">
        <f t="shared" si="155"/>
        <v>0</v>
      </c>
    </row>
    <row r="46" spans="1:72" s="235" customFormat="1" ht="15" hidden="1" customHeight="1" x14ac:dyDescent="0.25">
      <c r="A46" s="235" t="s">
        <v>131</v>
      </c>
      <c r="B46" s="308" t="str">
        <f>VLOOKUP(A46,'DFP-Com'!$A$16:$B$50,2,1)</f>
        <v xml:space="preserve">     2.1.a  Tax and Customs</v>
      </c>
      <c r="C46" s="344" t="s">
        <v>248</v>
      </c>
      <c r="D46" s="415">
        <v>18662.8</v>
      </c>
      <c r="E46" s="344" t="s">
        <v>286</v>
      </c>
      <c r="F46" s="345"/>
      <c r="G46" s="345"/>
      <c r="H46" s="345"/>
      <c r="I46" s="345"/>
      <c r="J46" s="345"/>
      <c r="K46" s="345"/>
      <c r="L46" s="345">
        <v>0</v>
      </c>
      <c r="M46" s="345">
        <v>0</v>
      </c>
      <c r="N46" s="345">
        <v>0</v>
      </c>
      <c r="O46" s="345">
        <v>0</v>
      </c>
      <c r="P46" s="345">
        <v>0.17319587628865979</v>
      </c>
      <c r="Q46" s="345">
        <v>0.24948453608247423</v>
      </c>
      <c r="R46" s="345">
        <v>0.25567010309278349</v>
      </c>
      <c r="S46" s="345">
        <v>0.25979381443298966</v>
      </c>
      <c r="T46" s="345">
        <v>6.1855670103092793E-2</v>
      </c>
      <c r="U46" s="345"/>
      <c r="V46" s="345"/>
      <c r="W46" s="345"/>
      <c r="X46" s="345"/>
      <c r="Y46" s="345"/>
      <c r="Z46" s="416">
        <f t="shared" ref="Z46" si="251">SUM(F46:X46)</f>
        <v>1</v>
      </c>
      <c r="AA46" s="344"/>
      <c r="AB46" s="344"/>
      <c r="AC46" s="346">
        <f t="shared" ref="AC46" si="252">F46*$D46</f>
        <v>0</v>
      </c>
      <c r="AD46" s="346">
        <f t="shared" ref="AD46" si="253">G46*$D46</f>
        <v>0</v>
      </c>
      <c r="AE46" s="346">
        <f t="shared" ref="AE46" si="254">H46*$D46</f>
        <v>0</v>
      </c>
      <c r="AF46" s="346">
        <f t="shared" ref="AF46" si="255">I46*$D46</f>
        <v>0</v>
      </c>
      <c r="AG46" s="346">
        <f t="shared" ref="AG46" si="256">J46*$D46</f>
        <v>0</v>
      </c>
      <c r="AH46" s="346">
        <f t="shared" ref="AH46" si="257">K46*$D46</f>
        <v>0</v>
      </c>
      <c r="AI46" s="415">
        <f t="shared" ref="AI46" si="258">L46*$D46</f>
        <v>0</v>
      </c>
      <c r="AJ46" s="415">
        <f t="shared" ref="AJ46" si="259">M46*$D46</f>
        <v>0</v>
      </c>
      <c r="AK46" s="415">
        <f t="shared" ref="AK46" si="260">N46*$D46</f>
        <v>0</v>
      </c>
      <c r="AL46" s="415">
        <f t="shared" ref="AL46" si="261">O46*$D46</f>
        <v>0</v>
      </c>
      <c r="AM46" s="415">
        <f t="shared" ref="AM46" si="262">P46*$D46</f>
        <v>3232.3199999999997</v>
      </c>
      <c r="AN46" s="415">
        <f t="shared" ref="AN46" si="263">Q46*$D46</f>
        <v>4656.08</v>
      </c>
      <c r="AO46" s="415">
        <f t="shared" ref="AO46" si="264">R46*$D46</f>
        <v>4771.5199999999995</v>
      </c>
      <c r="AP46" s="333">
        <f t="shared" ref="AP46" si="265">S46*$D46</f>
        <v>4848.4799999999996</v>
      </c>
      <c r="AQ46" s="333">
        <f t="shared" ref="AQ46" si="266">T46*$D46</f>
        <v>1154.4000000000001</v>
      </c>
      <c r="AR46" s="333">
        <f t="shared" ref="AR46" si="267">U46*$D46</f>
        <v>0</v>
      </c>
      <c r="AS46" s="333">
        <f t="shared" ref="AS46" si="268">V46*$D46</f>
        <v>0</v>
      </c>
      <c r="AT46" s="333">
        <f t="shared" ref="AT46" si="269">W46*$D46</f>
        <v>0</v>
      </c>
      <c r="AU46" s="346">
        <f t="shared" ref="AU46" si="270">X46*$D46</f>
        <v>0</v>
      </c>
      <c r="AV46" s="346"/>
      <c r="AW46" s="346"/>
      <c r="AX46" s="346">
        <f t="shared" ref="AX46:BL46" si="271">IF(AX$3=$E46,$D46,0)</f>
        <v>0</v>
      </c>
      <c r="AY46" s="346">
        <f t="shared" si="271"/>
        <v>0</v>
      </c>
      <c r="AZ46" s="415">
        <f t="shared" si="271"/>
        <v>0</v>
      </c>
      <c r="BA46" s="346">
        <f t="shared" si="206"/>
        <v>0</v>
      </c>
      <c r="BB46" s="346">
        <f t="shared" si="271"/>
        <v>0</v>
      </c>
      <c r="BC46" s="346">
        <f t="shared" si="271"/>
        <v>0</v>
      </c>
      <c r="BD46" s="346">
        <f t="shared" si="271"/>
        <v>0</v>
      </c>
      <c r="BE46" s="346">
        <f t="shared" si="271"/>
        <v>0</v>
      </c>
      <c r="BF46" s="346">
        <f t="shared" si="271"/>
        <v>0</v>
      </c>
      <c r="BG46" s="346">
        <f t="shared" si="271"/>
        <v>0</v>
      </c>
      <c r="BH46" s="333">
        <v>18759</v>
      </c>
      <c r="BI46" s="333">
        <f t="shared" si="271"/>
        <v>0</v>
      </c>
      <c r="BJ46" s="333">
        <f t="shared" si="271"/>
        <v>0</v>
      </c>
      <c r="BK46" s="333">
        <v>-96.2</v>
      </c>
      <c r="BL46" s="346">
        <f t="shared" si="271"/>
        <v>0</v>
      </c>
      <c r="BM46" s="346">
        <f t="shared" si="152"/>
        <v>0</v>
      </c>
      <c r="BN46" s="346">
        <f t="shared" si="153"/>
        <v>0</v>
      </c>
      <c r="BO46" s="346">
        <f t="shared" si="153"/>
        <v>0</v>
      </c>
      <c r="BP46" s="346">
        <f t="shared" si="153"/>
        <v>0</v>
      </c>
      <c r="BQ46" s="346">
        <f t="shared" si="211"/>
        <v>0</v>
      </c>
      <c r="BR46" s="370">
        <f t="shared" si="26"/>
        <v>0</v>
      </c>
      <c r="BS46" s="402">
        <f t="shared" si="154"/>
        <v>0</v>
      </c>
      <c r="BT46" s="402">
        <f t="shared" si="155"/>
        <v>0</v>
      </c>
    </row>
    <row r="47" spans="1:72" s="235" customFormat="1" ht="15" hidden="1" customHeight="1" x14ac:dyDescent="0.25">
      <c r="A47" s="235" t="s">
        <v>131</v>
      </c>
      <c r="B47" s="308" t="str">
        <f>VLOOKUP(A47,'DFP-Com'!$A$16:$B$50,2,1)</f>
        <v xml:space="preserve">     2.1.a  Tax and Customs</v>
      </c>
      <c r="C47" s="344" t="s">
        <v>308</v>
      </c>
      <c r="D47" s="415">
        <v>9982.7999999999993</v>
      </c>
      <c r="E47" s="344" t="s">
        <v>286</v>
      </c>
      <c r="F47" s="345"/>
      <c r="G47" s="345"/>
      <c r="H47" s="345"/>
      <c r="I47" s="345"/>
      <c r="J47" s="345"/>
      <c r="K47" s="345">
        <v>0</v>
      </c>
      <c r="L47" s="345">
        <v>0</v>
      </c>
      <c r="M47" s="345">
        <v>0</v>
      </c>
      <c r="N47" s="345">
        <v>0</v>
      </c>
      <c r="O47" s="345">
        <v>0</v>
      </c>
      <c r="P47" s="345">
        <v>0</v>
      </c>
      <c r="Q47" s="345">
        <v>1</v>
      </c>
      <c r="R47" s="345">
        <v>0</v>
      </c>
      <c r="S47" s="345">
        <v>0</v>
      </c>
      <c r="T47" s="345">
        <v>0</v>
      </c>
      <c r="U47" s="345"/>
      <c r="V47" s="345"/>
      <c r="W47" s="345"/>
      <c r="X47" s="345"/>
      <c r="Y47" s="345"/>
      <c r="Z47" s="416">
        <f t="shared" ref="Z47" si="272">SUM(F47:X47)</f>
        <v>1</v>
      </c>
      <c r="AA47" s="344"/>
      <c r="AB47" s="344"/>
      <c r="AC47" s="346">
        <f t="shared" ref="AC47" si="273">F47*$D47</f>
        <v>0</v>
      </c>
      <c r="AD47" s="346">
        <f t="shared" ref="AD47" si="274">G47*$D47</f>
        <v>0</v>
      </c>
      <c r="AE47" s="346">
        <f t="shared" ref="AE47" si="275">H47*$D47</f>
        <v>0</v>
      </c>
      <c r="AF47" s="346">
        <f t="shared" ref="AF47" si="276">I47*$D47</f>
        <v>0</v>
      </c>
      <c r="AG47" s="346">
        <f t="shared" ref="AG47" si="277">J47*$D47</f>
        <v>0</v>
      </c>
      <c r="AH47" s="346">
        <f t="shared" ref="AH47" si="278">K47*$D47</f>
        <v>0</v>
      </c>
      <c r="AI47" s="415">
        <f t="shared" ref="AI47" si="279">L47*$D47</f>
        <v>0</v>
      </c>
      <c r="AJ47" s="415">
        <f t="shared" ref="AJ47" si="280">M47*$D47</f>
        <v>0</v>
      </c>
      <c r="AK47" s="415">
        <f t="shared" ref="AK47" si="281">N47*$D47</f>
        <v>0</v>
      </c>
      <c r="AL47" s="415">
        <f t="shared" ref="AL47" si="282">O47*$D47</f>
        <v>0</v>
      </c>
      <c r="AM47" s="415">
        <f t="shared" ref="AM47" si="283">P47*$D47</f>
        <v>0</v>
      </c>
      <c r="AN47" s="415">
        <f t="shared" ref="AN47" si="284">Q47*$D47</f>
        <v>9982.7999999999993</v>
      </c>
      <c r="AO47" s="415">
        <f t="shared" ref="AO47" si="285">R47*$D47</f>
        <v>0</v>
      </c>
      <c r="AP47" s="333">
        <f t="shared" ref="AP47" si="286">S47*$D47</f>
        <v>0</v>
      </c>
      <c r="AQ47" s="333">
        <f t="shared" ref="AQ47" si="287">T47*$D47</f>
        <v>0</v>
      </c>
      <c r="AR47" s="333">
        <f t="shared" ref="AR47" si="288">U47*$D47</f>
        <v>0</v>
      </c>
      <c r="AS47" s="333">
        <f t="shared" ref="AS47" si="289">V47*$D47</f>
        <v>0</v>
      </c>
      <c r="AT47" s="333">
        <f t="shared" ref="AT47" si="290">W47*$D47</f>
        <v>0</v>
      </c>
      <c r="AU47" s="346">
        <f t="shared" ref="AU47" si="291">X47*$D47</f>
        <v>0</v>
      </c>
      <c r="AV47" s="346"/>
      <c r="AW47" s="346"/>
      <c r="AX47" s="346">
        <f t="shared" ref="AX47:BQ51" si="292">IF(AX$3=$E47,$D47,0)</f>
        <v>0</v>
      </c>
      <c r="AY47" s="346">
        <f t="shared" si="292"/>
        <v>0</v>
      </c>
      <c r="AZ47" s="415">
        <f t="shared" si="292"/>
        <v>0</v>
      </c>
      <c r="BA47" s="346">
        <f t="shared" si="206"/>
        <v>0</v>
      </c>
      <c r="BB47" s="346">
        <f t="shared" si="292"/>
        <v>0</v>
      </c>
      <c r="BC47" s="346">
        <f t="shared" si="292"/>
        <v>0</v>
      </c>
      <c r="BD47" s="346">
        <f t="shared" si="292"/>
        <v>0</v>
      </c>
      <c r="BE47" s="346">
        <f t="shared" si="292"/>
        <v>0</v>
      </c>
      <c r="BF47" s="346">
        <f t="shared" si="292"/>
        <v>0</v>
      </c>
      <c r="BG47" s="346">
        <f t="shared" si="292"/>
        <v>0</v>
      </c>
      <c r="BH47" s="333">
        <f t="shared" si="292"/>
        <v>9982.7999999999993</v>
      </c>
      <c r="BI47" s="346">
        <f t="shared" si="292"/>
        <v>0</v>
      </c>
      <c r="BJ47" s="346">
        <f t="shared" si="292"/>
        <v>0</v>
      </c>
      <c r="BK47" s="346">
        <f t="shared" si="292"/>
        <v>0</v>
      </c>
      <c r="BL47" s="346">
        <f t="shared" si="292"/>
        <v>0</v>
      </c>
      <c r="BM47" s="346">
        <f t="shared" si="292"/>
        <v>0</v>
      </c>
      <c r="BN47" s="346">
        <f t="shared" si="292"/>
        <v>0</v>
      </c>
      <c r="BO47" s="346">
        <f t="shared" si="292"/>
        <v>0</v>
      </c>
      <c r="BP47" s="346">
        <f t="shared" si="292"/>
        <v>0</v>
      </c>
      <c r="BQ47" s="346">
        <f t="shared" si="292"/>
        <v>0</v>
      </c>
      <c r="BR47" s="370">
        <f t="shared" si="26"/>
        <v>0</v>
      </c>
      <c r="BS47" s="402">
        <f t="shared" si="154"/>
        <v>0</v>
      </c>
      <c r="BT47" s="402">
        <f t="shared" si="155"/>
        <v>0</v>
      </c>
    </row>
    <row r="48" spans="1:72" s="235" customFormat="1" ht="15" hidden="1" customHeight="1" x14ac:dyDescent="0.25">
      <c r="A48" s="235" t="s">
        <v>131</v>
      </c>
      <c r="B48" s="308" t="str">
        <f>VLOOKUP(A48,'DFP-Com'!$A$16:$B$50,2,1)</f>
        <v xml:space="preserve">     2.1.a  Tax and Customs</v>
      </c>
      <c r="C48" s="344" t="s">
        <v>292</v>
      </c>
      <c r="D48" s="415">
        <v>22746.57</v>
      </c>
      <c r="E48" s="344" t="s">
        <v>350</v>
      </c>
      <c r="F48" s="345"/>
      <c r="G48" s="345"/>
      <c r="H48" s="345"/>
      <c r="I48" s="345"/>
      <c r="J48" s="345"/>
      <c r="K48" s="345">
        <v>0</v>
      </c>
      <c r="L48" s="345">
        <v>0</v>
      </c>
      <c r="M48" s="345">
        <v>0</v>
      </c>
      <c r="N48" s="345">
        <v>0</v>
      </c>
      <c r="O48" s="345">
        <v>0</v>
      </c>
      <c r="P48" s="345">
        <v>0</v>
      </c>
      <c r="Q48" s="345">
        <v>0</v>
      </c>
      <c r="R48" s="345">
        <v>0</v>
      </c>
      <c r="S48" s="345">
        <v>0</v>
      </c>
      <c r="T48" s="345">
        <v>0</v>
      </c>
      <c r="U48" s="345">
        <v>0.20436927413671599</v>
      </c>
      <c r="V48" s="345">
        <v>0.36645525017618041</v>
      </c>
      <c r="W48" s="345">
        <v>0.36011275546159277</v>
      </c>
      <c r="X48" s="345">
        <v>6.9062720225510743E-2</v>
      </c>
      <c r="Y48" s="345"/>
      <c r="Z48" s="416">
        <f t="shared" ref="Z48" si="293">SUM(F48:X48)</f>
        <v>1</v>
      </c>
      <c r="AA48" s="344"/>
      <c r="AB48" s="344"/>
      <c r="AC48" s="346">
        <f t="shared" ref="AC48" si="294">F48*$D48</f>
        <v>0</v>
      </c>
      <c r="AD48" s="346">
        <f t="shared" ref="AD48" si="295">G48*$D48</f>
        <v>0</v>
      </c>
      <c r="AE48" s="346">
        <f t="shared" ref="AE48" si="296">H48*$D48</f>
        <v>0</v>
      </c>
      <c r="AF48" s="346">
        <f t="shared" ref="AF48" si="297">I48*$D48</f>
        <v>0</v>
      </c>
      <c r="AG48" s="346">
        <f t="shared" ref="AG48" si="298">J48*$D48</f>
        <v>0</v>
      </c>
      <c r="AH48" s="346">
        <f t="shared" ref="AH48" si="299">K48*$D48</f>
        <v>0</v>
      </c>
      <c r="AI48" s="415">
        <f t="shared" ref="AI48" si="300">L48*$D48</f>
        <v>0</v>
      </c>
      <c r="AJ48" s="415">
        <f t="shared" ref="AJ48" si="301">M48*$D48</f>
        <v>0</v>
      </c>
      <c r="AK48" s="415">
        <f t="shared" ref="AK48" si="302">N48*$D48</f>
        <v>0</v>
      </c>
      <c r="AL48" s="415">
        <f t="shared" ref="AL48" si="303">O48*$D48</f>
        <v>0</v>
      </c>
      <c r="AM48" s="415">
        <f t="shared" ref="AM48" si="304">P48*$D48</f>
        <v>0</v>
      </c>
      <c r="AN48" s="415">
        <f t="shared" ref="AN48" si="305">Q48*$D48</f>
        <v>0</v>
      </c>
      <c r="AO48" s="415">
        <f t="shared" ref="AO48" si="306">R48*$D48</f>
        <v>0</v>
      </c>
      <c r="AP48" s="333">
        <f t="shared" ref="AP48" si="307">S48*$D48</f>
        <v>0</v>
      </c>
      <c r="AQ48" s="333">
        <f t="shared" ref="AQ48" si="308">T48*$D48</f>
        <v>0</v>
      </c>
      <c r="AR48" s="333">
        <f t="shared" ref="AR48" si="309">U48*$D48</f>
        <v>4648.7</v>
      </c>
      <c r="AS48" s="333">
        <f t="shared" ref="AS48" si="310">V48*$D48</f>
        <v>8335.6</v>
      </c>
      <c r="AT48" s="346">
        <f t="shared" ref="AT48" si="311">W48*$D48</f>
        <v>8191.3300000000017</v>
      </c>
      <c r="AU48" s="346">
        <f t="shared" ref="AU48" si="312">X48*$D48</f>
        <v>1570.939999999996</v>
      </c>
      <c r="AV48" s="346"/>
      <c r="AW48" s="346"/>
      <c r="AX48" s="346">
        <f t="shared" si="292"/>
        <v>0</v>
      </c>
      <c r="AY48" s="346">
        <f t="shared" si="292"/>
        <v>0</v>
      </c>
      <c r="AZ48" s="415">
        <f t="shared" si="292"/>
        <v>0</v>
      </c>
      <c r="BA48" s="346">
        <f t="shared" si="206"/>
        <v>0</v>
      </c>
      <c r="BB48" s="346">
        <f t="shared" si="292"/>
        <v>0</v>
      </c>
      <c r="BC48" s="346">
        <f t="shared" si="292"/>
        <v>0</v>
      </c>
      <c r="BD48" s="346">
        <f t="shared" si="292"/>
        <v>0</v>
      </c>
      <c r="BE48" s="346">
        <f t="shared" si="292"/>
        <v>0</v>
      </c>
      <c r="BF48" s="346">
        <f t="shared" si="292"/>
        <v>0</v>
      </c>
      <c r="BG48" s="346">
        <f t="shared" si="292"/>
        <v>0</v>
      </c>
      <c r="BH48" s="346">
        <f t="shared" si="292"/>
        <v>0</v>
      </c>
      <c r="BI48" s="346">
        <f t="shared" si="292"/>
        <v>0</v>
      </c>
      <c r="BJ48" s="346">
        <f t="shared" si="292"/>
        <v>0</v>
      </c>
      <c r="BK48" s="333">
        <f t="shared" si="292"/>
        <v>0</v>
      </c>
      <c r="BL48" s="346">
        <f t="shared" si="292"/>
        <v>0</v>
      </c>
      <c r="BM48" s="346">
        <f t="shared" si="292"/>
        <v>22746.57</v>
      </c>
      <c r="BN48" s="346">
        <f t="shared" si="292"/>
        <v>0</v>
      </c>
      <c r="BO48" s="346">
        <f t="shared" si="292"/>
        <v>0</v>
      </c>
      <c r="BP48" s="346">
        <f t="shared" si="292"/>
        <v>0</v>
      </c>
      <c r="BQ48" s="346">
        <f t="shared" si="292"/>
        <v>0</v>
      </c>
      <c r="BR48" s="370">
        <f t="shared" si="26"/>
        <v>0</v>
      </c>
      <c r="BS48" s="402">
        <f t="shared" si="154"/>
        <v>0</v>
      </c>
      <c r="BT48" s="402">
        <f t="shared" si="155"/>
        <v>0</v>
      </c>
    </row>
    <row r="49" spans="1:72" s="235" customFormat="1" ht="15" hidden="1" customHeight="1" x14ac:dyDescent="0.25">
      <c r="A49" s="235" t="s">
        <v>131</v>
      </c>
      <c r="B49" s="308" t="str">
        <f>VLOOKUP(A49,'DFP-Com'!$A$16:$B$50,2,1)</f>
        <v xml:space="preserve">     2.1.a  Tax and Customs</v>
      </c>
      <c r="C49" s="344" t="s">
        <v>292</v>
      </c>
      <c r="D49" s="415">
        <v>22746.57</v>
      </c>
      <c r="E49" s="344" t="s">
        <v>350</v>
      </c>
      <c r="F49" s="345"/>
      <c r="G49" s="345"/>
      <c r="H49" s="345"/>
      <c r="I49" s="345"/>
      <c r="J49" s="345"/>
      <c r="K49" s="345">
        <v>0</v>
      </c>
      <c r="L49" s="345">
        <v>0</v>
      </c>
      <c r="M49" s="345">
        <v>0</v>
      </c>
      <c r="N49" s="345">
        <v>0</v>
      </c>
      <c r="O49" s="345">
        <v>0</v>
      </c>
      <c r="P49" s="345">
        <v>0</v>
      </c>
      <c r="Q49" s="345">
        <v>0</v>
      </c>
      <c r="R49" s="345">
        <v>0</v>
      </c>
      <c r="S49" s="345">
        <v>0</v>
      </c>
      <c r="T49" s="345">
        <v>0</v>
      </c>
      <c r="U49" s="345">
        <v>0.20436927413671599</v>
      </c>
      <c r="V49" s="345">
        <v>0.36645525017618041</v>
      </c>
      <c r="W49" s="345">
        <v>0.36011275546159277</v>
      </c>
      <c r="X49" s="345">
        <v>6.9062720225510743E-2</v>
      </c>
      <c r="Y49" s="345"/>
      <c r="Z49" s="416">
        <f t="shared" ref="Z49:Z50" si="313">SUM(F49:X49)</f>
        <v>1</v>
      </c>
      <c r="AA49" s="344"/>
      <c r="AB49" s="344"/>
      <c r="AC49" s="346">
        <f t="shared" ref="AC49:AC50" si="314">F49*$D49</f>
        <v>0</v>
      </c>
      <c r="AD49" s="346">
        <f t="shared" ref="AD49:AD50" si="315">G49*$D49</f>
        <v>0</v>
      </c>
      <c r="AE49" s="346">
        <f t="shared" ref="AE49:AE50" si="316">H49*$D49</f>
        <v>0</v>
      </c>
      <c r="AF49" s="346">
        <f t="shared" ref="AF49:AF50" si="317">I49*$D49</f>
        <v>0</v>
      </c>
      <c r="AG49" s="346">
        <f t="shared" ref="AG49:AG50" si="318">J49*$D49</f>
        <v>0</v>
      </c>
      <c r="AH49" s="346">
        <f t="shared" ref="AH49:AH50" si="319">K49*$D49</f>
        <v>0</v>
      </c>
      <c r="AI49" s="415">
        <f t="shared" ref="AI49:AI50" si="320">L49*$D49</f>
        <v>0</v>
      </c>
      <c r="AJ49" s="415">
        <f t="shared" ref="AJ49:AJ50" si="321">M49*$D49</f>
        <v>0</v>
      </c>
      <c r="AK49" s="415">
        <f t="shared" ref="AK49:AK50" si="322">N49*$D49</f>
        <v>0</v>
      </c>
      <c r="AL49" s="415">
        <f t="shared" ref="AL49:AL50" si="323">O49*$D49</f>
        <v>0</v>
      </c>
      <c r="AM49" s="415">
        <f t="shared" ref="AM49:AM50" si="324">P49*$D49</f>
        <v>0</v>
      </c>
      <c r="AN49" s="415">
        <f t="shared" ref="AN49:AN50" si="325">Q49*$D49</f>
        <v>0</v>
      </c>
      <c r="AO49" s="415">
        <f t="shared" ref="AO49:AO50" si="326">R49*$D49</f>
        <v>0</v>
      </c>
      <c r="AP49" s="333">
        <f t="shared" ref="AP49:AP50" si="327">S49*$D49</f>
        <v>0</v>
      </c>
      <c r="AQ49" s="333">
        <f t="shared" ref="AQ49:AQ50" si="328">T49*$D49</f>
        <v>0</v>
      </c>
      <c r="AR49" s="333">
        <f t="shared" ref="AR49:AR50" si="329">U49*$D49</f>
        <v>4648.7</v>
      </c>
      <c r="AS49" s="333">
        <f t="shared" ref="AS49:AS50" si="330">V49*$D49</f>
        <v>8335.6</v>
      </c>
      <c r="AT49" s="346">
        <f t="shared" ref="AT49:AT50" si="331">W49*$D49</f>
        <v>8191.3300000000017</v>
      </c>
      <c r="AU49" s="346">
        <f t="shared" ref="AU49:AU50" si="332">X49*$D49</f>
        <v>1570.939999999996</v>
      </c>
      <c r="AV49" s="346"/>
      <c r="AW49" s="346"/>
      <c r="AX49" s="346">
        <f t="shared" si="292"/>
        <v>0</v>
      </c>
      <c r="AY49" s="346">
        <f t="shared" si="292"/>
        <v>0</v>
      </c>
      <c r="AZ49" s="415">
        <f t="shared" si="292"/>
        <v>0</v>
      </c>
      <c r="BA49" s="346">
        <f t="shared" si="206"/>
        <v>0</v>
      </c>
      <c r="BB49" s="346">
        <f t="shared" si="292"/>
        <v>0</v>
      </c>
      <c r="BC49" s="346">
        <f t="shared" si="292"/>
        <v>0</v>
      </c>
      <c r="BD49" s="346">
        <f t="shared" si="292"/>
        <v>0</v>
      </c>
      <c r="BE49" s="346">
        <f t="shared" si="292"/>
        <v>0</v>
      </c>
      <c r="BF49" s="346">
        <f t="shared" si="292"/>
        <v>0</v>
      </c>
      <c r="BG49" s="346">
        <f t="shared" si="292"/>
        <v>0</v>
      </c>
      <c r="BH49" s="346">
        <f t="shared" si="292"/>
        <v>0</v>
      </c>
      <c r="BI49" s="346">
        <f t="shared" si="292"/>
        <v>0</v>
      </c>
      <c r="BJ49" s="346">
        <f t="shared" si="292"/>
        <v>0</v>
      </c>
      <c r="BK49" s="333">
        <f t="shared" si="292"/>
        <v>0</v>
      </c>
      <c r="BL49" s="346">
        <f t="shared" si="292"/>
        <v>0</v>
      </c>
      <c r="BM49" s="346">
        <f t="shared" si="292"/>
        <v>22746.57</v>
      </c>
      <c r="BN49" s="346">
        <f t="shared" si="292"/>
        <v>0</v>
      </c>
      <c r="BO49" s="346">
        <f t="shared" si="292"/>
        <v>0</v>
      </c>
      <c r="BP49" s="346">
        <f t="shared" si="292"/>
        <v>0</v>
      </c>
      <c r="BQ49" s="346">
        <f t="shared" si="292"/>
        <v>0</v>
      </c>
      <c r="BR49" s="370">
        <f t="shared" si="26"/>
        <v>0</v>
      </c>
      <c r="BS49" s="402">
        <f t="shared" si="154"/>
        <v>0</v>
      </c>
      <c r="BT49" s="402">
        <f t="shared" si="155"/>
        <v>0</v>
      </c>
    </row>
    <row r="50" spans="1:72" s="235" customFormat="1" ht="15" hidden="1" customHeight="1" x14ac:dyDescent="0.25">
      <c r="A50" s="235" t="s">
        <v>131</v>
      </c>
      <c r="B50" s="308" t="str">
        <f>VLOOKUP(A50,'DFP-Com'!$A$16:$B$50,2,1)</f>
        <v xml:space="preserve">     2.1.a  Tax and Customs</v>
      </c>
      <c r="C50" s="344" t="s">
        <v>292</v>
      </c>
      <c r="D50" s="415">
        <v>22169.49</v>
      </c>
      <c r="E50" s="344" t="s">
        <v>350</v>
      </c>
      <c r="F50" s="345"/>
      <c r="G50" s="345"/>
      <c r="H50" s="345"/>
      <c r="I50" s="345"/>
      <c r="J50" s="345"/>
      <c r="K50" s="345">
        <v>0</v>
      </c>
      <c r="L50" s="345">
        <v>0</v>
      </c>
      <c r="M50" s="345">
        <v>0</v>
      </c>
      <c r="N50" s="345">
        <v>0</v>
      </c>
      <c r="O50" s="345">
        <v>0</v>
      </c>
      <c r="P50" s="345">
        <v>0</v>
      </c>
      <c r="Q50" s="345">
        <v>0</v>
      </c>
      <c r="R50" s="345">
        <v>0</v>
      </c>
      <c r="S50" s="345">
        <v>0</v>
      </c>
      <c r="T50" s="345">
        <v>0</v>
      </c>
      <c r="U50" s="345">
        <v>0.18510484454085321</v>
      </c>
      <c r="V50" s="345">
        <v>0.37599421547360806</v>
      </c>
      <c r="W50" s="345">
        <v>0.36948662328271881</v>
      </c>
      <c r="X50" s="345">
        <v>6.9414316702819917E-2</v>
      </c>
      <c r="Y50" s="345"/>
      <c r="Z50" s="416">
        <f t="shared" si="313"/>
        <v>1</v>
      </c>
      <c r="AA50" s="344"/>
      <c r="AB50" s="344"/>
      <c r="AC50" s="346">
        <f t="shared" si="314"/>
        <v>0</v>
      </c>
      <c r="AD50" s="346">
        <f t="shared" si="315"/>
        <v>0</v>
      </c>
      <c r="AE50" s="346">
        <f t="shared" si="316"/>
        <v>0</v>
      </c>
      <c r="AF50" s="346">
        <f t="shared" si="317"/>
        <v>0</v>
      </c>
      <c r="AG50" s="346">
        <f t="shared" si="318"/>
        <v>0</v>
      </c>
      <c r="AH50" s="346">
        <f t="shared" si="319"/>
        <v>0</v>
      </c>
      <c r="AI50" s="415">
        <f t="shared" si="320"/>
        <v>0</v>
      </c>
      <c r="AJ50" s="415">
        <f t="shared" si="321"/>
        <v>0</v>
      </c>
      <c r="AK50" s="415">
        <f t="shared" si="322"/>
        <v>0</v>
      </c>
      <c r="AL50" s="415">
        <f t="shared" si="323"/>
        <v>0</v>
      </c>
      <c r="AM50" s="415">
        <f t="shared" si="324"/>
        <v>0</v>
      </c>
      <c r="AN50" s="415">
        <f t="shared" si="325"/>
        <v>0</v>
      </c>
      <c r="AO50" s="415">
        <f t="shared" si="326"/>
        <v>0</v>
      </c>
      <c r="AP50" s="333">
        <f t="shared" si="327"/>
        <v>0</v>
      </c>
      <c r="AQ50" s="333">
        <f t="shared" si="328"/>
        <v>0</v>
      </c>
      <c r="AR50" s="333">
        <f t="shared" si="329"/>
        <v>4103.68</v>
      </c>
      <c r="AS50" s="333">
        <f t="shared" si="330"/>
        <v>8335.6</v>
      </c>
      <c r="AT50" s="346">
        <f t="shared" si="331"/>
        <v>8191.3300000000027</v>
      </c>
      <c r="AU50" s="346">
        <f t="shared" si="332"/>
        <v>1538.8799999999992</v>
      </c>
      <c r="AV50" s="346"/>
      <c r="AW50" s="346"/>
      <c r="AX50" s="346">
        <f t="shared" si="292"/>
        <v>0</v>
      </c>
      <c r="AY50" s="346">
        <f t="shared" si="292"/>
        <v>0</v>
      </c>
      <c r="AZ50" s="415">
        <f t="shared" si="292"/>
        <v>0</v>
      </c>
      <c r="BA50" s="346">
        <f t="shared" si="206"/>
        <v>0</v>
      </c>
      <c r="BB50" s="346">
        <f t="shared" si="292"/>
        <v>0</v>
      </c>
      <c r="BC50" s="346">
        <f t="shared" si="292"/>
        <v>0</v>
      </c>
      <c r="BD50" s="346">
        <f t="shared" si="292"/>
        <v>0</v>
      </c>
      <c r="BE50" s="346">
        <f t="shared" si="292"/>
        <v>0</v>
      </c>
      <c r="BF50" s="346">
        <f t="shared" si="292"/>
        <v>0</v>
      </c>
      <c r="BG50" s="346">
        <f t="shared" si="292"/>
        <v>0</v>
      </c>
      <c r="BH50" s="346">
        <f t="shared" si="292"/>
        <v>0</v>
      </c>
      <c r="BI50" s="346">
        <f t="shared" si="292"/>
        <v>0</v>
      </c>
      <c r="BJ50" s="346">
        <f t="shared" si="292"/>
        <v>0</v>
      </c>
      <c r="BK50" s="333">
        <f t="shared" si="292"/>
        <v>0</v>
      </c>
      <c r="BL50" s="346">
        <f t="shared" si="292"/>
        <v>0</v>
      </c>
      <c r="BM50" s="346">
        <f t="shared" si="292"/>
        <v>22169.49</v>
      </c>
      <c r="BN50" s="346">
        <f t="shared" si="292"/>
        <v>0</v>
      </c>
      <c r="BO50" s="346">
        <f t="shared" si="292"/>
        <v>0</v>
      </c>
      <c r="BP50" s="346">
        <f t="shared" si="292"/>
        <v>0</v>
      </c>
      <c r="BQ50" s="346">
        <f t="shared" si="292"/>
        <v>0</v>
      </c>
      <c r="BR50" s="370">
        <f t="shared" ref="BR50:BR51" si="333">SUM(AC50:AV50)-SUM(AX50:BQ50)</f>
        <v>0</v>
      </c>
      <c r="BS50" s="402">
        <f t="shared" si="154"/>
        <v>0</v>
      </c>
      <c r="BT50" s="402">
        <f t="shared" si="155"/>
        <v>0</v>
      </c>
    </row>
    <row r="51" spans="1:72" s="235" customFormat="1" ht="15" hidden="1" customHeight="1" x14ac:dyDescent="0.25">
      <c r="A51" s="235" t="s">
        <v>131</v>
      </c>
      <c r="B51" s="308" t="str">
        <f>VLOOKUP(A51,'DFP-Com'!$A$16:$B$50,2,1)</f>
        <v xml:space="preserve">     2.1.a  Tax and Customs</v>
      </c>
      <c r="C51" s="344" t="s">
        <v>292</v>
      </c>
      <c r="D51" s="415">
        <v>22169.49</v>
      </c>
      <c r="E51" s="344" t="s">
        <v>350</v>
      </c>
      <c r="F51" s="345"/>
      <c r="G51" s="345"/>
      <c r="H51" s="345"/>
      <c r="I51" s="345"/>
      <c r="J51" s="345"/>
      <c r="K51" s="345">
        <v>0</v>
      </c>
      <c r="L51" s="345">
        <v>0</v>
      </c>
      <c r="M51" s="345">
        <v>0</v>
      </c>
      <c r="N51" s="345">
        <v>0</v>
      </c>
      <c r="O51" s="345">
        <v>0</v>
      </c>
      <c r="P51" s="345">
        <v>0</v>
      </c>
      <c r="Q51" s="345">
        <v>0</v>
      </c>
      <c r="R51" s="345">
        <v>0</v>
      </c>
      <c r="S51" s="345">
        <v>0</v>
      </c>
      <c r="T51" s="345">
        <v>0</v>
      </c>
      <c r="U51" s="345">
        <v>0.18510484454085321</v>
      </c>
      <c r="V51" s="345">
        <v>0.37599421547360806</v>
      </c>
      <c r="W51" s="345">
        <v>0.36948662328271881</v>
      </c>
      <c r="X51" s="345">
        <v>6.9414316702819917E-2</v>
      </c>
      <c r="Y51" s="345"/>
      <c r="Z51" s="416">
        <f t="shared" ref="Z51" si="334">SUM(F51:X51)</f>
        <v>1</v>
      </c>
      <c r="AA51" s="344"/>
      <c r="AB51" s="344"/>
      <c r="AC51" s="346">
        <f t="shared" ref="AC51" si="335">F51*$D51</f>
        <v>0</v>
      </c>
      <c r="AD51" s="346">
        <f t="shared" ref="AD51" si="336">G51*$D51</f>
        <v>0</v>
      </c>
      <c r="AE51" s="346">
        <f t="shared" ref="AE51" si="337">H51*$D51</f>
        <v>0</v>
      </c>
      <c r="AF51" s="346">
        <f t="shared" ref="AF51" si="338">I51*$D51</f>
        <v>0</v>
      </c>
      <c r="AG51" s="346">
        <f t="shared" ref="AG51" si="339">J51*$D51</f>
        <v>0</v>
      </c>
      <c r="AH51" s="346">
        <f t="shared" ref="AH51" si="340">K51*$D51</f>
        <v>0</v>
      </c>
      <c r="AI51" s="415">
        <f t="shared" ref="AI51" si="341">L51*$D51</f>
        <v>0</v>
      </c>
      <c r="AJ51" s="415">
        <f t="shared" ref="AJ51" si="342">M51*$D51</f>
        <v>0</v>
      </c>
      <c r="AK51" s="415">
        <f t="shared" ref="AK51" si="343">N51*$D51</f>
        <v>0</v>
      </c>
      <c r="AL51" s="415">
        <f t="shared" ref="AL51" si="344">O51*$D51</f>
        <v>0</v>
      </c>
      <c r="AM51" s="415">
        <f t="shared" ref="AM51" si="345">P51*$D51</f>
        <v>0</v>
      </c>
      <c r="AN51" s="415">
        <f t="shared" ref="AN51" si="346">Q51*$D51</f>
        <v>0</v>
      </c>
      <c r="AO51" s="415">
        <f t="shared" ref="AO51" si="347">R51*$D51</f>
        <v>0</v>
      </c>
      <c r="AP51" s="333">
        <f t="shared" ref="AP51" si="348">S51*$D51</f>
        <v>0</v>
      </c>
      <c r="AQ51" s="333">
        <f t="shared" ref="AQ51" si="349">T51*$D51</f>
        <v>0</v>
      </c>
      <c r="AR51" s="333">
        <f t="shared" ref="AR51" si="350">U51*$D51</f>
        <v>4103.68</v>
      </c>
      <c r="AS51" s="333">
        <f t="shared" ref="AS51" si="351">V51*$D51</f>
        <v>8335.6</v>
      </c>
      <c r="AT51" s="346">
        <f t="shared" ref="AT51" si="352">W51*$D51</f>
        <v>8191.3300000000027</v>
      </c>
      <c r="AU51" s="346">
        <f t="shared" ref="AU51" si="353">X51*$D51</f>
        <v>1538.8799999999992</v>
      </c>
      <c r="AV51" s="346"/>
      <c r="AW51" s="346"/>
      <c r="AX51" s="346">
        <f t="shared" si="292"/>
        <v>0</v>
      </c>
      <c r="AY51" s="346">
        <f t="shared" si="292"/>
        <v>0</v>
      </c>
      <c r="AZ51" s="415">
        <f t="shared" si="292"/>
        <v>0</v>
      </c>
      <c r="BA51" s="346">
        <f t="shared" si="206"/>
        <v>0</v>
      </c>
      <c r="BB51" s="346">
        <f t="shared" si="292"/>
        <v>0</v>
      </c>
      <c r="BC51" s="346">
        <f t="shared" si="292"/>
        <v>0</v>
      </c>
      <c r="BD51" s="346">
        <f t="shared" si="292"/>
        <v>0</v>
      </c>
      <c r="BE51" s="346">
        <f t="shared" si="292"/>
        <v>0</v>
      </c>
      <c r="BF51" s="346">
        <f t="shared" si="292"/>
        <v>0</v>
      </c>
      <c r="BG51" s="346">
        <f t="shared" si="292"/>
        <v>0</v>
      </c>
      <c r="BH51" s="346">
        <f t="shared" si="292"/>
        <v>0</v>
      </c>
      <c r="BI51" s="346">
        <f t="shared" si="292"/>
        <v>0</v>
      </c>
      <c r="BJ51" s="346">
        <f t="shared" si="292"/>
        <v>0</v>
      </c>
      <c r="BK51" s="333">
        <f t="shared" si="292"/>
        <v>0</v>
      </c>
      <c r="BL51" s="346">
        <f t="shared" si="292"/>
        <v>0</v>
      </c>
      <c r="BM51" s="346">
        <f t="shared" si="292"/>
        <v>22169.49</v>
      </c>
      <c r="BN51" s="346">
        <f t="shared" si="292"/>
        <v>0</v>
      </c>
      <c r="BO51" s="346">
        <f t="shared" si="292"/>
        <v>0</v>
      </c>
      <c r="BP51" s="346">
        <f t="shared" si="292"/>
        <v>0</v>
      </c>
      <c r="BQ51" s="346">
        <f t="shared" si="292"/>
        <v>0</v>
      </c>
      <c r="BR51" s="370">
        <f t="shared" si="333"/>
        <v>0</v>
      </c>
      <c r="BS51" s="402">
        <f t="shared" si="154"/>
        <v>0</v>
      </c>
      <c r="BT51" s="402">
        <f t="shared" si="155"/>
        <v>0</v>
      </c>
    </row>
    <row r="52" spans="1:72" s="235" customFormat="1" ht="15" hidden="1" customHeight="1" x14ac:dyDescent="0.25">
      <c r="A52" s="235" t="s">
        <v>131</v>
      </c>
      <c r="B52" s="308" t="str">
        <f>VLOOKUP(A52,'DFP-Com'!$A$16:$B$50,2,1)</f>
        <v xml:space="preserve">     2.1.a  Tax and Customs</v>
      </c>
      <c r="C52" s="344" t="s">
        <v>309</v>
      </c>
      <c r="D52" s="415">
        <v>29581.599999999999</v>
      </c>
      <c r="E52" s="344" t="s">
        <v>286</v>
      </c>
      <c r="F52" s="345"/>
      <c r="G52" s="345"/>
      <c r="H52" s="345"/>
      <c r="I52" s="345"/>
      <c r="J52" s="345"/>
      <c r="K52" s="345">
        <v>0</v>
      </c>
      <c r="L52" s="345">
        <v>0</v>
      </c>
      <c r="M52" s="345">
        <v>0</v>
      </c>
      <c r="N52" s="345">
        <v>0</v>
      </c>
      <c r="O52" s="345">
        <v>0</v>
      </c>
      <c r="P52" s="345">
        <v>0</v>
      </c>
      <c r="Q52" s="345">
        <v>0.3009708737864078</v>
      </c>
      <c r="R52" s="345">
        <v>0.30097087378640774</v>
      </c>
      <c r="S52" s="345">
        <v>0.30582524271844658</v>
      </c>
      <c r="T52" s="345">
        <v>9.2233009708737879E-2</v>
      </c>
      <c r="U52" s="345"/>
      <c r="V52" s="345"/>
      <c r="W52" s="345"/>
      <c r="X52" s="345"/>
      <c r="Y52" s="345"/>
      <c r="Z52" s="416">
        <f>SUM(F52:X52)</f>
        <v>1</v>
      </c>
      <c r="AA52" s="344"/>
      <c r="AB52" s="344"/>
      <c r="AC52" s="346">
        <f t="shared" ref="AC52:AL55" si="354">F52*$D52</f>
        <v>0</v>
      </c>
      <c r="AD52" s="346">
        <f t="shared" si="354"/>
        <v>0</v>
      </c>
      <c r="AE52" s="346">
        <f t="shared" si="354"/>
        <v>0</v>
      </c>
      <c r="AF52" s="346">
        <f t="shared" si="354"/>
        <v>0</v>
      </c>
      <c r="AG52" s="346">
        <f t="shared" si="354"/>
        <v>0</v>
      </c>
      <c r="AH52" s="346">
        <f t="shared" si="354"/>
        <v>0</v>
      </c>
      <c r="AI52" s="415">
        <f t="shared" si="354"/>
        <v>0</v>
      </c>
      <c r="AJ52" s="415">
        <f t="shared" si="354"/>
        <v>0</v>
      </c>
      <c r="AK52" s="415">
        <f t="shared" si="354"/>
        <v>0</v>
      </c>
      <c r="AL52" s="415">
        <f t="shared" si="354"/>
        <v>0</v>
      </c>
      <c r="AM52" s="415">
        <f t="shared" ref="AM52:AU55" si="355">P52*$D52</f>
        <v>0</v>
      </c>
      <c r="AN52" s="415">
        <f t="shared" si="355"/>
        <v>8903.2000000000007</v>
      </c>
      <c r="AO52" s="415">
        <f t="shared" si="355"/>
        <v>8903.1999999999989</v>
      </c>
      <c r="AP52" s="415">
        <f t="shared" si="355"/>
        <v>9046.7999999999993</v>
      </c>
      <c r="AQ52" s="333">
        <f t="shared" si="355"/>
        <v>2728.4</v>
      </c>
      <c r="AR52" s="346">
        <f t="shared" si="355"/>
        <v>0</v>
      </c>
      <c r="AS52" s="346">
        <f t="shared" si="355"/>
        <v>0</v>
      </c>
      <c r="AT52" s="346">
        <f t="shared" si="355"/>
        <v>0</v>
      </c>
      <c r="AU52" s="346">
        <f t="shared" si="355"/>
        <v>0</v>
      </c>
      <c r="AV52" s="346"/>
      <c r="AW52" s="346"/>
      <c r="AX52" s="346">
        <f t="shared" ref="AX52:BG53" si="356">IF(AX$3=$E52,$D52,0)</f>
        <v>0</v>
      </c>
      <c r="AY52" s="346">
        <f t="shared" si="356"/>
        <v>0</v>
      </c>
      <c r="AZ52" s="415">
        <f t="shared" si="356"/>
        <v>0</v>
      </c>
      <c r="BA52" s="346">
        <f t="shared" si="356"/>
        <v>0</v>
      </c>
      <c r="BB52" s="346">
        <f t="shared" si="356"/>
        <v>0</v>
      </c>
      <c r="BC52" s="346">
        <f t="shared" si="356"/>
        <v>0</v>
      </c>
      <c r="BD52" s="346">
        <f t="shared" si="356"/>
        <v>0</v>
      </c>
      <c r="BE52" s="346">
        <f t="shared" si="356"/>
        <v>0</v>
      </c>
      <c r="BF52" s="346">
        <f t="shared" si="356"/>
        <v>0</v>
      </c>
      <c r="BG52" s="346">
        <f t="shared" si="356"/>
        <v>0</v>
      </c>
      <c r="BH52" s="346">
        <v>35002.5</v>
      </c>
      <c r="BI52" s="346">
        <f t="shared" ref="BI52:BQ53" si="357">IF(BI$3=$E52,$D52,0)</f>
        <v>0</v>
      </c>
      <c r="BJ52" s="346">
        <f t="shared" si="357"/>
        <v>0</v>
      </c>
      <c r="BK52" s="346">
        <f t="shared" si="357"/>
        <v>0</v>
      </c>
      <c r="BL52" s="346">
        <v>-5420.9</v>
      </c>
      <c r="BM52" s="346">
        <f t="shared" si="357"/>
        <v>0</v>
      </c>
      <c r="BN52" s="346">
        <f t="shared" si="357"/>
        <v>0</v>
      </c>
      <c r="BO52" s="346">
        <f t="shared" si="357"/>
        <v>0</v>
      </c>
      <c r="BP52" s="346">
        <f t="shared" si="357"/>
        <v>0</v>
      </c>
      <c r="BQ52" s="346">
        <f t="shared" si="357"/>
        <v>0</v>
      </c>
      <c r="BR52" s="370">
        <f t="shared" si="26"/>
        <v>0</v>
      </c>
      <c r="BS52" s="402">
        <f t="shared" si="154"/>
        <v>0</v>
      </c>
      <c r="BT52" s="402">
        <f t="shared" si="155"/>
        <v>0</v>
      </c>
    </row>
    <row r="53" spans="1:72" s="235" customFormat="1" ht="15" hidden="1" customHeight="1" x14ac:dyDescent="0.25">
      <c r="A53" s="235" t="s">
        <v>131</v>
      </c>
      <c r="B53" s="308" t="str">
        <f>VLOOKUP(A53,'DFP-Com'!$A$16:$B$50,2,1)</f>
        <v xml:space="preserve">     2.1.a  Tax and Customs</v>
      </c>
      <c r="C53" s="344" t="s">
        <v>335</v>
      </c>
      <c r="D53" s="415">
        <v>43134</v>
      </c>
      <c r="E53" s="344" t="s">
        <v>204</v>
      </c>
      <c r="F53" s="345"/>
      <c r="G53" s="345"/>
      <c r="H53" s="345"/>
      <c r="I53" s="345"/>
      <c r="J53" s="345"/>
      <c r="K53" s="345"/>
      <c r="L53" s="345">
        <v>0</v>
      </c>
      <c r="M53" s="345">
        <v>0</v>
      </c>
      <c r="N53" s="345">
        <v>0</v>
      </c>
      <c r="O53" s="345">
        <v>0</v>
      </c>
      <c r="P53" s="345">
        <v>0</v>
      </c>
      <c r="Q53" s="345">
        <v>0</v>
      </c>
      <c r="R53" s="345">
        <v>0</v>
      </c>
      <c r="S53" s="345">
        <v>0</v>
      </c>
      <c r="T53" s="345">
        <v>0.1723076923076923</v>
      </c>
      <c r="U53" s="345">
        <v>0.25025641025641027</v>
      </c>
      <c r="V53" s="345">
        <v>0.26666666666666672</v>
      </c>
      <c r="W53" s="345">
        <v>0.25846153846153852</v>
      </c>
      <c r="X53" s="345">
        <v>5.2307692307692166E-2</v>
      </c>
      <c r="Y53" s="345"/>
      <c r="Z53" s="416">
        <f t="shared" ref="Z53" si="358">SUM(F53:X53)</f>
        <v>1</v>
      </c>
      <c r="AA53" s="344"/>
      <c r="AB53" s="344"/>
      <c r="AC53" s="346">
        <f t="shared" si="354"/>
        <v>0</v>
      </c>
      <c r="AD53" s="346">
        <f t="shared" si="354"/>
        <v>0</v>
      </c>
      <c r="AE53" s="346">
        <f t="shared" si="354"/>
        <v>0</v>
      </c>
      <c r="AF53" s="346">
        <f t="shared" si="354"/>
        <v>0</v>
      </c>
      <c r="AG53" s="346">
        <f t="shared" si="354"/>
        <v>0</v>
      </c>
      <c r="AH53" s="346">
        <f t="shared" si="354"/>
        <v>0</v>
      </c>
      <c r="AI53" s="415">
        <f t="shared" si="354"/>
        <v>0</v>
      </c>
      <c r="AJ53" s="415">
        <f t="shared" si="354"/>
        <v>0</v>
      </c>
      <c r="AK53" s="415">
        <f t="shared" si="354"/>
        <v>0</v>
      </c>
      <c r="AL53" s="415">
        <f t="shared" si="354"/>
        <v>0</v>
      </c>
      <c r="AM53" s="415">
        <f t="shared" si="355"/>
        <v>0</v>
      </c>
      <c r="AN53" s="415">
        <f t="shared" si="355"/>
        <v>0</v>
      </c>
      <c r="AO53" s="415">
        <f t="shared" si="355"/>
        <v>0</v>
      </c>
      <c r="AP53" s="415">
        <f t="shared" si="355"/>
        <v>0</v>
      </c>
      <c r="AQ53" s="333">
        <f t="shared" si="355"/>
        <v>7432.32</v>
      </c>
      <c r="AR53" s="333">
        <f t="shared" si="355"/>
        <v>10794.560000000001</v>
      </c>
      <c r="AS53" s="333">
        <f t="shared" si="355"/>
        <v>11502.400000000001</v>
      </c>
      <c r="AT53" s="333">
        <f t="shared" si="355"/>
        <v>11148.480000000003</v>
      </c>
      <c r="AU53" s="333">
        <f t="shared" si="355"/>
        <v>2256.2399999999939</v>
      </c>
      <c r="AV53" s="346"/>
      <c r="AW53" s="346"/>
      <c r="AX53" s="346">
        <f t="shared" si="17"/>
        <v>0</v>
      </c>
      <c r="AY53" s="346">
        <f t="shared" si="17"/>
        <v>0</v>
      </c>
      <c r="AZ53" s="415">
        <f t="shared" si="17"/>
        <v>0</v>
      </c>
      <c r="BA53" s="346">
        <f t="shared" si="206"/>
        <v>0</v>
      </c>
      <c r="BB53" s="346">
        <f t="shared" si="17"/>
        <v>0</v>
      </c>
      <c r="BC53" s="346">
        <f t="shared" si="17"/>
        <v>0</v>
      </c>
      <c r="BD53" s="346">
        <f t="shared" si="356"/>
        <v>0</v>
      </c>
      <c r="BE53" s="346">
        <f t="shared" si="17"/>
        <v>0</v>
      </c>
      <c r="BF53" s="346">
        <f t="shared" si="17"/>
        <v>0</v>
      </c>
      <c r="BG53" s="346">
        <f t="shared" si="17"/>
        <v>0</v>
      </c>
      <c r="BH53" s="346">
        <f t="shared" si="17"/>
        <v>0</v>
      </c>
      <c r="BI53" s="346">
        <f t="shared" si="17"/>
        <v>0</v>
      </c>
      <c r="BJ53" s="346">
        <f t="shared" si="17"/>
        <v>0</v>
      </c>
      <c r="BK53" s="346">
        <f t="shared" si="17"/>
        <v>0</v>
      </c>
      <c r="BL53" s="346">
        <f t="shared" si="17"/>
        <v>43134</v>
      </c>
      <c r="BM53" s="346">
        <f t="shared" si="152"/>
        <v>0</v>
      </c>
      <c r="BN53" s="346">
        <f t="shared" si="357"/>
        <v>0</v>
      </c>
      <c r="BO53" s="346">
        <f t="shared" si="357"/>
        <v>0</v>
      </c>
      <c r="BP53" s="346">
        <f t="shared" si="357"/>
        <v>0</v>
      </c>
      <c r="BQ53" s="346">
        <f t="shared" si="357"/>
        <v>0</v>
      </c>
      <c r="BR53" s="370">
        <f t="shared" ref="BR53" si="359">SUM(AC53:AV53)-SUM(AX53:BQ53)</f>
        <v>0</v>
      </c>
      <c r="BS53" s="402">
        <f t="shared" si="154"/>
        <v>0</v>
      </c>
      <c r="BT53" s="402">
        <f t="shared" si="155"/>
        <v>0</v>
      </c>
    </row>
    <row r="54" spans="1:72" s="235" customFormat="1" ht="15" hidden="1" customHeight="1" x14ac:dyDescent="0.25">
      <c r="A54" s="235" t="s">
        <v>131</v>
      </c>
      <c r="B54" s="308" t="str">
        <f>VLOOKUP(A54,'DFP-Com'!$A$16:$B$50,2,1)</f>
        <v xml:space="preserve">     2.1.a  Tax and Customs</v>
      </c>
      <c r="C54" s="344" t="s">
        <v>310</v>
      </c>
      <c r="D54" s="415">
        <v>71999.039999999994</v>
      </c>
      <c r="E54" s="344" t="s">
        <v>286</v>
      </c>
      <c r="F54" s="345"/>
      <c r="G54" s="345"/>
      <c r="H54" s="345"/>
      <c r="I54" s="345"/>
      <c r="J54" s="345"/>
      <c r="K54" s="345">
        <v>0</v>
      </c>
      <c r="L54" s="345">
        <v>0</v>
      </c>
      <c r="M54" s="345">
        <v>0</v>
      </c>
      <c r="N54" s="345">
        <v>0</v>
      </c>
      <c r="O54" s="345">
        <v>0</v>
      </c>
      <c r="P54" s="345">
        <v>9.00900900900901E-2</v>
      </c>
      <c r="Q54" s="345">
        <v>0.27927927927927931</v>
      </c>
      <c r="R54" s="345">
        <v>0.27927927927927931</v>
      </c>
      <c r="S54" s="345">
        <v>0.28378378378378383</v>
      </c>
      <c r="T54" s="345">
        <v>6.7567567567567571E-2</v>
      </c>
      <c r="U54" s="345"/>
      <c r="V54" s="345"/>
      <c r="W54" s="345"/>
      <c r="X54" s="345"/>
      <c r="Y54" s="345"/>
      <c r="Z54" s="416">
        <f t="shared" ref="Z54:Z55" si="360">SUM(F54:X54)</f>
        <v>1</v>
      </c>
      <c r="AA54" s="344"/>
      <c r="AB54" s="344"/>
      <c r="AC54" s="346">
        <f t="shared" si="354"/>
        <v>0</v>
      </c>
      <c r="AD54" s="346">
        <f t="shared" si="354"/>
        <v>0</v>
      </c>
      <c r="AE54" s="346">
        <f t="shared" si="354"/>
        <v>0</v>
      </c>
      <c r="AF54" s="346">
        <f t="shared" si="354"/>
        <v>0</v>
      </c>
      <c r="AG54" s="346">
        <f t="shared" si="354"/>
        <v>0</v>
      </c>
      <c r="AH54" s="346">
        <f t="shared" si="354"/>
        <v>0</v>
      </c>
      <c r="AI54" s="415">
        <f t="shared" si="354"/>
        <v>0</v>
      </c>
      <c r="AJ54" s="415">
        <f t="shared" si="354"/>
        <v>0</v>
      </c>
      <c r="AK54" s="415">
        <f t="shared" si="354"/>
        <v>0</v>
      </c>
      <c r="AL54" s="415">
        <f t="shared" si="354"/>
        <v>0</v>
      </c>
      <c r="AM54" s="415">
        <f t="shared" si="355"/>
        <v>6486.4000000000005</v>
      </c>
      <c r="AN54" s="415">
        <f t="shared" si="355"/>
        <v>20107.84</v>
      </c>
      <c r="AO54" s="415">
        <f t="shared" si="355"/>
        <v>20107.84</v>
      </c>
      <c r="AP54" s="415">
        <f t="shared" si="355"/>
        <v>20432.16</v>
      </c>
      <c r="AQ54" s="333">
        <f t="shared" si="355"/>
        <v>4864.8</v>
      </c>
      <c r="AR54" s="346">
        <f t="shared" si="355"/>
        <v>0</v>
      </c>
      <c r="AS54" s="346">
        <f t="shared" si="355"/>
        <v>0</v>
      </c>
      <c r="AT54" s="346">
        <f t="shared" si="355"/>
        <v>0</v>
      </c>
      <c r="AU54" s="346">
        <f t="shared" si="355"/>
        <v>0</v>
      </c>
      <c r="AV54" s="346"/>
      <c r="AW54" s="346"/>
      <c r="AX54" s="346">
        <f t="shared" si="17"/>
        <v>0</v>
      </c>
      <c r="AY54" s="346">
        <f t="shared" si="17"/>
        <v>0</v>
      </c>
      <c r="AZ54" s="415">
        <f t="shared" si="17"/>
        <v>0</v>
      </c>
      <c r="BA54" s="346">
        <f t="shared" si="206"/>
        <v>0</v>
      </c>
      <c r="BB54" s="346">
        <f t="shared" si="17"/>
        <v>0</v>
      </c>
      <c r="BC54" s="346">
        <f t="shared" si="17"/>
        <v>0</v>
      </c>
      <c r="BD54" s="346">
        <f t="shared" si="17"/>
        <v>0</v>
      </c>
      <c r="BE54" s="346">
        <f t="shared" si="17"/>
        <v>0</v>
      </c>
      <c r="BF54" s="346">
        <f t="shared" si="17"/>
        <v>0</v>
      </c>
      <c r="BG54" s="346">
        <f t="shared" si="17"/>
        <v>0</v>
      </c>
      <c r="BH54" s="346">
        <v>72465.259999999995</v>
      </c>
      <c r="BI54" s="346">
        <f t="shared" si="17"/>
        <v>0</v>
      </c>
      <c r="BJ54" s="346">
        <f t="shared" si="17"/>
        <v>0</v>
      </c>
      <c r="BK54" s="346">
        <v>-466.22</v>
      </c>
      <c r="BL54" s="346">
        <f t="shared" si="17"/>
        <v>0</v>
      </c>
      <c r="BM54" s="346">
        <f t="shared" si="152"/>
        <v>0</v>
      </c>
      <c r="BN54" s="346">
        <f t="shared" ref="BN54:BQ78" si="361">IF(BN$3=$E54,$D54,0)</f>
        <v>0</v>
      </c>
      <c r="BO54" s="346">
        <f t="shared" si="361"/>
        <v>0</v>
      </c>
      <c r="BP54" s="346">
        <f t="shared" si="361"/>
        <v>0</v>
      </c>
      <c r="BQ54" s="346">
        <f t="shared" si="361"/>
        <v>0</v>
      </c>
      <c r="BR54" s="370">
        <f t="shared" ref="BR54" si="362">SUM(AC54:AV54)-SUM(AX54:BQ54)</f>
        <v>0</v>
      </c>
      <c r="BS54" s="402">
        <f t="shared" si="154"/>
        <v>0</v>
      </c>
      <c r="BT54" s="402">
        <f t="shared" si="155"/>
        <v>0</v>
      </c>
    </row>
    <row r="55" spans="1:72" s="235" customFormat="1" ht="15" hidden="1" customHeight="1" x14ac:dyDescent="0.25">
      <c r="A55" s="235" t="s">
        <v>131</v>
      </c>
      <c r="B55" s="308" t="str">
        <f>VLOOKUP(A55,'DFP-Com'!$A$16:$B$50,2,1)</f>
        <v xml:space="preserve">     2.1.a  Tax and Customs</v>
      </c>
      <c r="C55" s="344" t="s">
        <v>351</v>
      </c>
      <c r="D55" s="415">
        <v>39526.5</v>
      </c>
      <c r="E55" s="344" t="s">
        <v>204</v>
      </c>
      <c r="F55" s="345"/>
      <c r="G55" s="345"/>
      <c r="H55" s="345"/>
      <c r="I55" s="345"/>
      <c r="J55" s="345"/>
      <c r="K55" s="345">
        <v>0</v>
      </c>
      <c r="L55" s="345">
        <v>0</v>
      </c>
      <c r="M55" s="345">
        <v>0</v>
      </c>
      <c r="N55" s="345">
        <v>0</v>
      </c>
      <c r="O55" s="345">
        <v>0</v>
      </c>
      <c r="P55" s="345">
        <v>0</v>
      </c>
      <c r="Q55" s="345">
        <v>0</v>
      </c>
      <c r="R55" s="345">
        <v>0</v>
      </c>
      <c r="S55" s="345">
        <v>0</v>
      </c>
      <c r="T55" s="418">
        <v>0.12307692307692308</v>
      </c>
      <c r="U55" s="418">
        <v>0.26256410256410256</v>
      </c>
      <c r="V55" s="418">
        <v>0.26666666666666666</v>
      </c>
      <c r="W55" s="418">
        <v>0.25846153846153846</v>
      </c>
      <c r="X55" s="418">
        <v>8.9230769230769072E-2</v>
      </c>
      <c r="Y55" s="345"/>
      <c r="Z55" s="416">
        <f t="shared" si="360"/>
        <v>0.99999999999999989</v>
      </c>
      <c r="AA55" s="344"/>
      <c r="AB55" s="344"/>
      <c r="AC55" s="346">
        <f t="shared" si="354"/>
        <v>0</v>
      </c>
      <c r="AD55" s="346">
        <f t="shared" si="354"/>
        <v>0</v>
      </c>
      <c r="AE55" s="346">
        <f t="shared" si="354"/>
        <v>0</v>
      </c>
      <c r="AF55" s="346">
        <f t="shared" si="354"/>
        <v>0</v>
      </c>
      <c r="AG55" s="346">
        <f t="shared" si="354"/>
        <v>0</v>
      </c>
      <c r="AH55" s="346">
        <f t="shared" si="354"/>
        <v>0</v>
      </c>
      <c r="AI55" s="415">
        <f t="shared" si="354"/>
        <v>0</v>
      </c>
      <c r="AJ55" s="415">
        <f t="shared" si="354"/>
        <v>0</v>
      </c>
      <c r="AK55" s="415">
        <f t="shared" si="354"/>
        <v>0</v>
      </c>
      <c r="AL55" s="415">
        <f t="shared" si="354"/>
        <v>0</v>
      </c>
      <c r="AM55" s="415">
        <f t="shared" si="355"/>
        <v>0</v>
      </c>
      <c r="AN55" s="415">
        <f t="shared" si="355"/>
        <v>0</v>
      </c>
      <c r="AO55" s="415">
        <f t="shared" si="355"/>
        <v>0</v>
      </c>
      <c r="AP55" s="415">
        <f t="shared" si="355"/>
        <v>0</v>
      </c>
      <c r="AQ55" s="333">
        <f t="shared" si="355"/>
        <v>4864.8</v>
      </c>
      <c r="AR55" s="333">
        <f t="shared" si="355"/>
        <v>10378.24</v>
      </c>
      <c r="AS55" s="333">
        <f t="shared" si="355"/>
        <v>10540.4</v>
      </c>
      <c r="AT55" s="333">
        <f t="shared" si="355"/>
        <v>10216.08</v>
      </c>
      <c r="AU55" s="333">
        <f t="shared" si="355"/>
        <v>3526.9799999999937</v>
      </c>
      <c r="AV55" s="346"/>
      <c r="AW55" s="346"/>
      <c r="AX55" s="346">
        <f t="shared" si="17"/>
        <v>0</v>
      </c>
      <c r="AY55" s="346">
        <f t="shared" si="17"/>
        <v>0</v>
      </c>
      <c r="AZ55" s="415">
        <f t="shared" si="17"/>
        <v>0</v>
      </c>
      <c r="BA55" s="346">
        <f t="shared" si="206"/>
        <v>0</v>
      </c>
      <c r="BB55" s="346">
        <f t="shared" si="17"/>
        <v>0</v>
      </c>
      <c r="BC55" s="346">
        <f t="shared" si="17"/>
        <v>0</v>
      </c>
      <c r="BD55" s="346">
        <f t="shared" si="17"/>
        <v>0</v>
      </c>
      <c r="BE55" s="346">
        <f t="shared" si="17"/>
        <v>0</v>
      </c>
      <c r="BF55" s="346">
        <f t="shared" si="17"/>
        <v>0</v>
      </c>
      <c r="BG55" s="346">
        <f t="shared" si="17"/>
        <v>0</v>
      </c>
      <c r="BH55" s="346">
        <f t="shared" si="17"/>
        <v>0</v>
      </c>
      <c r="BI55" s="346">
        <f t="shared" si="17"/>
        <v>0</v>
      </c>
      <c r="BJ55" s="346">
        <f t="shared" si="17"/>
        <v>0</v>
      </c>
      <c r="BK55" s="346">
        <f t="shared" si="17"/>
        <v>0</v>
      </c>
      <c r="BL55" s="346">
        <f t="shared" si="17"/>
        <v>39526.5</v>
      </c>
      <c r="BM55" s="346">
        <f t="shared" si="152"/>
        <v>0</v>
      </c>
      <c r="BN55" s="346">
        <f t="shared" si="361"/>
        <v>0</v>
      </c>
      <c r="BO55" s="346">
        <f t="shared" si="361"/>
        <v>0</v>
      </c>
      <c r="BP55" s="346">
        <f t="shared" si="361"/>
        <v>0</v>
      </c>
      <c r="BQ55" s="346">
        <f t="shared" si="361"/>
        <v>0</v>
      </c>
      <c r="BR55" s="370">
        <f t="shared" ref="BR55" si="363">SUM(AC55:AV55)-SUM(AX55:BQ55)</f>
        <v>0</v>
      </c>
      <c r="BS55" s="402">
        <f t="shared" si="154"/>
        <v>0</v>
      </c>
      <c r="BT55" s="402">
        <f t="shared" si="155"/>
        <v>0</v>
      </c>
    </row>
    <row r="56" spans="1:72" s="235" customFormat="1" ht="15" hidden="1" customHeight="1" x14ac:dyDescent="0.25">
      <c r="A56" s="235" t="s">
        <v>131</v>
      </c>
      <c r="B56" s="308" t="str">
        <f>VLOOKUP(A56,'DFP-Com'!$A$16:$B$50,2,1)</f>
        <v xml:space="preserve">     2.1.a  Tax and Customs</v>
      </c>
      <c r="C56" s="344" t="s">
        <v>352</v>
      </c>
      <c r="D56" s="415">
        <v>39526.5</v>
      </c>
      <c r="E56" s="344" t="s">
        <v>204</v>
      </c>
      <c r="F56" s="345"/>
      <c r="G56" s="345"/>
      <c r="H56" s="345"/>
      <c r="I56" s="345"/>
      <c r="J56" s="345"/>
      <c r="K56" s="345">
        <v>0</v>
      </c>
      <c r="L56" s="345">
        <v>0</v>
      </c>
      <c r="M56" s="345">
        <v>0</v>
      </c>
      <c r="N56" s="345">
        <v>0</v>
      </c>
      <c r="O56" s="345">
        <v>0</v>
      </c>
      <c r="P56" s="345">
        <v>0</v>
      </c>
      <c r="Q56" s="345">
        <v>0</v>
      </c>
      <c r="R56" s="345">
        <v>0</v>
      </c>
      <c r="S56" s="345">
        <v>0</v>
      </c>
      <c r="T56" s="418">
        <v>0.12307692307692308</v>
      </c>
      <c r="U56" s="418">
        <v>0.26256410256410256</v>
      </c>
      <c r="V56" s="418">
        <v>0.26666666666666666</v>
      </c>
      <c r="W56" s="418">
        <v>0.25846153846153846</v>
      </c>
      <c r="X56" s="418">
        <v>8.9230769230769072E-2</v>
      </c>
      <c r="Y56" s="345"/>
      <c r="Z56" s="416">
        <f t="shared" ref="Z56:Z65" si="364">SUM(F56:X56)</f>
        <v>0.99999999999999989</v>
      </c>
      <c r="AA56" s="344"/>
      <c r="AB56" s="344"/>
      <c r="AC56" s="346">
        <f t="shared" ref="AC56:AC65" si="365">F56*$D56</f>
        <v>0</v>
      </c>
      <c r="AD56" s="346">
        <f t="shared" ref="AD56:AD65" si="366">G56*$D56</f>
        <v>0</v>
      </c>
      <c r="AE56" s="346">
        <f t="shared" ref="AE56:AE65" si="367">H56*$D56</f>
        <v>0</v>
      </c>
      <c r="AF56" s="346">
        <f t="shared" ref="AF56:AF65" si="368">I56*$D56</f>
        <v>0</v>
      </c>
      <c r="AG56" s="346">
        <f t="shared" ref="AG56:AG65" si="369">J56*$D56</f>
        <v>0</v>
      </c>
      <c r="AH56" s="346">
        <f t="shared" ref="AH56:AH65" si="370">K56*$D56</f>
        <v>0</v>
      </c>
      <c r="AI56" s="415">
        <f t="shared" ref="AI56:AI65" si="371">L56*$D56</f>
        <v>0</v>
      </c>
      <c r="AJ56" s="415">
        <f t="shared" ref="AJ56:AJ65" si="372">M56*$D56</f>
        <v>0</v>
      </c>
      <c r="AK56" s="415">
        <f t="shared" ref="AK56:AK65" si="373">N56*$D56</f>
        <v>0</v>
      </c>
      <c r="AL56" s="415">
        <f t="shared" ref="AL56:AL65" si="374">O56*$D56</f>
        <v>0</v>
      </c>
      <c r="AM56" s="415">
        <f t="shared" ref="AM56:AM65" si="375">P56*$D56</f>
        <v>0</v>
      </c>
      <c r="AN56" s="415">
        <f t="shared" ref="AN56:AN65" si="376">Q56*$D56</f>
        <v>0</v>
      </c>
      <c r="AO56" s="415">
        <f t="shared" ref="AO56:AO65" si="377">R56*$D56</f>
        <v>0</v>
      </c>
      <c r="AP56" s="415">
        <f t="shared" ref="AP56:AP65" si="378">S56*$D56</f>
        <v>0</v>
      </c>
      <c r="AQ56" s="333">
        <f t="shared" ref="AQ56:AQ65" si="379">T56*$D56</f>
        <v>4864.8</v>
      </c>
      <c r="AR56" s="333">
        <f t="shared" ref="AR56:AR65" si="380">U56*$D56</f>
        <v>10378.24</v>
      </c>
      <c r="AS56" s="333">
        <f t="shared" ref="AS56:AS65" si="381">V56*$D56</f>
        <v>10540.4</v>
      </c>
      <c r="AT56" s="333">
        <f t="shared" ref="AT56:AT65" si="382">W56*$D56</f>
        <v>10216.08</v>
      </c>
      <c r="AU56" s="333">
        <f t="shared" ref="AU56:AU65" si="383">X56*$D56</f>
        <v>3526.9799999999937</v>
      </c>
      <c r="AV56" s="346"/>
      <c r="AW56" s="346"/>
      <c r="AX56" s="346">
        <f t="shared" si="17"/>
        <v>0</v>
      </c>
      <c r="AY56" s="346">
        <f t="shared" si="17"/>
        <v>0</v>
      </c>
      <c r="AZ56" s="415">
        <f t="shared" si="17"/>
        <v>0</v>
      </c>
      <c r="BA56" s="346">
        <f t="shared" si="206"/>
        <v>0</v>
      </c>
      <c r="BB56" s="346">
        <f t="shared" si="17"/>
        <v>0</v>
      </c>
      <c r="BC56" s="346">
        <f t="shared" si="17"/>
        <v>0</v>
      </c>
      <c r="BD56" s="346">
        <f t="shared" si="17"/>
        <v>0</v>
      </c>
      <c r="BE56" s="346">
        <f t="shared" si="17"/>
        <v>0</v>
      </c>
      <c r="BF56" s="346">
        <f t="shared" si="17"/>
        <v>0</v>
      </c>
      <c r="BG56" s="346">
        <f t="shared" si="17"/>
        <v>0</v>
      </c>
      <c r="BH56" s="346">
        <f t="shared" si="17"/>
        <v>0</v>
      </c>
      <c r="BI56" s="346">
        <f t="shared" si="17"/>
        <v>0</v>
      </c>
      <c r="BJ56" s="346">
        <f t="shared" si="17"/>
        <v>0</v>
      </c>
      <c r="BK56" s="346">
        <f t="shared" si="17"/>
        <v>0</v>
      </c>
      <c r="BL56" s="346">
        <f t="shared" si="17"/>
        <v>39526.5</v>
      </c>
      <c r="BM56" s="346">
        <f t="shared" si="152"/>
        <v>0</v>
      </c>
      <c r="BN56" s="346">
        <f t="shared" si="361"/>
        <v>0</v>
      </c>
      <c r="BO56" s="346">
        <f t="shared" si="361"/>
        <v>0</v>
      </c>
      <c r="BP56" s="346">
        <f t="shared" si="361"/>
        <v>0</v>
      </c>
      <c r="BQ56" s="346">
        <f t="shared" si="361"/>
        <v>0</v>
      </c>
      <c r="BR56" s="370">
        <f t="shared" ref="BR56:BR65" si="384">SUM(AC56:AV56)-SUM(AX56:BQ56)</f>
        <v>0</v>
      </c>
      <c r="BS56" s="402">
        <f t="shared" si="154"/>
        <v>0</v>
      </c>
      <c r="BT56" s="402">
        <f t="shared" si="155"/>
        <v>0</v>
      </c>
    </row>
    <row r="57" spans="1:72" s="235" customFormat="1" ht="15" hidden="1" customHeight="1" x14ac:dyDescent="0.25">
      <c r="A57" s="422" t="s">
        <v>131</v>
      </c>
      <c r="B57" s="308" t="str">
        <f>VLOOKUP(A57,'DFP-Com'!$A$16:$B$50,2,1)</f>
        <v xml:space="preserve">     2.1.a  Tax and Customs</v>
      </c>
      <c r="C57" s="344" t="s">
        <v>387</v>
      </c>
      <c r="D57" s="415">
        <v>93600</v>
      </c>
      <c r="E57" s="344" t="s">
        <v>204</v>
      </c>
      <c r="F57" s="345"/>
      <c r="G57" s="345"/>
      <c r="H57" s="345"/>
      <c r="I57" s="345"/>
      <c r="J57" s="345"/>
      <c r="K57" s="345">
        <v>0</v>
      </c>
      <c r="L57" s="345">
        <v>0</v>
      </c>
      <c r="M57" s="345">
        <v>0</v>
      </c>
      <c r="N57" s="345">
        <v>0</v>
      </c>
      <c r="O57" s="345">
        <v>0</v>
      </c>
      <c r="P57" s="345">
        <v>0</v>
      </c>
      <c r="Q57" s="345">
        <v>0</v>
      </c>
      <c r="R57" s="345">
        <v>0</v>
      </c>
      <c r="S57" s="345">
        <v>0</v>
      </c>
      <c r="T57" s="418">
        <v>0</v>
      </c>
      <c r="U57" s="418">
        <v>0.1431794871794872</v>
      </c>
      <c r="V57" s="418">
        <v>0.2542905982905983</v>
      </c>
      <c r="W57" s="418">
        <v>0.33333333333333331</v>
      </c>
      <c r="X57" s="418">
        <v>0.26919658119658124</v>
      </c>
      <c r="Y57" s="345"/>
      <c r="Z57" s="416">
        <f t="shared" ref="Z57:Z61" si="385">SUM(F57:X57)</f>
        <v>1</v>
      </c>
      <c r="AA57" s="344"/>
      <c r="AB57" s="344"/>
      <c r="AC57" s="346">
        <f t="shared" ref="AC57:AC61" si="386">F57*$D57</f>
        <v>0</v>
      </c>
      <c r="AD57" s="346">
        <f t="shared" ref="AD57:AD61" si="387">G57*$D57</f>
        <v>0</v>
      </c>
      <c r="AE57" s="346">
        <f t="shared" ref="AE57:AE61" si="388">H57*$D57</f>
        <v>0</v>
      </c>
      <c r="AF57" s="346">
        <f t="shared" ref="AF57:AF61" si="389">I57*$D57</f>
        <v>0</v>
      </c>
      <c r="AG57" s="346">
        <f t="shared" ref="AG57:AG61" si="390">J57*$D57</f>
        <v>0</v>
      </c>
      <c r="AH57" s="346">
        <f t="shared" ref="AH57:AH61" si="391">K57*$D57</f>
        <v>0</v>
      </c>
      <c r="AI57" s="415">
        <f t="shared" ref="AI57:AI61" si="392">L57*$D57</f>
        <v>0</v>
      </c>
      <c r="AJ57" s="415">
        <f t="shared" ref="AJ57:AJ61" si="393">M57*$D57</f>
        <v>0</v>
      </c>
      <c r="AK57" s="415">
        <f t="shared" ref="AK57:AK61" si="394">N57*$D57</f>
        <v>0</v>
      </c>
      <c r="AL57" s="415">
        <f t="shared" ref="AL57:AL61" si="395">O57*$D57</f>
        <v>0</v>
      </c>
      <c r="AM57" s="415">
        <f t="shared" ref="AM57:AM61" si="396">P57*$D57</f>
        <v>0</v>
      </c>
      <c r="AN57" s="415">
        <f t="shared" ref="AN57:AN61" si="397">Q57*$D57</f>
        <v>0</v>
      </c>
      <c r="AO57" s="415">
        <f t="shared" ref="AO57:AO61" si="398">R57*$D57</f>
        <v>0</v>
      </c>
      <c r="AP57" s="415">
        <f t="shared" ref="AP57:AP61" si="399">S57*$D57</f>
        <v>0</v>
      </c>
      <c r="AQ57" s="333">
        <f t="shared" ref="AQ57:AQ61" si="400">T57*$D57</f>
        <v>0</v>
      </c>
      <c r="AR57" s="333">
        <f t="shared" ref="AR57:AR61" si="401">U57*$D57</f>
        <v>13401.600000000002</v>
      </c>
      <c r="AS57" s="333">
        <f t="shared" ref="AS57:AS61" si="402">V57*$D57</f>
        <v>23801.600000000002</v>
      </c>
      <c r="AT57" s="333">
        <f t="shared" ref="AT57:AT61" si="403">W57*$D57</f>
        <v>31200</v>
      </c>
      <c r="AU57" s="333">
        <f t="shared" ref="AU57:AU61" si="404">X57*$D57</f>
        <v>25196.800000000003</v>
      </c>
      <c r="AV57" s="346"/>
      <c r="AW57" s="346"/>
      <c r="AX57" s="346">
        <f t="shared" ref="AX57:BL64" si="405">IF(AX$3=$E57,$D57,0)</f>
        <v>0</v>
      </c>
      <c r="AY57" s="346">
        <f t="shared" si="405"/>
        <v>0</v>
      </c>
      <c r="AZ57" s="415">
        <f t="shared" si="405"/>
        <v>0</v>
      </c>
      <c r="BA57" s="346">
        <f t="shared" si="206"/>
        <v>0</v>
      </c>
      <c r="BB57" s="346">
        <f t="shared" si="405"/>
        <v>0</v>
      </c>
      <c r="BC57" s="346">
        <f t="shared" si="405"/>
        <v>0</v>
      </c>
      <c r="BD57" s="346">
        <f t="shared" si="405"/>
        <v>0</v>
      </c>
      <c r="BE57" s="346">
        <f t="shared" si="405"/>
        <v>0</v>
      </c>
      <c r="BF57" s="346">
        <f t="shared" si="405"/>
        <v>0</v>
      </c>
      <c r="BG57" s="346">
        <f t="shared" si="405"/>
        <v>0</v>
      </c>
      <c r="BH57" s="346">
        <f t="shared" si="405"/>
        <v>0</v>
      </c>
      <c r="BI57" s="346">
        <f t="shared" si="405"/>
        <v>0</v>
      </c>
      <c r="BJ57" s="346">
        <f t="shared" si="405"/>
        <v>0</v>
      </c>
      <c r="BK57" s="346">
        <f t="shared" si="405"/>
        <v>0</v>
      </c>
      <c r="BL57" s="346">
        <f t="shared" si="405"/>
        <v>93600</v>
      </c>
      <c r="BM57" s="346">
        <f t="shared" si="152"/>
        <v>0</v>
      </c>
      <c r="BN57" s="346">
        <f t="shared" si="361"/>
        <v>0</v>
      </c>
      <c r="BO57" s="346">
        <f t="shared" si="361"/>
        <v>0</v>
      </c>
      <c r="BP57" s="346">
        <f t="shared" si="361"/>
        <v>0</v>
      </c>
      <c r="BQ57" s="346">
        <f t="shared" si="361"/>
        <v>0</v>
      </c>
      <c r="BR57" s="370">
        <f t="shared" ref="BR57:BR61" si="406">SUM(AC57:AV57)-SUM(AX57:BQ57)</f>
        <v>0</v>
      </c>
      <c r="BS57" s="402">
        <f t="shared" si="154"/>
        <v>0</v>
      </c>
      <c r="BT57" s="402">
        <f t="shared" si="155"/>
        <v>0</v>
      </c>
    </row>
    <row r="58" spans="1:72" s="235" customFormat="1" ht="15" hidden="1" customHeight="1" x14ac:dyDescent="0.25">
      <c r="A58" s="422" t="s">
        <v>131</v>
      </c>
      <c r="B58" s="308" t="str">
        <f>VLOOKUP(A58,'DFP-Com'!$A$16:$B$50,2,1)</f>
        <v xml:space="preserve">     2.1.a  Tax and Customs</v>
      </c>
      <c r="C58" s="344" t="s">
        <v>361</v>
      </c>
      <c r="D58" s="415">
        <v>81000</v>
      </c>
      <c r="E58" s="344" t="s">
        <v>204</v>
      </c>
      <c r="F58" s="345"/>
      <c r="G58" s="345"/>
      <c r="H58" s="345"/>
      <c r="I58" s="345"/>
      <c r="J58" s="345"/>
      <c r="K58" s="345">
        <v>0</v>
      </c>
      <c r="L58" s="345">
        <v>0</v>
      </c>
      <c r="M58" s="345">
        <v>0</v>
      </c>
      <c r="N58" s="345">
        <v>0</v>
      </c>
      <c r="O58" s="345">
        <v>0</v>
      </c>
      <c r="P58" s="345">
        <v>0</v>
      </c>
      <c r="Q58" s="345">
        <v>0</v>
      </c>
      <c r="R58" s="345">
        <v>0</v>
      </c>
      <c r="S58" s="345">
        <v>0</v>
      </c>
      <c r="T58" s="418">
        <v>0</v>
      </c>
      <c r="U58" s="418">
        <v>0.1426074074074074</v>
      </c>
      <c r="V58" s="418">
        <v>0.25371851851851851</v>
      </c>
      <c r="W58" s="418">
        <v>0.33333333333333331</v>
      </c>
      <c r="X58" s="418">
        <v>0.27034074074074083</v>
      </c>
      <c r="Y58" s="345"/>
      <c r="Z58" s="416">
        <f t="shared" si="385"/>
        <v>1</v>
      </c>
      <c r="AA58" s="344"/>
      <c r="AB58" s="344"/>
      <c r="AC58" s="346">
        <f t="shared" si="386"/>
        <v>0</v>
      </c>
      <c r="AD58" s="346">
        <f t="shared" si="387"/>
        <v>0</v>
      </c>
      <c r="AE58" s="346">
        <f t="shared" si="388"/>
        <v>0</v>
      </c>
      <c r="AF58" s="346">
        <f t="shared" si="389"/>
        <v>0</v>
      </c>
      <c r="AG58" s="346">
        <f t="shared" si="390"/>
        <v>0</v>
      </c>
      <c r="AH58" s="346">
        <f t="shared" si="391"/>
        <v>0</v>
      </c>
      <c r="AI58" s="415">
        <f t="shared" si="392"/>
        <v>0</v>
      </c>
      <c r="AJ58" s="415">
        <f t="shared" si="393"/>
        <v>0</v>
      </c>
      <c r="AK58" s="415">
        <f t="shared" si="394"/>
        <v>0</v>
      </c>
      <c r="AL58" s="415">
        <f t="shared" si="395"/>
        <v>0</v>
      </c>
      <c r="AM58" s="415">
        <f t="shared" si="396"/>
        <v>0</v>
      </c>
      <c r="AN58" s="415">
        <f t="shared" si="397"/>
        <v>0</v>
      </c>
      <c r="AO58" s="415">
        <f t="shared" si="398"/>
        <v>0</v>
      </c>
      <c r="AP58" s="415">
        <f t="shared" si="399"/>
        <v>0</v>
      </c>
      <c r="AQ58" s="333">
        <f t="shared" si="400"/>
        <v>0</v>
      </c>
      <c r="AR58" s="333">
        <f t="shared" si="401"/>
        <v>11551.199999999999</v>
      </c>
      <c r="AS58" s="333">
        <f t="shared" si="402"/>
        <v>20551.2</v>
      </c>
      <c r="AT58" s="333">
        <f t="shared" si="403"/>
        <v>27000</v>
      </c>
      <c r="AU58" s="333">
        <f t="shared" si="404"/>
        <v>21897.600000000006</v>
      </c>
      <c r="AV58" s="346"/>
      <c r="AW58" s="346"/>
      <c r="AX58" s="346">
        <f t="shared" si="405"/>
        <v>0</v>
      </c>
      <c r="AY58" s="346">
        <f t="shared" si="405"/>
        <v>0</v>
      </c>
      <c r="AZ58" s="415">
        <f t="shared" si="405"/>
        <v>0</v>
      </c>
      <c r="BA58" s="346">
        <f t="shared" si="206"/>
        <v>0</v>
      </c>
      <c r="BB58" s="346">
        <f t="shared" si="405"/>
        <v>0</v>
      </c>
      <c r="BC58" s="346">
        <f t="shared" si="405"/>
        <v>0</v>
      </c>
      <c r="BD58" s="346">
        <f t="shared" si="405"/>
        <v>0</v>
      </c>
      <c r="BE58" s="346">
        <f t="shared" si="405"/>
        <v>0</v>
      </c>
      <c r="BF58" s="346">
        <f t="shared" si="405"/>
        <v>0</v>
      </c>
      <c r="BG58" s="346">
        <f t="shared" si="405"/>
        <v>0</v>
      </c>
      <c r="BH58" s="346">
        <f t="shared" si="405"/>
        <v>0</v>
      </c>
      <c r="BI58" s="346">
        <f t="shared" si="405"/>
        <v>0</v>
      </c>
      <c r="BJ58" s="346">
        <f t="shared" si="405"/>
        <v>0</v>
      </c>
      <c r="BK58" s="346">
        <f t="shared" si="405"/>
        <v>0</v>
      </c>
      <c r="BL58" s="346">
        <f t="shared" si="405"/>
        <v>81000</v>
      </c>
      <c r="BM58" s="346">
        <f t="shared" si="152"/>
        <v>0</v>
      </c>
      <c r="BN58" s="346">
        <f t="shared" si="361"/>
        <v>0</v>
      </c>
      <c r="BO58" s="346">
        <f t="shared" si="361"/>
        <v>0</v>
      </c>
      <c r="BP58" s="346">
        <f t="shared" si="361"/>
        <v>0</v>
      </c>
      <c r="BQ58" s="346">
        <f t="shared" si="361"/>
        <v>0</v>
      </c>
      <c r="BR58" s="370">
        <f t="shared" si="406"/>
        <v>0</v>
      </c>
      <c r="BS58" s="402">
        <f t="shared" si="154"/>
        <v>0</v>
      </c>
      <c r="BT58" s="402">
        <f t="shared" si="155"/>
        <v>0</v>
      </c>
    </row>
    <row r="59" spans="1:72" s="235" customFormat="1" ht="15" hidden="1" customHeight="1" x14ac:dyDescent="0.25">
      <c r="A59" s="422" t="s">
        <v>131</v>
      </c>
      <c r="B59" s="308" t="str">
        <f>VLOOKUP(A59,'DFP-Com'!$A$16:$B$50,2,1)</f>
        <v xml:space="preserve">     2.1.a  Tax and Customs</v>
      </c>
      <c r="C59" s="472" t="s">
        <v>407</v>
      </c>
      <c r="D59" s="415">
        <v>21060.53</v>
      </c>
      <c r="E59" s="344" t="s">
        <v>350</v>
      </c>
      <c r="F59" s="345"/>
      <c r="G59" s="345"/>
      <c r="H59" s="345"/>
      <c r="I59" s="345"/>
      <c r="J59" s="345"/>
      <c r="K59" s="345">
        <v>0</v>
      </c>
      <c r="L59" s="345">
        <v>0</v>
      </c>
      <c r="M59" s="345">
        <v>0</v>
      </c>
      <c r="N59" s="345">
        <v>0</v>
      </c>
      <c r="O59" s="345">
        <v>0</v>
      </c>
      <c r="P59" s="345">
        <v>0</v>
      </c>
      <c r="Q59" s="345">
        <v>0</v>
      </c>
      <c r="R59" s="345">
        <v>0</v>
      </c>
      <c r="S59" s="345">
        <v>0</v>
      </c>
      <c r="T59" s="418">
        <v>0</v>
      </c>
      <c r="U59" s="418">
        <v>0</v>
      </c>
      <c r="V59" s="418">
        <v>0.39268527430221367</v>
      </c>
      <c r="W59" s="418">
        <v>0.48508180943214629</v>
      </c>
      <c r="X59" s="418">
        <v>0.12223291626564005</v>
      </c>
      <c r="Y59" s="345"/>
      <c r="Z59" s="416">
        <f t="shared" si="385"/>
        <v>1</v>
      </c>
      <c r="AA59" s="344"/>
      <c r="AB59" s="344"/>
      <c r="AC59" s="346">
        <f t="shared" si="386"/>
        <v>0</v>
      </c>
      <c r="AD59" s="346">
        <f t="shared" si="387"/>
        <v>0</v>
      </c>
      <c r="AE59" s="346">
        <f t="shared" si="388"/>
        <v>0</v>
      </c>
      <c r="AF59" s="346">
        <f t="shared" si="389"/>
        <v>0</v>
      </c>
      <c r="AG59" s="346">
        <f t="shared" si="390"/>
        <v>0</v>
      </c>
      <c r="AH59" s="346">
        <f t="shared" si="391"/>
        <v>0</v>
      </c>
      <c r="AI59" s="415">
        <f t="shared" si="392"/>
        <v>0</v>
      </c>
      <c r="AJ59" s="415">
        <f t="shared" si="393"/>
        <v>0</v>
      </c>
      <c r="AK59" s="415">
        <f t="shared" si="394"/>
        <v>0</v>
      </c>
      <c r="AL59" s="415">
        <f t="shared" si="395"/>
        <v>0</v>
      </c>
      <c r="AM59" s="415">
        <f t="shared" si="396"/>
        <v>0</v>
      </c>
      <c r="AN59" s="415">
        <f t="shared" si="397"/>
        <v>0</v>
      </c>
      <c r="AO59" s="415">
        <f t="shared" si="398"/>
        <v>0</v>
      </c>
      <c r="AP59" s="415">
        <f t="shared" si="399"/>
        <v>0</v>
      </c>
      <c r="AQ59" s="333">
        <f t="shared" si="400"/>
        <v>0</v>
      </c>
      <c r="AR59" s="333">
        <f t="shared" si="401"/>
        <v>0</v>
      </c>
      <c r="AS59" s="333">
        <f t="shared" si="402"/>
        <v>8270.16</v>
      </c>
      <c r="AT59" s="333">
        <f t="shared" si="403"/>
        <v>10216.08</v>
      </c>
      <c r="AU59" s="333">
        <f t="shared" si="404"/>
        <v>2574.29</v>
      </c>
      <c r="AV59" s="346"/>
      <c r="AW59" s="346"/>
      <c r="AX59" s="346">
        <f t="shared" si="405"/>
        <v>0</v>
      </c>
      <c r="AY59" s="346">
        <f t="shared" si="405"/>
        <v>0</v>
      </c>
      <c r="AZ59" s="415">
        <f t="shared" si="405"/>
        <v>0</v>
      </c>
      <c r="BA59" s="346">
        <f t="shared" si="206"/>
        <v>0</v>
      </c>
      <c r="BB59" s="346">
        <f t="shared" si="405"/>
        <v>0</v>
      </c>
      <c r="BC59" s="346">
        <f t="shared" si="405"/>
        <v>0</v>
      </c>
      <c r="BD59" s="346">
        <f t="shared" si="405"/>
        <v>0</v>
      </c>
      <c r="BE59" s="346">
        <f t="shared" si="405"/>
        <v>0</v>
      </c>
      <c r="BF59" s="346">
        <f t="shared" si="405"/>
        <v>0</v>
      </c>
      <c r="BG59" s="346">
        <f t="shared" si="405"/>
        <v>0</v>
      </c>
      <c r="BH59" s="346">
        <f t="shared" si="405"/>
        <v>0</v>
      </c>
      <c r="BI59" s="346">
        <f t="shared" si="405"/>
        <v>0</v>
      </c>
      <c r="BJ59" s="346">
        <f t="shared" si="405"/>
        <v>0</v>
      </c>
      <c r="BK59" s="346">
        <f t="shared" si="405"/>
        <v>0</v>
      </c>
      <c r="BL59" s="346">
        <f t="shared" si="405"/>
        <v>0</v>
      </c>
      <c r="BM59" s="346">
        <f t="shared" si="152"/>
        <v>21060.53</v>
      </c>
      <c r="BN59" s="346">
        <f t="shared" si="361"/>
        <v>0</v>
      </c>
      <c r="BO59" s="346">
        <f t="shared" si="361"/>
        <v>0</v>
      </c>
      <c r="BP59" s="346">
        <f t="shared" si="361"/>
        <v>0</v>
      </c>
      <c r="BQ59" s="346">
        <f t="shared" si="361"/>
        <v>0</v>
      </c>
      <c r="BR59" s="370">
        <f t="shared" si="406"/>
        <v>0</v>
      </c>
      <c r="BS59" s="402">
        <f t="shared" si="154"/>
        <v>0</v>
      </c>
      <c r="BT59" s="402">
        <f t="shared" si="155"/>
        <v>0</v>
      </c>
    </row>
    <row r="60" spans="1:72" s="235" customFormat="1" ht="15" hidden="1" customHeight="1" x14ac:dyDescent="0.25">
      <c r="A60" s="422" t="s">
        <v>131</v>
      </c>
      <c r="B60" s="308" t="str">
        <f>VLOOKUP(A60,'DFP-Com'!$A$16:$B$50,2,1)</f>
        <v xml:space="preserve">     2.1.a  Tax and Customs</v>
      </c>
      <c r="C60" s="472" t="s">
        <v>408</v>
      </c>
      <c r="D60" s="415">
        <v>21060.53</v>
      </c>
      <c r="E60" s="344" t="s">
        <v>350</v>
      </c>
      <c r="F60" s="345"/>
      <c r="G60" s="345"/>
      <c r="H60" s="345"/>
      <c r="I60" s="345"/>
      <c r="J60" s="345"/>
      <c r="K60" s="345">
        <v>0</v>
      </c>
      <c r="L60" s="345">
        <v>0</v>
      </c>
      <c r="M60" s="345">
        <v>0</v>
      </c>
      <c r="N60" s="345">
        <v>0</v>
      </c>
      <c r="O60" s="345">
        <v>0</v>
      </c>
      <c r="P60" s="345">
        <v>0</v>
      </c>
      <c r="Q60" s="345">
        <v>0</v>
      </c>
      <c r="R60" s="345">
        <v>0</v>
      </c>
      <c r="S60" s="345">
        <v>0</v>
      </c>
      <c r="T60" s="418">
        <v>0</v>
      </c>
      <c r="U60" s="418">
        <v>0</v>
      </c>
      <c r="V60" s="418">
        <v>0.39268527430221367</v>
      </c>
      <c r="W60" s="418">
        <v>0.48508180943214629</v>
      </c>
      <c r="X60" s="418">
        <v>0.12223291626564005</v>
      </c>
      <c r="Y60" s="345"/>
      <c r="Z60" s="416">
        <f t="shared" ref="Z60" si="407">SUM(F60:X60)</f>
        <v>1</v>
      </c>
      <c r="AA60" s="344"/>
      <c r="AB60" s="344"/>
      <c r="AC60" s="346">
        <f t="shared" ref="AC60" si="408">F60*$D60</f>
        <v>0</v>
      </c>
      <c r="AD60" s="346">
        <f t="shared" ref="AD60" si="409">G60*$D60</f>
        <v>0</v>
      </c>
      <c r="AE60" s="346">
        <f t="shared" ref="AE60" si="410">H60*$D60</f>
        <v>0</v>
      </c>
      <c r="AF60" s="346">
        <f t="shared" ref="AF60" si="411">I60*$D60</f>
        <v>0</v>
      </c>
      <c r="AG60" s="346">
        <f t="shared" ref="AG60" si="412">J60*$D60</f>
        <v>0</v>
      </c>
      <c r="AH60" s="346">
        <f t="shared" ref="AH60" si="413">K60*$D60</f>
        <v>0</v>
      </c>
      <c r="AI60" s="415">
        <f t="shared" ref="AI60" si="414">L60*$D60</f>
        <v>0</v>
      </c>
      <c r="AJ60" s="415">
        <f t="shared" ref="AJ60" si="415">M60*$D60</f>
        <v>0</v>
      </c>
      <c r="AK60" s="415">
        <f t="shared" ref="AK60" si="416">N60*$D60</f>
        <v>0</v>
      </c>
      <c r="AL60" s="415">
        <f t="shared" ref="AL60" si="417">O60*$D60</f>
        <v>0</v>
      </c>
      <c r="AM60" s="415">
        <f t="shared" ref="AM60" si="418">P60*$D60</f>
        <v>0</v>
      </c>
      <c r="AN60" s="415">
        <f t="shared" ref="AN60" si="419">Q60*$D60</f>
        <v>0</v>
      </c>
      <c r="AO60" s="415">
        <f t="shared" ref="AO60" si="420">R60*$D60</f>
        <v>0</v>
      </c>
      <c r="AP60" s="415">
        <f t="shared" ref="AP60" si="421">S60*$D60</f>
        <v>0</v>
      </c>
      <c r="AQ60" s="333">
        <f t="shared" ref="AQ60" si="422">T60*$D60</f>
        <v>0</v>
      </c>
      <c r="AR60" s="333">
        <f t="shared" ref="AR60" si="423">U60*$D60</f>
        <v>0</v>
      </c>
      <c r="AS60" s="333">
        <f t="shared" ref="AS60" si="424">V60*$D60</f>
        <v>8270.16</v>
      </c>
      <c r="AT60" s="333">
        <f t="shared" ref="AT60" si="425">W60*$D60</f>
        <v>10216.08</v>
      </c>
      <c r="AU60" s="333">
        <f t="shared" ref="AU60" si="426">X60*$D60</f>
        <v>2574.29</v>
      </c>
      <c r="AV60" s="346"/>
      <c r="AW60" s="346"/>
      <c r="AX60" s="346">
        <f t="shared" si="405"/>
        <v>0</v>
      </c>
      <c r="AY60" s="346">
        <f t="shared" si="405"/>
        <v>0</v>
      </c>
      <c r="AZ60" s="415">
        <f t="shared" si="405"/>
        <v>0</v>
      </c>
      <c r="BA60" s="346">
        <f t="shared" si="206"/>
        <v>0</v>
      </c>
      <c r="BB60" s="346">
        <f t="shared" si="405"/>
        <v>0</v>
      </c>
      <c r="BC60" s="346">
        <f t="shared" si="405"/>
        <v>0</v>
      </c>
      <c r="BD60" s="346">
        <f t="shared" si="405"/>
        <v>0</v>
      </c>
      <c r="BE60" s="346">
        <f t="shared" si="405"/>
        <v>0</v>
      </c>
      <c r="BF60" s="346">
        <f t="shared" si="405"/>
        <v>0</v>
      </c>
      <c r="BG60" s="346">
        <f t="shared" si="405"/>
        <v>0</v>
      </c>
      <c r="BH60" s="346">
        <f t="shared" si="405"/>
        <v>0</v>
      </c>
      <c r="BI60" s="346">
        <f t="shared" si="405"/>
        <v>0</v>
      </c>
      <c r="BJ60" s="346">
        <f t="shared" si="405"/>
        <v>0</v>
      </c>
      <c r="BK60" s="346">
        <f t="shared" si="405"/>
        <v>0</v>
      </c>
      <c r="BL60" s="346">
        <f t="shared" si="405"/>
        <v>0</v>
      </c>
      <c r="BM60" s="346">
        <f t="shared" si="152"/>
        <v>21060.53</v>
      </c>
      <c r="BN60" s="346">
        <f t="shared" si="361"/>
        <v>0</v>
      </c>
      <c r="BO60" s="346">
        <f t="shared" si="361"/>
        <v>0</v>
      </c>
      <c r="BP60" s="346">
        <f t="shared" si="361"/>
        <v>0</v>
      </c>
      <c r="BQ60" s="346">
        <f t="shared" si="361"/>
        <v>0</v>
      </c>
      <c r="BR60" s="370">
        <f t="shared" ref="BR60" si="427">SUM(AC60:AV60)-SUM(AX60:BQ60)</f>
        <v>0</v>
      </c>
      <c r="BS60" s="402">
        <f t="shared" ref="BS60" si="428">D60-SUM(AX60:BQ60)</f>
        <v>0</v>
      </c>
      <c r="BT60" s="402">
        <f t="shared" ref="BT60" si="429">+D60-SUM(AC60:AV60)</f>
        <v>0</v>
      </c>
    </row>
    <row r="61" spans="1:72" s="235" customFormat="1" ht="15" hidden="1" customHeight="1" x14ac:dyDescent="0.25">
      <c r="A61" s="422" t="s">
        <v>131</v>
      </c>
      <c r="B61" s="308" t="str">
        <f>VLOOKUP(A61,'DFP-Com'!$A$16:$B$50,2,1)</f>
        <v xml:space="preserve">     2.1.a  Tax and Customs</v>
      </c>
      <c r="C61" s="344" t="s">
        <v>362</v>
      </c>
      <c r="D61" s="415">
        <v>0</v>
      </c>
      <c r="E61" s="344" t="s">
        <v>325</v>
      </c>
      <c r="F61" s="345"/>
      <c r="G61" s="345"/>
      <c r="H61" s="345"/>
      <c r="I61" s="345"/>
      <c r="J61" s="345"/>
      <c r="K61" s="345">
        <v>0</v>
      </c>
      <c r="L61" s="345">
        <v>0</v>
      </c>
      <c r="M61" s="345">
        <v>0</v>
      </c>
      <c r="N61" s="345">
        <v>0</v>
      </c>
      <c r="O61" s="345">
        <v>0</v>
      </c>
      <c r="P61" s="345">
        <v>0</v>
      </c>
      <c r="Q61" s="345">
        <v>0</v>
      </c>
      <c r="R61" s="345">
        <v>0</v>
      </c>
      <c r="S61" s="345">
        <v>0</v>
      </c>
      <c r="T61" s="418">
        <v>0</v>
      </c>
      <c r="U61" s="418">
        <v>0</v>
      </c>
      <c r="V61" s="418">
        <v>0</v>
      </c>
      <c r="W61" s="418">
        <v>0</v>
      </c>
      <c r="X61" s="418">
        <v>0</v>
      </c>
      <c r="Y61" s="345"/>
      <c r="Z61" s="416">
        <f t="shared" si="385"/>
        <v>0</v>
      </c>
      <c r="AA61" s="344"/>
      <c r="AB61" s="344"/>
      <c r="AC61" s="346">
        <f t="shared" si="386"/>
        <v>0</v>
      </c>
      <c r="AD61" s="346">
        <f t="shared" si="387"/>
        <v>0</v>
      </c>
      <c r="AE61" s="346">
        <f t="shared" si="388"/>
        <v>0</v>
      </c>
      <c r="AF61" s="346">
        <f t="shared" si="389"/>
        <v>0</v>
      </c>
      <c r="AG61" s="346">
        <f t="shared" si="390"/>
        <v>0</v>
      </c>
      <c r="AH61" s="346">
        <f t="shared" si="391"/>
        <v>0</v>
      </c>
      <c r="AI61" s="415">
        <f t="shared" si="392"/>
        <v>0</v>
      </c>
      <c r="AJ61" s="415">
        <f t="shared" si="393"/>
        <v>0</v>
      </c>
      <c r="AK61" s="415">
        <f t="shared" si="394"/>
        <v>0</v>
      </c>
      <c r="AL61" s="415">
        <f t="shared" si="395"/>
        <v>0</v>
      </c>
      <c r="AM61" s="415">
        <f t="shared" si="396"/>
        <v>0</v>
      </c>
      <c r="AN61" s="415">
        <f t="shared" si="397"/>
        <v>0</v>
      </c>
      <c r="AO61" s="415">
        <f t="shared" si="398"/>
        <v>0</v>
      </c>
      <c r="AP61" s="415">
        <f t="shared" si="399"/>
        <v>0</v>
      </c>
      <c r="AQ61" s="333">
        <f t="shared" si="400"/>
        <v>0</v>
      </c>
      <c r="AR61" s="333">
        <f t="shared" si="401"/>
        <v>0</v>
      </c>
      <c r="AS61" s="333">
        <f t="shared" si="402"/>
        <v>0</v>
      </c>
      <c r="AT61" s="333">
        <f t="shared" si="403"/>
        <v>0</v>
      </c>
      <c r="AU61" s="333">
        <f t="shared" si="404"/>
        <v>0</v>
      </c>
      <c r="AV61" s="346"/>
      <c r="AW61" s="346"/>
      <c r="AX61" s="346">
        <f t="shared" si="405"/>
        <v>0</v>
      </c>
      <c r="AY61" s="346">
        <f t="shared" si="405"/>
        <v>0</v>
      </c>
      <c r="AZ61" s="415">
        <f t="shared" si="405"/>
        <v>0</v>
      </c>
      <c r="BA61" s="346">
        <f t="shared" si="206"/>
        <v>0</v>
      </c>
      <c r="BB61" s="346">
        <f t="shared" si="405"/>
        <v>0</v>
      </c>
      <c r="BC61" s="346">
        <f t="shared" si="405"/>
        <v>0</v>
      </c>
      <c r="BD61" s="346">
        <f t="shared" si="405"/>
        <v>0</v>
      </c>
      <c r="BE61" s="346">
        <f t="shared" si="405"/>
        <v>0</v>
      </c>
      <c r="BF61" s="346">
        <f t="shared" si="405"/>
        <v>0</v>
      </c>
      <c r="BG61" s="346">
        <f t="shared" si="405"/>
        <v>0</v>
      </c>
      <c r="BH61" s="346">
        <f t="shared" si="405"/>
        <v>0</v>
      </c>
      <c r="BI61" s="346">
        <f t="shared" si="405"/>
        <v>0</v>
      </c>
      <c r="BJ61" s="346">
        <f t="shared" si="405"/>
        <v>0</v>
      </c>
      <c r="BK61" s="346">
        <f t="shared" si="405"/>
        <v>0</v>
      </c>
      <c r="BL61" s="346">
        <f t="shared" si="405"/>
        <v>0</v>
      </c>
      <c r="BM61" s="346">
        <f t="shared" si="152"/>
        <v>0</v>
      </c>
      <c r="BN61" s="346">
        <f t="shared" si="361"/>
        <v>0</v>
      </c>
      <c r="BO61" s="346">
        <f t="shared" si="361"/>
        <v>0</v>
      </c>
      <c r="BP61" s="346">
        <f t="shared" si="361"/>
        <v>0</v>
      </c>
      <c r="BQ61" s="346">
        <f t="shared" si="361"/>
        <v>0</v>
      </c>
      <c r="BR61" s="370">
        <f t="shared" si="406"/>
        <v>0</v>
      </c>
      <c r="BS61" s="402">
        <f t="shared" si="154"/>
        <v>0</v>
      </c>
      <c r="BT61" s="402">
        <f t="shared" si="155"/>
        <v>0</v>
      </c>
    </row>
    <row r="62" spans="1:72" s="235" customFormat="1" ht="15" hidden="1" customHeight="1" x14ac:dyDescent="0.25">
      <c r="A62" s="422" t="s">
        <v>131</v>
      </c>
      <c r="B62" s="308" t="str">
        <f>VLOOKUP(A62,'DFP-Com'!$A$16:$B$50,2,1)</f>
        <v xml:space="preserve">     2.1.a  Tax and Customs</v>
      </c>
      <c r="C62" s="344" t="s">
        <v>364</v>
      </c>
      <c r="D62" s="415">
        <v>24979.5</v>
      </c>
      <c r="E62" s="344" t="s">
        <v>325</v>
      </c>
      <c r="F62" s="345"/>
      <c r="G62" s="345"/>
      <c r="H62" s="345"/>
      <c r="I62" s="345"/>
      <c r="J62" s="345"/>
      <c r="K62" s="345">
        <v>0</v>
      </c>
      <c r="L62" s="345">
        <v>0</v>
      </c>
      <c r="M62" s="345">
        <v>0</v>
      </c>
      <c r="N62" s="345">
        <v>0</v>
      </c>
      <c r="O62" s="345">
        <v>0</v>
      </c>
      <c r="P62" s="345">
        <v>0</v>
      </c>
      <c r="Q62" s="345">
        <v>0</v>
      </c>
      <c r="R62" s="345">
        <v>0</v>
      </c>
      <c r="S62" s="345">
        <v>0</v>
      </c>
      <c r="T62" s="418">
        <v>0</v>
      </c>
      <c r="U62" s="418">
        <v>0</v>
      </c>
      <c r="V62" s="418">
        <v>0.361025641025641</v>
      </c>
      <c r="W62" s="418">
        <v>0.51692307692307693</v>
      </c>
      <c r="X62" s="418">
        <v>0.12205128205128206</v>
      </c>
      <c r="Y62" s="345"/>
      <c r="Z62" s="416">
        <f t="shared" ref="Z62" si="430">SUM(F62:X62)</f>
        <v>1</v>
      </c>
      <c r="AA62" s="344"/>
      <c r="AB62" s="344"/>
      <c r="AC62" s="346">
        <f t="shared" ref="AC62" si="431">F62*$D62</f>
        <v>0</v>
      </c>
      <c r="AD62" s="346">
        <f t="shared" ref="AD62" si="432">G62*$D62</f>
        <v>0</v>
      </c>
      <c r="AE62" s="346">
        <f t="shared" ref="AE62" si="433">H62*$D62</f>
        <v>0</v>
      </c>
      <c r="AF62" s="346">
        <f t="shared" ref="AF62" si="434">I62*$D62</f>
        <v>0</v>
      </c>
      <c r="AG62" s="346">
        <f t="shared" ref="AG62" si="435">J62*$D62</f>
        <v>0</v>
      </c>
      <c r="AH62" s="346">
        <f t="shared" ref="AH62" si="436">K62*$D62</f>
        <v>0</v>
      </c>
      <c r="AI62" s="415">
        <f t="shared" ref="AI62" si="437">L62*$D62</f>
        <v>0</v>
      </c>
      <c r="AJ62" s="415">
        <f t="shared" ref="AJ62" si="438">M62*$D62</f>
        <v>0</v>
      </c>
      <c r="AK62" s="415">
        <f t="shared" ref="AK62" si="439">N62*$D62</f>
        <v>0</v>
      </c>
      <c r="AL62" s="415">
        <f t="shared" ref="AL62" si="440">O62*$D62</f>
        <v>0</v>
      </c>
      <c r="AM62" s="415">
        <f t="shared" ref="AM62" si="441">P62*$D62</f>
        <v>0</v>
      </c>
      <c r="AN62" s="415">
        <f t="shared" ref="AN62" si="442">Q62*$D62</f>
        <v>0</v>
      </c>
      <c r="AO62" s="415">
        <f t="shared" ref="AO62" si="443">R62*$D62</f>
        <v>0</v>
      </c>
      <c r="AP62" s="415">
        <f t="shared" ref="AP62" si="444">S62*$D62</f>
        <v>0</v>
      </c>
      <c r="AQ62" s="333">
        <f t="shared" ref="AQ62" si="445">T62*$D62</f>
        <v>0</v>
      </c>
      <c r="AR62" s="333">
        <f t="shared" ref="AR62" si="446">U62*$D62</f>
        <v>0</v>
      </c>
      <c r="AS62" s="333">
        <f t="shared" ref="AS62" si="447">V62*$D62</f>
        <v>9018.24</v>
      </c>
      <c r="AT62" s="333">
        <f t="shared" ref="AT62" si="448">W62*$D62</f>
        <v>12912.48</v>
      </c>
      <c r="AU62" s="333">
        <f t="shared" ref="AU62" si="449">X62*$D62</f>
        <v>3048.78</v>
      </c>
      <c r="AV62" s="346"/>
      <c r="AW62" s="346"/>
      <c r="AX62" s="346">
        <f t="shared" si="405"/>
        <v>0</v>
      </c>
      <c r="AY62" s="346">
        <f t="shared" si="405"/>
        <v>0</v>
      </c>
      <c r="AZ62" s="415">
        <f t="shared" si="405"/>
        <v>0</v>
      </c>
      <c r="BA62" s="346">
        <f t="shared" si="206"/>
        <v>0</v>
      </c>
      <c r="BB62" s="346">
        <f t="shared" si="405"/>
        <v>0</v>
      </c>
      <c r="BC62" s="346">
        <f t="shared" si="405"/>
        <v>0</v>
      </c>
      <c r="BD62" s="346">
        <f t="shared" si="405"/>
        <v>0</v>
      </c>
      <c r="BE62" s="346">
        <f t="shared" si="405"/>
        <v>0</v>
      </c>
      <c r="BF62" s="346">
        <f t="shared" si="405"/>
        <v>0</v>
      </c>
      <c r="BG62" s="346">
        <f t="shared" si="405"/>
        <v>0</v>
      </c>
      <c r="BH62" s="346">
        <f t="shared" si="405"/>
        <v>0</v>
      </c>
      <c r="BI62" s="346">
        <f t="shared" si="405"/>
        <v>0</v>
      </c>
      <c r="BJ62" s="346">
        <f t="shared" si="405"/>
        <v>0</v>
      </c>
      <c r="BK62" s="346">
        <f t="shared" si="405"/>
        <v>0</v>
      </c>
      <c r="BL62" s="346">
        <f t="shared" si="405"/>
        <v>0</v>
      </c>
      <c r="BM62" s="346">
        <f t="shared" si="152"/>
        <v>0</v>
      </c>
      <c r="BN62" s="346">
        <f t="shared" si="361"/>
        <v>24979.5</v>
      </c>
      <c r="BO62" s="346">
        <f t="shared" si="361"/>
        <v>0</v>
      </c>
      <c r="BP62" s="346">
        <f t="shared" si="361"/>
        <v>0</v>
      </c>
      <c r="BQ62" s="346">
        <f t="shared" si="361"/>
        <v>0</v>
      </c>
      <c r="BR62" s="370">
        <f t="shared" ref="BR62" si="450">SUM(AC62:AV62)-SUM(AX62:BQ62)</f>
        <v>0</v>
      </c>
      <c r="BS62" s="402">
        <f t="shared" si="154"/>
        <v>0</v>
      </c>
      <c r="BT62" s="402">
        <f t="shared" si="155"/>
        <v>0</v>
      </c>
    </row>
    <row r="63" spans="1:72" s="235" customFormat="1" ht="15" hidden="1" customHeight="1" x14ac:dyDescent="0.25">
      <c r="A63" s="422" t="s">
        <v>131</v>
      </c>
      <c r="B63" s="308" t="str">
        <f>VLOOKUP(A63,'DFP-Com'!$A$16:$B$50,2,1)</f>
        <v xml:space="preserve">     2.1.a  Tax and Customs</v>
      </c>
      <c r="C63" s="344" t="s">
        <v>365</v>
      </c>
      <c r="D63" s="415">
        <v>50000</v>
      </c>
      <c r="E63" s="344" t="s">
        <v>325</v>
      </c>
      <c r="F63" s="345"/>
      <c r="G63" s="345"/>
      <c r="H63" s="345"/>
      <c r="I63" s="345"/>
      <c r="J63" s="345"/>
      <c r="K63" s="345">
        <v>0</v>
      </c>
      <c r="L63" s="345">
        <v>0</v>
      </c>
      <c r="M63" s="345">
        <v>0</v>
      </c>
      <c r="N63" s="345">
        <v>0</v>
      </c>
      <c r="O63" s="345">
        <v>0</v>
      </c>
      <c r="P63" s="345">
        <v>0</v>
      </c>
      <c r="Q63" s="345">
        <v>0</v>
      </c>
      <c r="R63" s="345">
        <v>0</v>
      </c>
      <c r="S63" s="345">
        <v>0</v>
      </c>
      <c r="T63" s="418">
        <v>0</v>
      </c>
      <c r="U63" s="418">
        <v>0</v>
      </c>
      <c r="V63" s="418">
        <v>0.4</v>
      </c>
      <c r="W63" s="418">
        <v>0.6</v>
      </c>
      <c r="X63" s="418">
        <v>0</v>
      </c>
      <c r="Y63" s="345"/>
      <c r="Z63" s="416">
        <f t="shared" ref="Z63" si="451">SUM(F63:X63)</f>
        <v>1</v>
      </c>
      <c r="AA63" s="344"/>
      <c r="AB63" s="344"/>
      <c r="AC63" s="346">
        <f t="shared" ref="AC63" si="452">F63*$D63</f>
        <v>0</v>
      </c>
      <c r="AD63" s="346">
        <f t="shared" ref="AD63" si="453">G63*$D63</f>
        <v>0</v>
      </c>
      <c r="AE63" s="346">
        <f t="shared" ref="AE63" si="454">H63*$D63</f>
        <v>0</v>
      </c>
      <c r="AF63" s="346">
        <f t="shared" ref="AF63" si="455">I63*$D63</f>
        <v>0</v>
      </c>
      <c r="AG63" s="346">
        <f t="shared" ref="AG63" si="456">J63*$D63</f>
        <v>0</v>
      </c>
      <c r="AH63" s="346">
        <f t="shared" ref="AH63" si="457">K63*$D63</f>
        <v>0</v>
      </c>
      <c r="AI63" s="415">
        <f t="shared" ref="AI63" si="458">L63*$D63</f>
        <v>0</v>
      </c>
      <c r="AJ63" s="415">
        <f t="shared" ref="AJ63" si="459">M63*$D63</f>
        <v>0</v>
      </c>
      <c r="AK63" s="415">
        <f t="shared" ref="AK63" si="460">N63*$D63</f>
        <v>0</v>
      </c>
      <c r="AL63" s="415">
        <f t="shared" ref="AL63" si="461">O63*$D63</f>
        <v>0</v>
      </c>
      <c r="AM63" s="415">
        <f t="shared" ref="AM63" si="462">P63*$D63</f>
        <v>0</v>
      </c>
      <c r="AN63" s="415">
        <f t="shared" ref="AN63" si="463">Q63*$D63</f>
        <v>0</v>
      </c>
      <c r="AO63" s="415">
        <f t="shared" ref="AO63" si="464">R63*$D63</f>
        <v>0</v>
      </c>
      <c r="AP63" s="415">
        <f t="shared" ref="AP63" si="465">S63*$D63</f>
        <v>0</v>
      </c>
      <c r="AQ63" s="333">
        <f t="shared" ref="AQ63" si="466">T63*$D63</f>
        <v>0</v>
      </c>
      <c r="AR63" s="333">
        <f t="shared" ref="AR63" si="467">U63*$D63</f>
        <v>0</v>
      </c>
      <c r="AS63" s="333">
        <f t="shared" ref="AS63" si="468">V63*$D63</f>
        <v>20000</v>
      </c>
      <c r="AT63" s="333">
        <f t="shared" ref="AT63" si="469">W63*$D63</f>
        <v>30000</v>
      </c>
      <c r="AU63" s="333">
        <f t="shared" ref="AU63" si="470">X63*$D63</f>
        <v>0</v>
      </c>
      <c r="AV63" s="346"/>
      <c r="AW63" s="346"/>
      <c r="AX63" s="346">
        <f t="shared" si="405"/>
        <v>0</v>
      </c>
      <c r="AY63" s="346">
        <f t="shared" si="405"/>
        <v>0</v>
      </c>
      <c r="AZ63" s="415">
        <f t="shared" si="405"/>
        <v>0</v>
      </c>
      <c r="BA63" s="346">
        <f t="shared" si="206"/>
        <v>0</v>
      </c>
      <c r="BB63" s="346">
        <f t="shared" si="405"/>
        <v>0</v>
      </c>
      <c r="BC63" s="346">
        <f t="shared" si="405"/>
        <v>0</v>
      </c>
      <c r="BD63" s="346">
        <f t="shared" si="405"/>
        <v>0</v>
      </c>
      <c r="BE63" s="346">
        <f t="shared" si="405"/>
        <v>0</v>
      </c>
      <c r="BF63" s="346">
        <f t="shared" si="405"/>
        <v>0</v>
      </c>
      <c r="BG63" s="346">
        <f t="shared" si="405"/>
        <v>0</v>
      </c>
      <c r="BH63" s="346">
        <f t="shared" si="405"/>
        <v>0</v>
      </c>
      <c r="BI63" s="346">
        <f t="shared" si="405"/>
        <v>0</v>
      </c>
      <c r="BJ63" s="346">
        <f t="shared" si="405"/>
        <v>0</v>
      </c>
      <c r="BK63" s="346">
        <f t="shared" si="405"/>
        <v>0</v>
      </c>
      <c r="BL63" s="346">
        <f t="shared" si="405"/>
        <v>0</v>
      </c>
      <c r="BM63" s="346">
        <f t="shared" si="152"/>
        <v>0</v>
      </c>
      <c r="BN63" s="346">
        <f t="shared" si="361"/>
        <v>50000</v>
      </c>
      <c r="BO63" s="346">
        <f t="shared" si="361"/>
        <v>0</v>
      </c>
      <c r="BP63" s="346">
        <f t="shared" si="361"/>
        <v>0</v>
      </c>
      <c r="BQ63" s="346">
        <f t="shared" si="361"/>
        <v>0</v>
      </c>
      <c r="BR63" s="370">
        <f t="shared" ref="BR63" si="471">SUM(AC63:AV63)-SUM(AX63:BQ63)</f>
        <v>0</v>
      </c>
      <c r="BS63" s="402">
        <f t="shared" si="154"/>
        <v>0</v>
      </c>
      <c r="BT63" s="402">
        <f t="shared" si="155"/>
        <v>0</v>
      </c>
    </row>
    <row r="64" spans="1:72" s="235" customFormat="1" ht="15" hidden="1" customHeight="1" x14ac:dyDescent="0.25">
      <c r="A64" s="422" t="s">
        <v>131</v>
      </c>
      <c r="B64" s="308" t="str">
        <f>VLOOKUP(A64,'DFP-Com'!$A$16:$B$50,2,1)</f>
        <v xml:space="preserve">     2.1.a  Tax and Customs</v>
      </c>
      <c r="C64" s="344" t="s">
        <v>333</v>
      </c>
      <c r="D64" s="415">
        <v>5000</v>
      </c>
      <c r="E64" s="344" t="s">
        <v>325</v>
      </c>
      <c r="F64" s="345"/>
      <c r="G64" s="345"/>
      <c r="H64" s="345"/>
      <c r="I64" s="345"/>
      <c r="J64" s="345"/>
      <c r="K64" s="345">
        <v>0</v>
      </c>
      <c r="L64" s="345">
        <v>0</v>
      </c>
      <c r="M64" s="345">
        <v>0</v>
      </c>
      <c r="N64" s="345">
        <v>0</v>
      </c>
      <c r="O64" s="345">
        <v>0</v>
      </c>
      <c r="P64" s="345">
        <v>0</v>
      </c>
      <c r="Q64" s="345">
        <v>0</v>
      </c>
      <c r="R64" s="345">
        <v>0</v>
      </c>
      <c r="S64" s="345">
        <v>0</v>
      </c>
      <c r="T64" s="418">
        <v>0</v>
      </c>
      <c r="U64" s="418">
        <v>0</v>
      </c>
      <c r="V64" s="418">
        <v>1</v>
      </c>
      <c r="W64" s="418">
        <v>0</v>
      </c>
      <c r="X64" s="418">
        <v>0</v>
      </c>
      <c r="Y64" s="345">
        <v>0</v>
      </c>
      <c r="Z64" s="416">
        <f>SUM(F64:Y64)</f>
        <v>1</v>
      </c>
      <c r="AA64" s="344"/>
      <c r="AB64" s="344"/>
      <c r="AC64" s="346">
        <f t="shared" ref="AC64" si="472">F64*$D64</f>
        <v>0</v>
      </c>
      <c r="AD64" s="346">
        <f t="shared" ref="AD64" si="473">G64*$D64</f>
        <v>0</v>
      </c>
      <c r="AE64" s="346">
        <f t="shared" ref="AE64" si="474">H64*$D64</f>
        <v>0</v>
      </c>
      <c r="AF64" s="346">
        <f t="shared" ref="AF64" si="475">I64*$D64</f>
        <v>0</v>
      </c>
      <c r="AG64" s="346">
        <f t="shared" ref="AG64" si="476">J64*$D64</f>
        <v>0</v>
      </c>
      <c r="AH64" s="346">
        <f t="shared" ref="AH64" si="477">K64*$D64</f>
        <v>0</v>
      </c>
      <c r="AI64" s="415">
        <f t="shared" ref="AI64" si="478">L64*$D64</f>
        <v>0</v>
      </c>
      <c r="AJ64" s="415">
        <f t="shared" ref="AJ64" si="479">M64*$D64</f>
        <v>0</v>
      </c>
      <c r="AK64" s="415">
        <f t="shared" ref="AK64" si="480">N64*$D64</f>
        <v>0</v>
      </c>
      <c r="AL64" s="415">
        <f t="shared" ref="AL64" si="481">O64*$D64</f>
        <v>0</v>
      </c>
      <c r="AM64" s="415">
        <f t="shared" ref="AM64" si="482">P64*$D64</f>
        <v>0</v>
      </c>
      <c r="AN64" s="415">
        <f t="shared" ref="AN64" si="483">Q64*$D64</f>
        <v>0</v>
      </c>
      <c r="AO64" s="415">
        <f t="shared" ref="AO64" si="484">R64*$D64</f>
        <v>0</v>
      </c>
      <c r="AP64" s="415">
        <f t="shared" ref="AP64" si="485">S64*$D64</f>
        <v>0</v>
      </c>
      <c r="AQ64" s="333">
        <f t="shared" ref="AQ64" si="486">T64*$D64</f>
        <v>0</v>
      </c>
      <c r="AR64" s="333">
        <f t="shared" ref="AR64" si="487">U64*$D64</f>
        <v>0</v>
      </c>
      <c r="AS64" s="333">
        <f t="shared" ref="AS64" si="488">V64*$D64</f>
        <v>5000</v>
      </c>
      <c r="AT64" s="333">
        <f t="shared" ref="AT64" si="489">W64*$D64</f>
        <v>0</v>
      </c>
      <c r="AU64" s="333">
        <f t="shared" ref="AU64" si="490">X64*$D64</f>
        <v>0</v>
      </c>
      <c r="AV64" s="346"/>
      <c r="AW64" s="346"/>
      <c r="AX64" s="346">
        <f t="shared" si="405"/>
        <v>0</v>
      </c>
      <c r="AY64" s="346">
        <f t="shared" si="405"/>
        <v>0</v>
      </c>
      <c r="AZ64" s="415">
        <f t="shared" si="405"/>
        <v>0</v>
      </c>
      <c r="BA64" s="346">
        <f t="shared" si="206"/>
        <v>0</v>
      </c>
      <c r="BB64" s="346">
        <f t="shared" si="405"/>
        <v>0</v>
      </c>
      <c r="BC64" s="346">
        <f t="shared" si="405"/>
        <v>0</v>
      </c>
      <c r="BD64" s="346">
        <f t="shared" si="405"/>
        <v>0</v>
      </c>
      <c r="BE64" s="346">
        <f t="shared" si="405"/>
        <v>0</v>
      </c>
      <c r="BF64" s="346">
        <f t="shared" si="405"/>
        <v>0</v>
      </c>
      <c r="BG64" s="346">
        <f t="shared" si="405"/>
        <v>0</v>
      </c>
      <c r="BH64" s="346">
        <f t="shared" si="405"/>
        <v>0</v>
      </c>
      <c r="BI64" s="346">
        <f t="shared" si="405"/>
        <v>0</v>
      </c>
      <c r="BJ64" s="346">
        <f t="shared" si="405"/>
        <v>0</v>
      </c>
      <c r="BK64" s="346">
        <f t="shared" si="405"/>
        <v>0</v>
      </c>
      <c r="BL64" s="346">
        <f t="shared" si="405"/>
        <v>0</v>
      </c>
      <c r="BM64" s="346">
        <f t="shared" si="152"/>
        <v>0</v>
      </c>
      <c r="BN64" s="346">
        <f t="shared" si="361"/>
        <v>5000</v>
      </c>
      <c r="BO64" s="346">
        <f t="shared" si="361"/>
        <v>0</v>
      </c>
      <c r="BP64" s="346">
        <f t="shared" si="361"/>
        <v>0</v>
      </c>
      <c r="BQ64" s="346">
        <f t="shared" si="361"/>
        <v>0</v>
      </c>
      <c r="BR64" s="370">
        <f t="shared" ref="BR64" si="491">SUM(AC64:AV64)-SUM(AX64:BQ64)</f>
        <v>0</v>
      </c>
      <c r="BS64" s="402">
        <f t="shared" si="154"/>
        <v>0</v>
      </c>
      <c r="BT64" s="402">
        <f t="shared" si="155"/>
        <v>0</v>
      </c>
    </row>
    <row r="65" spans="1:72" s="235" customFormat="1" ht="15" hidden="1" customHeight="1" x14ac:dyDescent="0.25">
      <c r="A65" s="235" t="s">
        <v>131</v>
      </c>
      <c r="B65" s="308" t="str">
        <f>VLOOKUP(A65,'DFP-Com'!$A$16:$B$50,2,1)</f>
        <v xml:space="preserve">     2.1.a  Tax and Customs</v>
      </c>
      <c r="C65" s="344" t="s">
        <v>367</v>
      </c>
      <c r="D65" s="415">
        <v>35002.5</v>
      </c>
      <c r="E65" s="344" t="s">
        <v>204</v>
      </c>
      <c r="F65" s="345"/>
      <c r="G65" s="345"/>
      <c r="H65" s="345"/>
      <c r="I65" s="345"/>
      <c r="J65" s="345"/>
      <c r="K65" s="345">
        <v>0</v>
      </c>
      <c r="L65" s="345">
        <v>0</v>
      </c>
      <c r="M65" s="345">
        <v>0</v>
      </c>
      <c r="N65" s="345">
        <v>0</v>
      </c>
      <c r="O65" s="345">
        <v>0</v>
      </c>
      <c r="P65" s="345">
        <v>0</v>
      </c>
      <c r="Q65" s="345">
        <v>0</v>
      </c>
      <c r="R65" s="345">
        <v>0</v>
      </c>
      <c r="S65" s="345">
        <v>0</v>
      </c>
      <c r="T65" s="418">
        <v>0.16</v>
      </c>
      <c r="U65" s="418">
        <v>0.26256410256410256</v>
      </c>
      <c r="V65" s="418">
        <v>0.26666666666666666</v>
      </c>
      <c r="W65" s="418">
        <v>0.25846153846153846</v>
      </c>
      <c r="X65" s="418">
        <v>5.2307692307692555E-2</v>
      </c>
      <c r="Y65" s="345"/>
      <c r="Z65" s="416">
        <f t="shared" si="364"/>
        <v>1.0000000000000004</v>
      </c>
      <c r="AA65" s="344"/>
      <c r="AB65" s="344"/>
      <c r="AC65" s="346">
        <f t="shared" si="365"/>
        <v>0</v>
      </c>
      <c r="AD65" s="346">
        <f t="shared" si="366"/>
        <v>0</v>
      </c>
      <c r="AE65" s="346">
        <f t="shared" si="367"/>
        <v>0</v>
      </c>
      <c r="AF65" s="346">
        <f t="shared" si="368"/>
        <v>0</v>
      </c>
      <c r="AG65" s="346">
        <f t="shared" si="369"/>
        <v>0</v>
      </c>
      <c r="AH65" s="346">
        <f t="shared" si="370"/>
        <v>0</v>
      </c>
      <c r="AI65" s="415">
        <f t="shared" si="371"/>
        <v>0</v>
      </c>
      <c r="AJ65" s="415">
        <f t="shared" si="372"/>
        <v>0</v>
      </c>
      <c r="AK65" s="415">
        <f t="shared" si="373"/>
        <v>0</v>
      </c>
      <c r="AL65" s="415">
        <f t="shared" si="374"/>
        <v>0</v>
      </c>
      <c r="AM65" s="415">
        <f t="shared" si="375"/>
        <v>0</v>
      </c>
      <c r="AN65" s="415">
        <f t="shared" si="376"/>
        <v>0</v>
      </c>
      <c r="AO65" s="415">
        <f t="shared" si="377"/>
        <v>0</v>
      </c>
      <c r="AP65" s="415">
        <f t="shared" si="378"/>
        <v>0</v>
      </c>
      <c r="AQ65" s="333">
        <f t="shared" si="379"/>
        <v>5600.4000000000005</v>
      </c>
      <c r="AR65" s="333">
        <f t="shared" si="380"/>
        <v>9190.4</v>
      </c>
      <c r="AS65" s="333">
        <f t="shared" si="381"/>
        <v>9334</v>
      </c>
      <c r="AT65" s="333">
        <f t="shared" si="382"/>
        <v>9046.7999999999993</v>
      </c>
      <c r="AU65" s="333">
        <f t="shared" si="383"/>
        <v>1830.9000000000087</v>
      </c>
      <c r="AV65" s="346"/>
      <c r="AW65" s="346"/>
      <c r="AX65" s="346">
        <f t="shared" si="17"/>
        <v>0</v>
      </c>
      <c r="AY65" s="346">
        <f t="shared" si="17"/>
        <v>0</v>
      </c>
      <c r="AZ65" s="415">
        <f t="shared" si="17"/>
        <v>0</v>
      </c>
      <c r="BA65" s="346">
        <f t="shared" si="206"/>
        <v>0</v>
      </c>
      <c r="BB65" s="346">
        <f t="shared" si="17"/>
        <v>0</v>
      </c>
      <c r="BC65" s="346">
        <f t="shared" si="17"/>
        <v>0</v>
      </c>
      <c r="BD65" s="346">
        <f t="shared" si="17"/>
        <v>0</v>
      </c>
      <c r="BE65" s="346">
        <f t="shared" si="17"/>
        <v>0</v>
      </c>
      <c r="BF65" s="346">
        <f t="shared" si="17"/>
        <v>0</v>
      </c>
      <c r="BG65" s="346">
        <f t="shared" si="17"/>
        <v>0</v>
      </c>
      <c r="BH65" s="346">
        <f t="shared" si="17"/>
        <v>0</v>
      </c>
      <c r="BI65" s="346">
        <f t="shared" si="17"/>
        <v>0</v>
      </c>
      <c r="BJ65" s="346">
        <f t="shared" si="17"/>
        <v>0</v>
      </c>
      <c r="BK65" s="346">
        <f t="shared" si="17"/>
        <v>0</v>
      </c>
      <c r="BL65" s="346">
        <f t="shared" si="17"/>
        <v>35002.5</v>
      </c>
      <c r="BM65" s="346">
        <f t="shared" si="152"/>
        <v>0</v>
      </c>
      <c r="BN65" s="346">
        <f t="shared" si="361"/>
        <v>0</v>
      </c>
      <c r="BO65" s="346">
        <f t="shared" si="361"/>
        <v>0</v>
      </c>
      <c r="BP65" s="346">
        <f t="shared" si="361"/>
        <v>0</v>
      </c>
      <c r="BQ65" s="346">
        <f t="shared" si="361"/>
        <v>0</v>
      </c>
      <c r="BR65" s="370">
        <f t="shared" si="384"/>
        <v>0</v>
      </c>
      <c r="BS65" s="402">
        <f t="shared" si="154"/>
        <v>0</v>
      </c>
      <c r="BT65" s="402">
        <f t="shared" si="155"/>
        <v>0</v>
      </c>
    </row>
    <row r="66" spans="1:72" s="235" customFormat="1" ht="15" hidden="1" customHeight="1" x14ac:dyDescent="0.25">
      <c r="A66" s="235" t="s">
        <v>132</v>
      </c>
      <c r="B66" s="347" t="str">
        <f>VLOOKUP(A66,'DFP-Com'!$A$16:$B$50,2,1)</f>
        <v xml:space="preserve">     2.2.a  Advisors</v>
      </c>
      <c r="C66" s="344" t="s">
        <v>240</v>
      </c>
      <c r="D66" s="421">
        <v>61250</v>
      </c>
      <c r="E66" s="417" t="s">
        <v>191</v>
      </c>
      <c r="F66" s="345"/>
      <c r="G66" s="345">
        <v>0</v>
      </c>
      <c r="H66" s="345">
        <v>0.4</v>
      </c>
      <c r="I66" s="345">
        <v>0.6</v>
      </c>
      <c r="J66" s="345">
        <v>0</v>
      </c>
      <c r="K66" s="345"/>
      <c r="L66" s="345"/>
      <c r="M66" s="345"/>
      <c r="N66" s="345"/>
      <c r="O66" s="345"/>
      <c r="P66" s="345"/>
      <c r="Q66" s="345"/>
      <c r="R66" s="417"/>
      <c r="S66" s="417"/>
      <c r="T66" s="417"/>
      <c r="U66" s="417"/>
      <c r="V66" s="417"/>
      <c r="W66" s="417"/>
      <c r="X66" s="417"/>
      <c r="Y66" s="417"/>
      <c r="Z66" s="416">
        <f>SUM(F66:X66)</f>
        <v>1</v>
      </c>
      <c r="AA66" s="344"/>
      <c r="AB66" s="344"/>
      <c r="AC66" s="415">
        <f t="shared" ref="AC66:AF67" si="492">F66*$D66</f>
        <v>0</v>
      </c>
      <c r="AD66" s="415">
        <f t="shared" si="492"/>
        <v>0</v>
      </c>
      <c r="AE66" s="415">
        <f t="shared" si="492"/>
        <v>24500</v>
      </c>
      <c r="AF66" s="415">
        <f t="shared" si="492"/>
        <v>36750</v>
      </c>
      <c r="AG66" s="415">
        <f t="shared" ref="AG66:AH67" si="493">J66*$D66</f>
        <v>0</v>
      </c>
      <c r="AH66" s="415">
        <f t="shared" si="493"/>
        <v>0</v>
      </c>
      <c r="AI66" s="415">
        <f>L66*$D66</f>
        <v>0</v>
      </c>
      <c r="AJ66" s="415">
        <f>M66*$D66</f>
        <v>0</v>
      </c>
      <c r="AK66" s="415">
        <f t="shared" ref="AK66:AK77" si="494">N66*$D66</f>
        <v>0</v>
      </c>
      <c r="AL66" s="415">
        <f>O66*$D66</f>
        <v>0</v>
      </c>
      <c r="AM66" s="423">
        <f t="shared" si="8"/>
        <v>0</v>
      </c>
      <c r="AN66" s="346">
        <f t="shared" si="9"/>
        <v>0</v>
      </c>
      <c r="AO66" s="346">
        <f t="shared" si="10"/>
        <v>0</v>
      </c>
      <c r="AP66" s="346">
        <f t="shared" si="11"/>
        <v>0</v>
      </c>
      <c r="AQ66" s="346">
        <f t="shared" si="12"/>
        <v>0</v>
      </c>
      <c r="AR66" s="346">
        <f t="shared" si="13"/>
        <v>0</v>
      </c>
      <c r="AS66" s="346">
        <f t="shared" si="14"/>
        <v>0</v>
      </c>
      <c r="AT66" s="346">
        <f t="shared" si="15"/>
        <v>0</v>
      </c>
      <c r="AU66" s="346">
        <f t="shared" si="16"/>
        <v>0</v>
      </c>
      <c r="AV66" s="346"/>
      <c r="AW66" s="346"/>
      <c r="AX66" s="346">
        <f t="shared" ref="AX66:BG67" si="495">IF(AX$3=$E66,$D66,0)</f>
        <v>0</v>
      </c>
      <c r="AY66" s="346">
        <f t="shared" si="495"/>
        <v>61250</v>
      </c>
      <c r="AZ66" s="346">
        <f t="shared" si="495"/>
        <v>0</v>
      </c>
      <c r="BA66" s="346">
        <f t="shared" si="495"/>
        <v>0</v>
      </c>
      <c r="BB66" s="346">
        <f t="shared" si="495"/>
        <v>0</v>
      </c>
      <c r="BC66" s="346">
        <f t="shared" si="495"/>
        <v>0</v>
      </c>
      <c r="BD66" s="346">
        <f t="shared" si="495"/>
        <v>0</v>
      </c>
      <c r="BE66" s="346">
        <f t="shared" si="495"/>
        <v>0</v>
      </c>
      <c r="BF66" s="346">
        <f t="shared" si="495"/>
        <v>0</v>
      </c>
      <c r="BG66" s="346">
        <f t="shared" si="495"/>
        <v>0</v>
      </c>
      <c r="BH66" s="346">
        <f t="shared" ref="BH66:BQ67" si="496">IF(BH$3=$E66,$D66,0)</f>
        <v>0</v>
      </c>
      <c r="BI66" s="346">
        <f t="shared" si="496"/>
        <v>0</v>
      </c>
      <c r="BJ66" s="346">
        <f t="shared" si="496"/>
        <v>0</v>
      </c>
      <c r="BK66" s="346">
        <f t="shared" si="496"/>
        <v>0</v>
      </c>
      <c r="BL66" s="346">
        <f t="shared" si="496"/>
        <v>0</v>
      </c>
      <c r="BM66" s="346">
        <f t="shared" si="496"/>
        <v>0</v>
      </c>
      <c r="BN66" s="346">
        <f t="shared" si="496"/>
        <v>0</v>
      </c>
      <c r="BO66" s="346">
        <f t="shared" si="496"/>
        <v>0</v>
      </c>
      <c r="BP66" s="346">
        <f t="shared" si="496"/>
        <v>0</v>
      </c>
      <c r="BQ66" s="346">
        <f t="shared" si="496"/>
        <v>0</v>
      </c>
      <c r="BR66" s="370">
        <f t="shared" si="26"/>
        <v>0</v>
      </c>
      <c r="BS66" s="402">
        <f t="shared" si="154"/>
        <v>0</v>
      </c>
      <c r="BT66" s="402">
        <f t="shared" si="155"/>
        <v>0</v>
      </c>
    </row>
    <row r="67" spans="1:72" s="235" customFormat="1" ht="15" hidden="1" customHeight="1" x14ac:dyDescent="0.25">
      <c r="A67" s="235" t="s">
        <v>132</v>
      </c>
      <c r="B67" s="347" t="str">
        <f>VLOOKUP(A67,'DFP-Com'!$A$16:$B$50,2,1)</f>
        <v xml:space="preserve">     2.2.a  Advisors</v>
      </c>
      <c r="C67" s="344" t="s">
        <v>230</v>
      </c>
      <c r="D67" s="415">
        <v>121200</v>
      </c>
      <c r="E67" s="344" t="s">
        <v>163</v>
      </c>
      <c r="F67" s="345"/>
      <c r="G67" s="345"/>
      <c r="H67" s="345"/>
      <c r="I67" s="345">
        <v>0.33333332999999998</v>
      </c>
      <c r="J67" s="345">
        <v>0.16666665999999999</v>
      </c>
      <c r="K67" s="345">
        <v>0.33333332999999998</v>
      </c>
      <c r="L67" s="345">
        <v>0.16666668000000007</v>
      </c>
      <c r="M67" s="345"/>
      <c r="N67" s="345"/>
      <c r="O67" s="345"/>
      <c r="P67" s="345"/>
      <c r="Q67" s="345"/>
      <c r="R67" s="417"/>
      <c r="S67" s="417"/>
      <c r="T67" s="417"/>
      <c r="U67" s="417"/>
      <c r="V67" s="417"/>
      <c r="W67" s="417"/>
      <c r="X67" s="417"/>
      <c r="Y67" s="417"/>
      <c r="Z67" s="416">
        <f>SUM(F67:X67)</f>
        <v>1</v>
      </c>
      <c r="AA67" s="344"/>
      <c r="AB67" s="344"/>
      <c r="AC67" s="415">
        <f t="shared" si="492"/>
        <v>0</v>
      </c>
      <c r="AD67" s="415">
        <f t="shared" si="492"/>
        <v>0</v>
      </c>
      <c r="AE67" s="415">
        <f t="shared" si="492"/>
        <v>0</v>
      </c>
      <c r="AF67" s="415">
        <f t="shared" si="492"/>
        <v>40399.999596000001</v>
      </c>
      <c r="AG67" s="415">
        <f t="shared" si="493"/>
        <v>20199.999191999999</v>
      </c>
      <c r="AH67" s="415">
        <f t="shared" si="493"/>
        <v>40399.999596000001</v>
      </c>
      <c r="AI67" s="415">
        <f>L67*$D67</f>
        <v>20200.001616000009</v>
      </c>
      <c r="AJ67" s="415">
        <f>M67*$D67</f>
        <v>0</v>
      </c>
      <c r="AK67" s="415">
        <f t="shared" si="494"/>
        <v>0</v>
      </c>
      <c r="AL67" s="415">
        <f>O67*$D67</f>
        <v>0</v>
      </c>
      <c r="AM67" s="423">
        <f t="shared" si="8"/>
        <v>0</v>
      </c>
      <c r="AN67" s="346">
        <f t="shared" si="9"/>
        <v>0</v>
      </c>
      <c r="AO67" s="346">
        <f t="shared" si="10"/>
        <v>0</v>
      </c>
      <c r="AP67" s="346">
        <f t="shared" si="11"/>
        <v>0</v>
      </c>
      <c r="AQ67" s="346">
        <f t="shared" si="12"/>
        <v>0</v>
      </c>
      <c r="AR67" s="346">
        <f t="shared" si="13"/>
        <v>0</v>
      </c>
      <c r="AS67" s="346">
        <f t="shared" si="14"/>
        <v>0</v>
      </c>
      <c r="AT67" s="346">
        <f t="shared" si="15"/>
        <v>0</v>
      </c>
      <c r="AU67" s="346">
        <f t="shared" si="16"/>
        <v>0</v>
      </c>
      <c r="AV67" s="346"/>
      <c r="AW67" s="346"/>
      <c r="AX67" s="346">
        <f t="shared" si="495"/>
        <v>0</v>
      </c>
      <c r="AY67" s="346">
        <f t="shared" si="495"/>
        <v>0</v>
      </c>
      <c r="AZ67" s="346">
        <f t="shared" si="495"/>
        <v>121200</v>
      </c>
      <c r="BA67" s="346">
        <f t="shared" si="495"/>
        <v>0</v>
      </c>
      <c r="BB67" s="346">
        <f t="shared" si="495"/>
        <v>0</v>
      </c>
      <c r="BC67" s="346">
        <f t="shared" si="495"/>
        <v>0</v>
      </c>
      <c r="BD67" s="346">
        <f t="shared" si="495"/>
        <v>0</v>
      </c>
      <c r="BE67" s="346">
        <f t="shared" si="495"/>
        <v>0</v>
      </c>
      <c r="BF67" s="346">
        <f t="shared" si="495"/>
        <v>0</v>
      </c>
      <c r="BG67" s="346">
        <f t="shared" si="495"/>
        <v>0</v>
      </c>
      <c r="BH67" s="346">
        <f t="shared" si="496"/>
        <v>0</v>
      </c>
      <c r="BI67" s="346">
        <f t="shared" si="496"/>
        <v>0</v>
      </c>
      <c r="BJ67" s="346">
        <f t="shared" si="496"/>
        <v>0</v>
      </c>
      <c r="BK67" s="346">
        <f t="shared" si="496"/>
        <v>0</v>
      </c>
      <c r="BL67" s="346">
        <f t="shared" si="496"/>
        <v>0</v>
      </c>
      <c r="BM67" s="346">
        <f t="shared" si="496"/>
        <v>0</v>
      </c>
      <c r="BN67" s="346">
        <f t="shared" si="496"/>
        <v>0</v>
      </c>
      <c r="BO67" s="346">
        <f t="shared" si="496"/>
        <v>0</v>
      </c>
      <c r="BP67" s="346">
        <f t="shared" si="496"/>
        <v>0</v>
      </c>
      <c r="BQ67" s="346">
        <f t="shared" si="496"/>
        <v>0</v>
      </c>
      <c r="BR67" s="370">
        <f t="shared" si="26"/>
        <v>0</v>
      </c>
      <c r="BS67" s="402">
        <f t="shared" si="154"/>
        <v>0</v>
      </c>
      <c r="BT67" s="402">
        <f t="shared" si="155"/>
        <v>0</v>
      </c>
    </row>
    <row r="68" spans="1:72" s="235" customFormat="1" ht="15" hidden="1" customHeight="1" x14ac:dyDescent="0.25">
      <c r="A68" s="235" t="s">
        <v>132</v>
      </c>
      <c r="B68" s="347" t="str">
        <f>VLOOKUP(A68,'DFP-Com'!$A$16:$B$50,2,1)</f>
        <v xml:space="preserve">     2.2.a  Advisors</v>
      </c>
      <c r="C68" s="344" t="s">
        <v>229</v>
      </c>
      <c r="D68" s="415">
        <v>124265.64</v>
      </c>
      <c r="E68" s="344" t="s">
        <v>195</v>
      </c>
      <c r="F68" s="345"/>
      <c r="G68" s="345"/>
      <c r="H68" s="345"/>
      <c r="I68" s="345"/>
      <c r="J68" s="345">
        <v>0</v>
      </c>
      <c r="K68" s="345">
        <v>0.33765158252916899</v>
      </c>
      <c r="L68" s="416">
        <v>7.5439679061726148E-2</v>
      </c>
      <c r="M68" s="424">
        <v>5.7940392855177013E-2</v>
      </c>
      <c r="N68" s="345">
        <v>4.9891023777771555E-2</v>
      </c>
      <c r="O68" s="345">
        <v>4.1721669803495155E-2</v>
      </c>
      <c r="P68" s="345">
        <v>5.2252336204923575E-2</v>
      </c>
      <c r="Q68" s="345">
        <v>4.512172471811194E-2</v>
      </c>
      <c r="R68" s="345">
        <v>0</v>
      </c>
      <c r="S68" s="345">
        <v>6.4401229495136381E-2</v>
      </c>
      <c r="T68" s="345">
        <v>0</v>
      </c>
      <c r="U68" s="345">
        <v>0</v>
      </c>
      <c r="V68" s="418">
        <v>0.1368037053525013</v>
      </c>
      <c r="W68" s="418">
        <v>0.13877665620198804</v>
      </c>
      <c r="X68" s="417"/>
      <c r="Y68" s="417"/>
      <c r="Z68" s="416">
        <f t="shared" si="21"/>
        <v>1</v>
      </c>
      <c r="AA68" s="344"/>
      <c r="AB68" s="344"/>
      <c r="AC68" s="415">
        <f t="shared" si="0"/>
        <v>0</v>
      </c>
      <c r="AD68" s="415">
        <f t="shared" si="1"/>
        <v>0</v>
      </c>
      <c r="AE68" s="415">
        <f t="shared" si="2"/>
        <v>0</v>
      </c>
      <c r="AF68" s="415">
        <f t="shared" si="3"/>
        <v>0</v>
      </c>
      <c r="AG68" s="415">
        <f t="shared" ref="AG68:AG77" si="497">J68*$D68</f>
        <v>0</v>
      </c>
      <c r="AH68" s="415">
        <f t="shared" si="22"/>
        <v>41958.490000000005</v>
      </c>
      <c r="AI68" s="415">
        <f t="shared" si="23"/>
        <v>9374.56</v>
      </c>
      <c r="AJ68" s="415">
        <f t="shared" si="24"/>
        <v>7199.9999999999991</v>
      </c>
      <c r="AK68" s="415">
        <f t="shared" si="494"/>
        <v>6199.74</v>
      </c>
      <c r="AL68" s="415">
        <f t="shared" si="25"/>
        <v>5184.57</v>
      </c>
      <c r="AM68" s="423">
        <f t="shared" si="8"/>
        <v>6493.1699999999992</v>
      </c>
      <c r="AN68" s="415">
        <f t="shared" si="9"/>
        <v>5607.08</v>
      </c>
      <c r="AO68" s="346">
        <f t="shared" si="10"/>
        <v>0</v>
      </c>
      <c r="AP68" s="333">
        <f t="shared" si="11"/>
        <v>8002.8599999999988</v>
      </c>
      <c r="AQ68" s="333">
        <f t="shared" si="12"/>
        <v>0</v>
      </c>
      <c r="AR68" s="333">
        <f t="shared" si="13"/>
        <v>0</v>
      </c>
      <c r="AS68" s="346">
        <f t="shared" si="14"/>
        <v>17000</v>
      </c>
      <c r="AT68" s="346">
        <f t="shared" si="15"/>
        <v>17245.170000000013</v>
      </c>
      <c r="AU68" s="346">
        <f t="shared" si="16"/>
        <v>0</v>
      </c>
      <c r="AV68" s="346"/>
      <c r="AW68" s="346"/>
      <c r="AX68" s="346">
        <f t="shared" ref="AX68:BN89" si="498">IF(AX$3=$E68,$D68,0)</f>
        <v>0</v>
      </c>
      <c r="AY68" s="346">
        <f t="shared" si="498"/>
        <v>0</v>
      </c>
      <c r="AZ68" s="346">
        <f t="shared" si="498"/>
        <v>0</v>
      </c>
      <c r="BA68" s="346">
        <f t="shared" si="498"/>
        <v>124265.64</v>
      </c>
      <c r="BB68" s="346">
        <f t="shared" si="498"/>
        <v>0</v>
      </c>
      <c r="BC68" s="346">
        <f t="shared" si="498"/>
        <v>0</v>
      </c>
      <c r="BD68" s="346">
        <f t="shared" si="498"/>
        <v>0</v>
      </c>
      <c r="BE68" s="346">
        <f t="shared" si="498"/>
        <v>0</v>
      </c>
      <c r="BF68" s="346">
        <f t="shared" si="498"/>
        <v>0</v>
      </c>
      <c r="BG68" s="346">
        <f t="shared" si="498"/>
        <v>0</v>
      </c>
      <c r="BH68" s="346">
        <f t="shared" si="498"/>
        <v>0</v>
      </c>
      <c r="BI68" s="346">
        <f t="shared" si="498"/>
        <v>0</v>
      </c>
      <c r="BJ68" s="346">
        <f t="shared" si="498"/>
        <v>0</v>
      </c>
      <c r="BK68" s="346">
        <f t="shared" si="498"/>
        <v>0</v>
      </c>
      <c r="BL68" s="346">
        <f t="shared" si="498"/>
        <v>0</v>
      </c>
      <c r="BM68" s="346">
        <f t="shared" si="498"/>
        <v>0</v>
      </c>
      <c r="BN68" s="346">
        <f t="shared" si="498"/>
        <v>0</v>
      </c>
      <c r="BO68" s="346">
        <f t="shared" si="361"/>
        <v>0</v>
      </c>
      <c r="BP68" s="346">
        <f t="shared" si="361"/>
        <v>0</v>
      </c>
      <c r="BQ68" s="346">
        <f t="shared" si="361"/>
        <v>0</v>
      </c>
      <c r="BR68" s="370">
        <f t="shared" si="26"/>
        <v>0</v>
      </c>
      <c r="BS68" s="402">
        <f t="shared" si="154"/>
        <v>0</v>
      </c>
      <c r="BT68" s="402">
        <f t="shared" si="155"/>
        <v>0</v>
      </c>
    </row>
    <row r="69" spans="1:72" s="235" customFormat="1" ht="15" hidden="1" customHeight="1" x14ac:dyDescent="0.25">
      <c r="A69" s="235" t="s">
        <v>134</v>
      </c>
      <c r="B69" s="347" t="str">
        <f>VLOOKUP(A69,'DFP-Com'!$A$16:$B$50,2,1)</f>
        <v xml:space="preserve">     2.2.c  Other</v>
      </c>
      <c r="C69" s="344" t="s">
        <v>235</v>
      </c>
      <c r="D69" s="415">
        <v>5000</v>
      </c>
      <c r="E69" s="344" t="s">
        <v>195</v>
      </c>
      <c r="F69" s="417"/>
      <c r="G69" s="417"/>
      <c r="H69" s="417"/>
      <c r="I69" s="345">
        <v>1</v>
      </c>
      <c r="J69" s="345"/>
      <c r="K69" s="345"/>
      <c r="L69" s="345"/>
      <c r="M69" s="345"/>
      <c r="N69" s="417"/>
      <c r="O69" s="417"/>
      <c r="P69" s="417"/>
      <c r="Q69" s="417"/>
      <c r="R69" s="417"/>
      <c r="S69" s="417"/>
      <c r="T69" s="417"/>
      <c r="U69" s="417"/>
      <c r="V69" s="417"/>
      <c r="W69" s="417"/>
      <c r="X69" s="417"/>
      <c r="Y69" s="417"/>
      <c r="Z69" s="416">
        <f>SUM(F69:X69)</f>
        <v>1</v>
      </c>
      <c r="AA69" s="344"/>
      <c r="AB69" s="344"/>
      <c r="AC69" s="415">
        <f>F69*$D69</f>
        <v>0</v>
      </c>
      <c r="AD69" s="415">
        <f>G69*$D69</f>
        <v>0</v>
      </c>
      <c r="AE69" s="415">
        <f>H69*$D69</f>
        <v>0</v>
      </c>
      <c r="AF69" s="415">
        <f>I69*$D69</f>
        <v>5000</v>
      </c>
      <c r="AG69" s="415">
        <f t="shared" si="497"/>
        <v>0</v>
      </c>
      <c r="AH69" s="415">
        <f>K69*$D69</f>
        <v>0</v>
      </c>
      <c r="AI69" s="415">
        <f>L69*$D69</f>
        <v>0</v>
      </c>
      <c r="AJ69" s="415">
        <f>M69*$D69</f>
        <v>0</v>
      </c>
      <c r="AK69" s="415">
        <f t="shared" si="494"/>
        <v>0</v>
      </c>
      <c r="AL69" s="415">
        <f t="shared" ref="AL69:AU69" si="499">O69*$D69</f>
        <v>0</v>
      </c>
      <c r="AM69" s="423">
        <f t="shared" si="499"/>
        <v>0</v>
      </c>
      <c r="AN69" s="346">
        <f t="shared" si="499"/>
        <v>0</v>
      </c>
      <c r="AO69" s="346">
        <f t="shared" si="499"/>
        <v>0</v>
      </c>
      <c r="AP69" s="346">
        <f t="shared" si="499"/>
        <v>0</v>
      </c>
      <c r="AQ69" s="346">
        <f t="shared" si="499"/>
        <v>0</v>
      </c>
      <c r="AR69" s="346">
        <f t="shared" si="499"/>
        <v>0</v>
      </c>
      <c r="AS69" s="346">
        <f t="shared" si="499"/>
        <v>0</v>
      </c>
      <c r="AT69" s="346">
        <f t="shared" si="499"/>
        <v>0</v>
      </c>
      <c r="AU69" s="346">
        <f t="shared" si="499"/>
        <v>0</v>
      </c>
      <c r="AV69" s="346"/>
      <c r="AW69" s="346"/>
      <c r="AX69" s="346">
        <f t="shared" ref="AX69:BQ69" si="500">IF(AX$3=$E69,$D69,0)</f>
        <v>0</v>
      </c>
      <c r="AY69" s="346">
        <f t="shared" si="500"/>
        <v>0</v>
      </c>
      <c r="AZ69" s="346">
        <f t="shared" si="500"/>
        <v>0</v>
      </c>
      <c r="BA69" s="346">
        <f t="shared" si="500"/>
        <v>5000</v>
      </c>
      <c r="BB69" s="346">
        <f t="shared" si="500"/>
        <v>0</v>
      </c>
      <c r="BC69" s="346">
        <f t="shared" si="500"/>
        <v>0</v>
      </c>
      <c r="BD69" s="346">
        <f t="shared" si="500"/>
        <v>0</v>
      </c>
      <c r="BE69" s="346">
        <f t="shared" si="500"/>
        <v>0</v>
      </c>
      <c r="BF69" s="346">
        <f t="shared" si="500"/>
        <v>0</v>
      </c>
      <c r="BG69" s="346">
        <f t="shared" si="500"/>
        <v>0</v>
      </c>
      <c r="BH69" s="346">
        <f t="shared" si="500"/>
        <v>0</v>
      </c>
      <c r="BI69" s="346">
        <f t="shared" si="500"/>
        <v>0</v>
      </c>
      <c r="BJ69" s="346">
        <f t="shared" si="500"/>
        <v>0</v>
      </c>
      <c r="BK69" s="346">
        <f t="shared" si="500"/>
        <v>0</v>
      </c>
      <c r="BL69" s="346">
        <f t="shared" si="500"/>
        <v>0</v>
      </c>
      <c r="BM69" s="346">
        <f t="shared" si="500"/>
        <v>0</v>
      </c>
      <c r="BN69" s="346">
        <f t="shared" si="500"/>
        <v>0</v>
      </c>
      <c r="BO69" s="346">
        <f t="shared" si="500"/>
        <v>0</v>
      </c>
      <c r="BP69" s="346">
        <f t="shared" si="500"/>
        <v>0</v>
      </c>
      <c r="BQ69" s="346">
        <f t="shared" si="500"/>
        <v>0</v>
      </c>
      <c r="BR69" s="370">
        <f t="shared" si="26"/>
        <v>0</v>
      </c>
      <c r="BS69" s="402">
        <f t="shared" si="154"/>
        <v>0</v>
      </c>
      <c r="BT69" s="402">
        <f t="shared" si="155"/>
        <v>0</v>
      </c>
    </row>
    <row r="70" spans="1:72" s="235" customFormat="1" ht="15" hidden="1" customHeight="1" x14ac:dyDescent="0.25">
      <c r="A70" s="235" t="s">
        <v>132</v>
      </c>
      <c r="B70" s="347" t="str">
        <f>VLOOKUP(A70,'DFP-Com'!$A$16:$B$50,2,1)</f>
        <v xml:space="preserve">     2.2.a  Advisors</v>
      </c>
      <c r="C70" s="344" t="s">
        <v>236</v>
      </c>
      <c r="D70" s="415">
        <v>57832.03</v>
      </c>
      <c r="E70" s="344" t="s">
        <v>192</v>
      </c>
      <c r="F70" s="417"/>
      <c r="G70" s="417"/>
      <c r="H70" s="417"/>
      <c r="I70" s="417"/>
      <c r="J70" s="425">
        <v>0.33333344860970643</v>
      </c>
      <c r="K70" s="425">
        <v>0.44444436759352907</v>
      </c>
      <c r="L70" s="425">
        <v>0.22222218379676453</v>
      </c>
      <c r="M70" s="345"/>
      <c r="N70" s="345"/>
      <c r="O70" s="417"/>
      <c r="P70" s="417"/>
      <c r="Q70" s="417"/>
      <c r="R70" s="417"/>
      <c r="S70" s="345">
        <f>1-R70-P70-O70-N70-L70-K70-M70-J70</f>
        <v>0</v>
      </c>
      <c r="T70" s="417"/>
      <c r="U70" s="417"/>
      <c r="V70" s="417"/>
      <c r="W70" s="417"/>
      <c r="X70" s="417"/>
      <c r="Y70" s="417"/>
      <c r="Z70" s="416">
        <f t="shared" si="21"/>
        <v>1</v>
      </c>
      <c r="AA70" s="344"/>
      <c r="AB70" s="344"/>
      <c r="AC70" s="415">
        <f t="shared" si="0"/>
        <v>0</v>
      </c>
      <c r="AD70" s="415">
        <f t="shared" si="1"/>
        <v>0</v>
      </c>
      <c r="AE70" s="415">
        <f t="shared" si="2"/>
        <v>0</v>
      </c>
      <c r="AF70" s="415">
        <f t="shared" si="3"/>
        <v>0</v>
      </c>
      <c r="AG70" s="415">
        <f t="shared" si="497"/>
        <v>19277.349999999999</v>
      </c>
      <c r="AH70" s="415">
        <f t="shared" si="22"/>
        <v>25703.119999999999</v>
      </c>
      <c r="AI70" s="415">
        <f t="shared" si="23"/>
        <v>12851.56</v>
      </c>
      <c r="AJ70" s="415">
        <f t="shared" si="24"/>
        <v>0</v>
      </c>
      <c r="AK70" s="415">
        <f t="shared" si="494"/>
        <v>0</v>
      </c>
      <c r="AL70" s="415">
        <f t="shared" si="25"/>
        <v>0</v>
      </c>
      <c r="AM70" s="423">
        <f t="shared" si="8"/>
        <v>0</v>
      </c>
      <c r="AN70" s="346">
        <f t="shared" si="9"/>
        <v>0</v>
      </c>
      <c r="AO70" s="346">
        <f t="shared" si="10"/>
        <v>0</v>
      </c>
      <c r="AP70" s="346">
        <f t="shared" si="11"/>
        <v>0</v>
      </c>
      <c r="AQ70" s="346">
        <f t="shared" si="12"/>
        <v>0</v>
      </c>
      <c r="AR70" s="346">
        <f t="shared" si="13"/>
        <v>0</v>
      </c>
      <c r="AS70" s="346">
        <f t="shared" si="14"/>
        <v>0</v>
      </c>
      <c r="AT70" s="346">
        <f t="shared" si="15"/>
        <v>0</v>
      </c>
      <c r="AU70" s="346">
        <f t="shared" si="16"/>
        <v>0</v>
      </c>
      <c r="AV70" s="346"/>
      <c r="AW70" s="346"/>
      <c r="AX70" s="346">
        <f t="shared" si="498"/>
        <v>0</v>
      </c>
      <c r="AY70" s="346">
        <f t="shared" si="498"/>
        <v>0</v>
      </c>
      <c r="AZ70" s="346">
        <f t="shared" si="498"/>
        <v>0</v>
      </c>
      <c r="BA70" s="346">
        <f t="shared" si="498"/>
        <v>0</v>
      </c>
      <c r="BB70" s="415">
        <f t="shared" si="498"/>
        <v>57832.03</v>
      </c>
      <c r="BC70" s="346">
        <f t="shared" si="498"/>
        <v>0</v>
      </c>
      <c r="BD70" s="346">
        <f t="shared" si="498"/>
        <v>0</v>
      </c>
      <c r="BE70" s="346">
        <f t="shared" si="498"/>
        <v>0</v>
      </c>
      <c r="BF70" s="346">
        <f t="shared" si="498"/>
        <v>0</v>
      </c>
      <c r="BG70" s="346">
        <f t="shared" si="498"/>
        <v>0</v>
      </c>
      <c r="BH70" s="346">
        <f t="shared" si="498"/>
        <v>0</v>
      </c>
      <c r="BI70" s="346">
        <f t="shared" si="498"/>
        <v>0</v>
      </c>
      <c r="BJ70" s="346">
        <f t="shared" si="498"/>
        <v>0</v>
      </c>
      <c r="BK70" s="346">
        <f t="shared" si="498"/>
        <v>0</v>
      </c>
      <c r="BL70" s="346">
        <f t="shared" si="498"/>
        <v>0</v>
      </c>
      <c r="BM70" s="346">
        <f t="shared" si="498"/>
        <v>0</v>
      </c>
      <c r="BN70" s="346">
        <f t="shared" si="361"/>
        <v>0</v>
      </c>
      <c r="BO70" s="346">
        <f t="shared" si="361"/>
        <v>0</v>
      </c>
      <c r="BP70" s="346">
        <f t="shared" si="361"/>
        <v>0</v>
      </c>
      <c r="BQ70" s="346">
        <f t="shared" si="361"/>
        <v>0</v>
      </c>
      <c r="BR70" s="370">
        <f t="shared" si="26"/>
        <v>0</v>
      </c>
      <c r="BS70" s="402">
        <f t="shared" si="154"/>
        <v>0</v>
      </c>
      <c r="BT70" s="402">
        <f t="shared" si="155"/>
        <v>0</v>
      </c>
    </row>
    <row r="71" spans="1:72" s="235" customFormat="1" ht="15" hidden="1" customHeight="1" x14ac:dyDescent="0.25">
      <c r="A71" s="235" t="s">
        <v>132</v>
      </c>
      <c r="B71" s="347" t="str">
        <f>VLOOKUP(A71,'DFP-Com'!$A$16:$B$50,2,1)</f>
        <v xml:space="preserve">     2.2.a  Advisors</v>
      </c>
      <c r="C71" s="344" t="s">
        <v>241</v>
      </c>
      <c r="D71" s="421">
        <f>12250*12</f>
        <v>147000</v>
      </c>
      <c r="E71" s="417" t="s">
        <v>192</v>
      </c>
      <c r="F71" s="345"/>
      <c r="G71" s="345"/>
      <c r="H71" s="345"/>
      <c r="I71" s="345"/>
      <c r="J71" s="345">
        <v>8.3333333333333301E-2</v>
      </c>
      <c r="K71" s="345">
        <v>0.16666666666666599</v>
      </c>
      <c r="L71" s="345">
        <v>0.25</v>
      </c>
      <c r="M71" s="345">
        <v>0.33333333333333331</v>
      </c>
      <c r="N71" s="345">
        <v>0.16666666666666669</v>
      </c>
      <c r="O71" s="345">
        <v>0</v>
      </c>
      <c r="P71" s="345"/>
      <c r="Q71" s="345"/>
      <c r="R71" s="417"/>
      <c r="S71" s="417"/>
      <c r="T71" s="417"/>
      <c r="U71" s="417"/>
      <c r="V71" s="417"/>
      <c r="W71" s="417"/>
      <c r="X71" s="417"/>
      <c r="Y71" s="417"/>
      <c r="Z71" s="416">
        <f>SUM(F71:X71)</f>
        <v>0.99999999999999933</v>
      </c>
      <c r="AA71" s="344"/>
      <c r="AB71" s="344"/>
      <c r="AC71" s="415">
        <f t="shared" ref="AC71:AF77" si="501">F71*$D71</f>
        <v>0</v>
      </c>
      <c r="AD71" s="415">
        <f t="shared" si="501"/>
        <v>0</v>
      </c>
      <c r="AE71" s="415">
        <f t="shared" si="501"/>
        <v>0</v>
      </c>
      <c r="AF71" s="415">
        <f t="shared" si="501"/>
        <v>0</v>
      </c>
      <c r="AG71" s="415">
        <f t="shared" si="497"/>
        <v>12249.999999999995</v>
      </c>
      <c r="AH71" s="415">
        <f t="shared" ref="AH71:AJ77" si="502">K71*$D71</f>
        <v>24499.999999999902</v>
      </c>
      <c r="AI71" s="415">
        <f t="shared" si="502"/>
        <v>36750</v>
      </c>
      <c r="AJ71" s="415">
        <f t="shared" si="502"/>
        <v>49000</v>
      </c>
      <c r="AK71" s="415">
        <f t="shared" si="494"/>
        <v>24500.000000000004</v>
      </c>
      <c r="AL71" s="415">
        <f t="shared" ref="AL71:AU77" si="503">O71*$D71</f>
        <v>0</v>
      </c>
      <c r="AM71" s="423">
        <f t="shared" si="503"/>
        <v>0</v>
      </c>
      <c r="AN71" s="346">
        <f t="shared" si="503"/>
        <v>0</v>
      </c>
      <c r="AO71" s="346">
        <f t="shared" si="503"/>
        <v>0</v>
      </c>
      <c r="AP71" s="346">
        <f t="shared" si="503"/>
        <v>0</v>
      </c>
      <c r="AQ71" s="346">
        <f t="shared" si="503"/>
        <v>0</v>
      </c>
      <c r="AR71" s="346">
        <f t="shared" si="503"/>
        <v>0</v>
      </c>
      <c r="AS71" s="346">
        <f t="shared" si="503"/>
        <v>0</v>
      </c>
      <c r="AT71" s="346">
        <f t="shared" si="503"/>
        <v>0</v>
      </c>
      <c r="AU71" s="346">
        <f t="shared" si="503"/>
        <v>0</v>
      </c>
      <c r="AV71" s="346"/>
      <c r="AW71" s="346"/>
      <c r="AX71" s="346">
        <f t="shared" ref="AX71:BG77" si="504">IF(AX$3=$E71,$D71,0)</f>
        <v>0</v>
      </c>
      <c r="AY71" s="346">
        <f t="shared" si="504"/>
        <v>0</v>
      </c>
      <c r="AZ71" s="346">
        <f t="shared" si="504"/>
        <v>0</v>
      </c>
      <c r="BA71" s="346">
        <f t="shared" si="504"/>
        <v>0</v>
      </c>
      <c r="BB71" s="346">
        <f t="shared" si="504"/>
        <v>147000</v>
      </c>
      <c r="BC71" s="346">
        <f t="shared" si="504"/>
        <v>0</v>
      </c>
      <c r="BD71" s="346">
        <f t="shared" si="504"/>
        <v>0</v>
      </c>
      <c r="BE71" s="346">
        <f t="shared" si="504"/>
        <v>0</v>
      </c>
      <c r="BF71" s="346">
        <f t="shared" si="504"/>
        <v>0</v>
      </c>
      <c r="BG71" s="346">
        <f t="shared" si="504"/>
        <v>0</v>
      </c>
      <c r="BH71" s="346">
        <f t="shared" si="498"/>
        <v>0</v>
      </c>
      <c r="BI71" s="346">
        <f t="shared" si="498"/>
        <v>0</v>
      </c>
      <c r="BJ71" s="346">
        <f t="shared" si="498"/>
        <v>0</v>
      </c>
      <c r="BK71" s="346">
        <f t="shared" si="498"/>
        <v>0</v>
      </c>
      <c r="BL71" s="346">
        <f t="shared" si="498"/>
        <v>0</v>
      </c>
      <c r="BM71" s="346">
        <f t="shared" si="498"/>
        <v>0</v>
      </c>
      <c r="BN71" s="346">
        <f t="shared" si="498"/>
        <v>0</v>
      </c>
      <c r="BO71" s="346">
        <f t="shared" si="361"/>
        <v>0</v>
      </c>
      <c r="BP71" s="346">
        <f t="shared" si="361"/>
        <v>0</v>
      </c>
      <c r="BQ71" s="346">
        <f t="shared" si="361"/>
        <v>0</v>
      </c>
      <c r="BR71" s="370">
        <f t="shared" si="26"/>
        <v>0</v>
      </c>
      <c r="BS71" s="402">
        <f t="shared" si="154"/>
        <v>0</v>
      </c>
      <c r="BT71" s="402">
        <f t="shared" si="155"/>
        <v>0</v>
      </c>
    </row>
    <row r="72" spans="1:72" s="235" customFormat="1" ht="15" hidden="1" customHeight="1" x14ac:dyDescent="0.25">
      <c r="A72" s="235" t="s">
        <v>134</v>
      </c>
      <c r="B72" s="347" t="str">
        <f>VLOOKUP(A72,'DFP-Com'!$A$16:$B$50,2,1)</f>
        <v xml:space="preserve">     2.2.c  Other</v>
      </c>
      <c r="C72" s="344" t="s">
        <v>235</v>
      </c>
      <c r="D72" s="415">
        <v>961.64</v>
      </c>
      <c r="E72" s="344" t="s">
        <v>192</v>
      </c>
      <c r="F72" s="417"/>
      <c r="G72" s="417"/>
      <c r="H72" s="417"/>
      <c r="I72" s="345"/>
      <c r="J72" s="345">
        <v>1</v>
      </c>
      <c r="K72" s="345"/>
      <c r="L72" s="345"/>
      <c r="M72" s="345"/>
      <c r="N72" s="417"/>
      <c r="O72" s="417"/>
      <c r="P72" s="417"/>
      <c r="Q72" s="417"/>
      <c r="R72" s="417"/>
      <c r="S72" s="417"/>
      <c r="T72" s="417"/>
      <c r="U72" s="417"/>
      <c r="V72" s="417"/>
      <c r="W72" s="417"/>
      <c r="X72" s="417"/>
      <c r="Y72" s="417"/>
      <c r="Z72" s="416">
        <f t="shared" ref="Z72" si="505">SUM(F72:X72)</f>
        <v>1</v>
      </c>
      <c r="AA72" s="344"/>
      <c r="AB72" s="344"/>
      <c r="AC72" s="415">
        <f t="shared" si="501"/>
        <v>0</v>
      </c>
      <c r="AD72" s="415">
        <f t="shared" si="501"/>
        <v>0</v>
      </c>
      <c r="AE72" s="415">
        <f t="shared" si="501"/>
        <v>0</v>
      </c>
      <c r="AF72" s="415">
        <f t="shared" si="501"/>
        <v>0</v>
      </c>
      <c r="AG72" s="415">
        <f t="shared" si="497"/>
        <v>961.64</v>
      </c>
      <c r="AH72" s="415">
        <f t="shared" si="502"/>
        <v>0</v>
      </c>
      <c r="AI72" s="415">
        <f t="shared" si="502"/>
        <v>0</v>
      </c>
      <c r="AJ72" s="415">
        <f t="shared" si="502"/>
        <v>0</v>
      </c>
      <c r="AK72" s="415">
        <f t="shared" si="494"/>
        <v>0</v>
      </c>
      <c r="AL72" s="415">
        <f t="shared" si="503"/>
        <v>0</v>
      </c>
      <c r="AM72" s="423">
        <f t="shared" si="503"/>
        <v>0</v>
      </c>
      <c r="AN72" s="346">
        <f t="shared" si="503"/>
        <v>0</v>
      </c>
      <c r="AO72" s="346">
        <f t="shared" si="503"/>
        <v>0</v>
      </c>
      <c r="AP72" s="346">
        <f t="shared" si="503"/>
        <v>0</v>
      </c>
      <c r="AQ72" s="346">
        <f t="shared" si="503"/>
        <v>0</v>
      </c>
      <c r="AR72" s="346">
        <f t="shared" si="503"/>
        <v>0</v>
      </c>
      <c r="AS72" s="346">
        <f t="shared" si="503"/>
        <v>0</v>
      </c>
      <c r="AT72" s="346">
        <f t="shared" si="503"/>
        <v>0</v>
      </c>
      <c r="AU72" s="346">
        <f t="shared" si="503"/>
        <v>0</v>
      </c>
      <c r="AV72" s="346"/>
      <c r="AW72" s="346"/>
      <c r="AX72" s="346">
        <f t="shared" si="504"/>
        <v>0</v>
      </c>
      <c r="AY72" s="346">
        <f t="shared" si="504"/>
        <v>0</v>
      </c>
      <c r="AZ72" s="346">
        <f t="shared" si="504"/>
        <v>0</v>
      </c>
      <c r="BA72" s="346">
        <f t="shared" si="504"/>
        <v>0</v>
      </c>
      <c r="BB72" s="346">
        <f t="shared" si="504"/>
        <v>961.64</v>
      </c>
      <c r="BC72" s="346">
        <f t="shared" si="504"/>
        <v>0</v>
      </c>
      <c r="BD72" s="346">
        <f t="shared" si="504"/>
        <v>0</v>
      </c>
      <c r="BE72" s="346">
        <f t="shared" si="504"/>
        <v>0</v>
      </c>
      <c r="BF72" s="346">
        <f t="shared" si="504"/>
        <v>0</v>
      </c>
      <c r="BG72" s="346">
        <f t="shared" si="504"/>
        <v>0</v>
      </c>
      <c r="BH72" s="346">
        <f t="shared" si="498"/>
        <v>0</v>
      </c>
      <c r="BI72" s="346">
        <f t="shared" si="498"/>
        <v>0</v>
      </c>
      <c r="BJ72" s="346">
        <f t="shared" si="498"/>
        <v>0</v>
      </c>
      <c r="BK72" s="346">
        <f t="shared" si="498"/>
        <v>0</v>
      </c>
      <c r="BL72" s="346">
        <f t="shared" si="498"/>
        <v>0</v>
      </c>
      <c r="BM72" s="346">
        <f t="shared" si="498"/>
        <v>0</v>
      </c>
      <c r="BN72" s="346">
        <f t="shared" si="498"/>
        <v>0</v>
      </c>
      <c r="BO72" s="346">
        <f t="shared" si="361"/>
        <v>0</v>
      </c>
      <c r="BP72" s="346">
        <f t="shared" si="361"/>
        <v>0</v>
      </c>
      <c r="BQ72" s="346">
        <f t="shared" si="361"/>
        <v>0</v>
      </c>
      <c r="BR72" s="370">
        <f t="shared" si="26"/>
        <v>0</v>
      </c>
      <c r="BS72" s="402">
        <f t="shared" si="154"/>
        <v>0</v>
      </c>
      <c r="BT72" s="402">
        <f t="shared" si="155"/>
        <v>0</v>
      </c>
    </row>
    <row r="73" spans="1:72" s="235" customFormat="1" ht="15" hidden="1" customHeight="1" x14ac:dyDescent="0.25">
      <c r="A73" s="235" t="s">
        <v>133</v>
      </c>
      <c r="B73" s="347" t="str">
        <f>VLOOKUP(A73,'DFP-Com'!$A$16:$B$50,2,1)</f>
        <v xml:space="preserve">     2.2.b  Feasiblity Studies/  Transaction Advisory Services</v>
      </c>
      <c r="C73" s="344" t="s">
        <v>302</v>
      </c>
      <c r="D73" s="415">
        <v>1030229</v>
      </c>
      <c r="E73" s="344" t="s">
        <v>165</v>
      </c>
      <c r="F73" s="345"/>
      <c r="G73" s="345"/>
      <c r="H73" s="345"/>
      <c r="I73" s="345"/>
      <c r="J73" s="345"/>
      <c r="K73" s="345">
        <v>0</v>
      </c>
      <c r="L73" s="345">
        <v>0.1</v>
      </c>
      <c r="M73" s="345">
        <v>0</v>
      </c>
      <c r="N73" s="345">
        <v>0</v>
      </c>
      <c r="O73" s="345">
        <v>0.30002038381757845</v>
      </c>
      <c r="P73" s="345">
        <v>0</v>
      </c>
      <c r="Q73" s="345">
        <v>0.19997961618242158</v>
      </c>
      <c r="R73" s="345">
        <f>1-(Q73+P73+O73+N73+M73+L73)</f>
        <v>0.4</v>
      </c>
      <c r="S73" s="417"/>
      <c r="T73" s="417"/>
      <c r="U73" s="417"/>
      <c r="V73" s="417"/>
      <c r="W73" s="417"/>
      <c r="X73" s="417"/>
      <c r="Y73" s="417"/>
      <c r="Z73" s="416">
        <f>SUM(F73:X73)</f>
        <v>1</v>
      </c>
      <c r="AA73" s="344"/>
      <c r="AB73" s="344"/>
      <c r="AC73" s="415">
        <f t="shared" si="501"/>
        <v>0</v>
      </c>
      <c r="AD73" s="415">
        <f t="shared" si="501"/>
        <v>0</v>
      </c>
      <c r="AE73" s="415">
        <f t="shared" si="501"/>
        <v>0</v>
      </c>
      <c r="AF73" s="415">
        <f t="shared" si="501"/>
        <v>0</v>
      </c>
      <c r="AG73" s="415">
        <f t="shared" si="497"/>
        <v>0</v>
      </c>
      <c r="AH73" s="415">
        <f t="shared" si="502"/>
        <v>0</v>
      </c>
      <c r="AI73" s="415">
        <f t="shared" si="502"/>
        <v>103022.90000000001</v>
      </c>
      <c r="AJ73" s="415">
        <f t="shared" si="502"/>
        <v>0</v>
      </c>
      <c r="AK73" s="415">
        <f t="shared" si="494"/>
        <v>0</v>
      </c>
      <c r="AL73" s="415">
        <f t="shared" si="503"/>
        <v>309089.7</v>
      </c>
      <c r="AM73" s="423">
        <f t="shared" si="503"/>
        <v>0</v>
      </c>
      <c r="AN73" s="346">
        <f t="shared" si="503"/>
        <v>206024.8</v>
      </c>
      <c r="AO73" s="346">
        <f t="shared" si="503"/>
        <v>412091.60000000003</v>
      </c>
      <c r="AP73" s="346">
        <f t="shared" si="503"/>
        <v>0</v>
      </c>
      <c r="AQ73" s="346">
        <f t="shared" si="503"/>
        <v>0</v>
      </c>
      <c r="AR73" s="346">
        <f t="shared" si="503"/>
        <v>0</v>
      </c>
      <c r="AS73" s="346">
        <f t="shared" si="503"/>
        <v>0</v>
      </c>
      <c r="AT73" s="346">
        <f t="shared" si="503"/>
        <v>0</v>
      </c>
      <c r="AU73" s="346">
        <f t="shared" si="503"/>
        <v>0</v>
      </c>
      <c r="AV73" s="346"/>
      <c r="AW73" s="346"/>
      <c r="AX73" s="346">
        <f t="shared" si="504"/>
        <v>0</v>
      </c>
      <c r="AY73" s="346">
        <f t="shared" si="504"/>
        <v>0</v>
      </c>
      <c r="AZ73" s="346">
        <f t="shared" si="504"/>
        <v>0</v>
      </c>
      <c r="BA73" s="346">
        <f t="shared" si="504"/>
        <v>0</v>
      </c>
      <c r="BB73" s="346">
        <f t="shared" si="504"/>
        <v>0</v>
      </c>
      <c r="BC73" s="346">
        <f t="shared" si="504"/>
        <v>1030229</v>
      </c>
      <c r="BD73" s="346">
        <f t="shared" si="504"/>
        <v>0</v>
      </c>
      <c r="BE73" s="346">
        <f t="shared" si="504"/>
        <v>0</v>
      </c>
      <c r="BF73" s="346">
        <f t="shared" si="504"/>
        <v>0</v>
      </c>
      <c r="BG73" s="346">
        <f t="shared" si="504"/>
        <v>0</v>
      </c>
      <c r="BH73" s="346">
        <f t="shared" si="498"/>
        <v>0</v>
      </c>
      <c r="BI73" s="346">
        <f t="shared" si="498"/>
        <v>0</v>
      </c>
      <c r="BJ73" s="346">
        <f t="shared" si="498"/>
        <v>0</v>
      </c>
      <c r="BK73" s="346">
        <f t="shared" si="498"/>
        <v>0</v>
      </c>
      <c r="BL73" s="346">
        <f t="shared" si="498"/>
        <v>0</v>
      </c>
      <c r="BM73" s="346">
        <f t="shared" si="498"/>
        <v>0</v>
      </c>
      <c r="BN73" s="346">
        <f t="shared" si="498"/>
        <v>0</v>
      </c>
      <c r="BO73" s="346">
        <f t="shared" si="361"/>
        <v>0</v>
      </c>
      <c r="BP73" s="346">
        <f t="shared" si="361"/>
        <v>0</v>
      </c>
      <c r="BQ73" s="346">
        <f t="shared" si="361"/>
        <v>0</v>
      </c>
      <c r="BR73" s="370">
        <f t="shared" si="26"/>
        <v>0</v>
      </c>
      <c r="BS73" s="402">
        <f t="shared" si="154"/>
        <v>0</v>
      </c>
      <c r="BT73" s="402">
        <f t="shared" si="155"/>
        <v>0</v>
      </c>
    </row>
    <row r="74" spans="1:72" s="235" customFormat="1" ht="15" hidden="1" customHeight="1" x14ac:dyDescent="0.25">
      <c r="A74" s="235" t="s">
        <v>132</v>
      </c>
      <c r="B74" s="347" t="str">
        <f>VLOOKUP(A74,'DFP-Com'!$A$16:$B$50,2,1)</f>
        <v xml:space="preserve">     2.2.a  Advisors</v>
      </c>
      <c r="C74" s="344" t="s">
        <v>323</v>
      </c>
      <c r="D74" s="415">
        <v>0</v>
      </c>
      <c r="E74" s="344" t="s">
        <v>295</v>
      </c>
      <c r="F74" s="417"/>
      <c r="G74" s="417"/>
      <c r="H74" s="417"/>
      <c r="I74" s="417"/>
      <c r="J74" s="425">
        <v>0</v>
      </c>
      <c r="K74" s="425">
        <v>0</v>
      </c>
      <c r="L74" s="425">
        <v>0</v>
      </c>
      <c r="M74" s="345"/>
      <c r="N74" s="345"/>
      <c r="O74" s="417"/>
      <c r="P74" s="417"/>
      <c r="Q74" s="417"/>
      <c r="R74" s="417">
        <v>0</v>
      </c>
      <c r="S74" s="345">
        <v>1</v>
      </c>
      <c r="T74" s="417"/>
      <c r="U74" s="417"/>
      <c r="V74" s="417"/>
      <c r="W74" s="417"/>
      <c r="X74" s="417"/>
      <c r="Y74" s="417"/>
      <c r="Z74" s="416">
        <f t="shared" ref="Z74" si="506">SUM(F74:X74)</f>
        <v>1</v>
      </c>
      <c r="AA74" s="344"/>
      <c r="AB74" s="344"/>
      <c r="AC74" s="415">
        <f t="shared" si="501"/>
        <v>0</v>
      </c>
      <c r="AD74" s="415">
        <f t="shared" si="501"/>
        <v>0</v>
      </c>
      <c r="AE74" s="415">
        <f t="shared" si="501"/>
        <v>0</v>
      </c>
      <c r="AF74" s="415">
        <f t="shared" si="501"/>
        <v>0</v>
      </c>
      <c r="AG74" s="415">
        <f t="shared" ref="AG74" si="507">J74*$D74</f>
        <v>0</v>
      </c>
      <c r="AH74" s="415">
        <f t="shared" si="502"/>
        <v>0</v>
      </c>
      <c r="AI74" s="415">
        <f t="shared" si="502"/>
        <v>0</v>
      </c>
      <c r="AJ74" s="415">
        <f t="shared" si="502"/>
        <v>0</v>
      </c>
      <c r="AK74" s="415">
        <f t="shared" si="494"/>
        <v>0</v>
      </c>
      <c r="AL74" s="415">
        <f t="shared" si="503"/>
        <v>0</v>
      </c>
      <c r="AM74" s="423">
        <f t="shared" si="503"/>
        <v>0</v>
      </c>
      <c r="AN74" s="346">
        <f t="shared" si="503"/>
        <v>0</v>
      </c>
      <c r="AO74" s="346">
        <f t="shared" si="503"/>
        <v>0</v>
      </c>
      <c r="AP74" s="346">
        <f t="shared" si="503"/>
        <v>0</v>
      </c>
      <c r="AQ74" s="346">
        <f t="shared" si="503"/>
        <v>0</v>
      </c>
      <c r="AR74" s="346">
        <f t="shared" si="503"/>
        <v>0</v>
      </c>
      <c r="AS74" s="346">
        <f t="shared" si="503"/>
        <v>0</v>
      </c>
      <c r="AT74" s="346">
        <f t="shared" si="503"/>
        <v>0</v>
      </c>
      <c r="AU74" s="346">
        <f t="shared" si="503"/>
        <v>0</v>
      </c>
      <c r="AV74" s="346"/>
      <c r="AW74" s="346"/>
      <c r="AX74" s="346">
        <f t="shared" si="498"/>
        <v>0</v>
      </c>
      <c r="AY74" s="346">
        <f t="shared" si="498"/>
        <v>0</v>
      </c>
      <c r="AZ74" s="346">
        <f t="shared" si="498"/>
        <v>0</v>
      </c>
      <c r="BA74" s="346">
        <f t="shared" si="498"/>
        <v>0</v>
      </c>
      <c r="BB74" s="415">
        <f t="shared" si="498"/>
        <v>0</v>
      </c>
      <c r="BC74" s="346">
        <f t="shared" si="498"/>
        <v>0</v>
      </c>
      <c r="BD74" s="346">
        <f t="shared" si="498"/>
        <v>0</v>
      </c>
      <c r="BE74" s="346">
        <f t="shared" si="498"/>
        <v>0</v>
      </c>
      <c r="BF74" s="346">
        <f t="shared" si="498"/>
        <v>0</v>
      </c>
      <c r="BG74" s="346">
        <f t="shared" si="498"/>
        <v>0</v>
      </c>
      <c r="BH74" s="346">
        <f t="shared" si="498"/>
        <v>0</v>
      </c>
      <c r="BI74" s="346">
        <f t="shared" si="498"/>
        <v>0</v>
      </c>
      <c r="BJ74" s="346">
        <f t="shared" si="498"/>
        <v>0</v>
      </c>
      <c r="BK74" s="346">
        <f t="shared" si="498"/>
        <v>0</v>
      </c>
      <c r="BL74" s="346">
        <f t="shared" si="498"/>
        <v>0</v>
      </c>
      <c r="BM74" s="346">
        <f t="shared" si="498"/>
        <v>0</v>
      </c>
      <c r="BN74" s="346">
        <f t="shared" si="361"/>
        <v>0</v>
      </c>
      <c r="BO74" s="346">
        <f t="shared" si="361"/>
        <v>0</v>
      </c>
      <c r="BP74" s="346">
        <f t="shared" si="361"/>
        <v>0</v>
      </c>
      <c r="BQ74" s="346">
        <f t="shared" si="361"/>
        <v>0</v>
      </c>
      <c r="BR74" s="370">
        <f t="shared" si="26"/>
        <v>0</v>
      </c>
      <c r="BS74" s="402">
        <f t="shared" si="154"/>
        <v>0</v>
      </c>
      <c r="BT74" s="402">
        <f t="shared" si="155"/>
        <v>0</v>
      </c>
    </row>
    <row r="75" spans="1:72" s="235" customFormat="1" ht="15" hidden="1" customHeight="1" x14ac:dyDescent="0.25">
      <c r="A75" s="235" t="s">
        <v>134</v>
      </c>
      <c r="B75" s="347" t="str">
        <f>VLOOKUP(A75,'DFP-Com'!$A$16:$B$50,2,1)</f>
        <v xml:space="preserve">     2.2.c  Other</v>
      </c>
      <c r="C75" s="344" t="s">
        <v>271</v>
      </c>
      <c r="D75" s="415">
        <v>24797.88</v>
      </c>
      <c r="E75" s="344" t="s">
        <v>239</v>
      </c>
      <c r="F75" s="417"/>
      <c r="G75" s="417"/>
      <c r="H75" s="417"/>
      <c r="I75" s="345">
        <v>0</v>
      </c>
      <c r="J75" s="345">
        <v>0</v>
      </c>
      <c r="K75" s="345">
        <v>0</v>
      </c>
      <c r="L75" s="345">
        <v>0</v>
      </c>
      <c r="M75" s="345">
        <v>0</v>
      </c>
      <c r="N75" s="345">
        <v>0</v>
      </c>
      <c r="O75" s="345">
        <v>1</v>
      </c>
      <c r="P75" s="417">
        <v>0</v>
      </c>
      <c r="Q75" s="345">
        <v>0</v>
      </c>
      <c r="R75" s="345">
        <v>0</v>
      </c>
      <c r="S75" s="345">
        <v>0</v>
      </c>
      <c r="T75" s="345">
        <v>0</v>
      </c>
      <c r="U75" s="345">
        <v>0</v>
      </c>
      <c r="V75" s="345"/>
      <c r="W75" s="345"/>
      <c r="X75" s="345"/>
      <c r="Y75" s="345"/>
      <c r="Z75" s="416">
        <f>SUM(F75:X75)</f>
        <v>1</v>
      </c>
      <c r="AA75" s="344"/>
      <c r="AB75" s="344"/>
      <c r="AC75" s="415">
        <f t="shared" si="501"/>
        <v>0</v>
      </c>
      <c r="AD75" s="415">
        <f t="shared" si="501"/>
        <v>0</v>
      </c>
      <c r="AE75" s="415">
        <f t="shared" si="501"/>
        <v>0</v>
      </c>
      <c r="AF75" s="415">
        <f t="shared" si="501"/>
        <v>0</v>
      </c>
      <c r="AG75" s="415">
        <f t="shared" si="497"/>
        <v>0</v>
      </c>
      <c r="AH75" s="415">
        <f t="shared" si="502"/>
        <v>0</v>
      </c>
      <c r="AI75" s="415">
        <f t="shared" si="502"/>
        <v>0</v>
      </c>
      <c r="AJ75" s="415">
        <f t="shared" si="502"/>
        <v>0</v>
      </c>
      <c r="AK75" s="415">
        <f t="shared" si="494"/>
        <v>0</v>
      </c>
      <c r="AL75" s="415">
        <f t="shared" si="503"/>
        <v>24797.88</v>
      </c>
      <c r="AM75" s="423">
        <f t="shared" si="503"/>
        <v>0</v>
      </c>
      <c r="AN75" s="346">
        <f t="shared" si="503"/>
        <v>0</v>
      </c>
      <c r="AO75" s="346">
        <f t="shared" si="503"/>
        <v>0</v>
      </c>
      <c r="AP75" s="346">
        <f t="shared" si="503"/>
        <v>0</v>
      </c>
      <c r="AQ75" s="346">
        <f t="shared" si="503"/>
        <v>0</v>
      </c>
      <c r="AR75" s="346">
        <f t="shared" si="503"/>
        <v>0</v>
      </c>
      <c r="AS75" s="346">
        <f t="shared" si="503"/>
        <v>0</v>
      </c>
      <c r="AT75" s="346">
        <f t="shared" si="503"/>
        <v>0</v>
      </c>
      <c r="AU75" s="346">
        <f t="shared" si="503"/>
        <v>0</v>
      </c>
      <c r="AV75" s="346"/>
      <c r="AW75" s="346"/>
      <c r="AX75" s="346">
        <f t="shared" si="504"/>
        <v>0</v>
      </c>
      <c r="AY75" s="346">
        <f t="shared" si="504"/>
        <v>0</v>
      </c>
      <c r="AZ75" s="346">
        <f t="shared" si="504"/>
        <v>0</v>
      </c>
      <c r="BA75" s="346">
        <f t="shared" si="504"/>
        <v>0</v>
      </c>
      <c r="BB75" s="346">
        <f t="shared" si="504"/>
        <v>0</v>
      </c>
      <c r="BC75" s="346">
        <f t="shared" si="504"/>
        <v>0</v>
      </c>
      <c r="BD75" s="346">
        <f t="shared" si="504"/>
        <v>0</v>
      </c>
      <c r="BE75" s="346">
        <f t="shared" si="504"/>
        <v>0</v>
      </c>
      <c r="BF75" s="346">
        <f t="shared" si="504"/>
        <v>0</v>
      </c>
      <c r="BG75" s="346">
        <f t="shared" si="504"/>
        <v>24797.88</v>
      </c>
      <c r="BH75" s="346">
        <f t="shared" si="498"/>
        <v>0</v>
      </c>
      <c r="BI75" s="346">
        <f t="shared" si="498"/>
        <v>0</v>
      </c>
      <c r="BJ75" s="346">
        <f t="shared" si="498"/>
        <v>0</v>
      </c>
      <c r="BK75" s="346">
        <f t="shared" si="498"/>
        <v>0</v>
      </c>
      <c r="BL75" s="346">
        <f t="shared" si="498"/>
        <v>0</v>
      </c>
      <c r="BM75" s="346">
        <f t="shared" si="498"/>
        <v>0</v>
      </c>
      <c r="BN75" s="346">
        <f t="shared" si="498"/>
        <v>0</v>
      </c>
      <c r="BO75" s="346">
        <f t="shared" si="361"/>
        <v>0</v>
      </c>
      <c r="BP75" s="346">
        <f t="shared" si="361"/>
        <v>0</v>
      </c>
      <c r="BQ75" s="346">
        <f t="shared" si="361"/>
        <v>0</v>
      </c>
      <c r="BR75" s="370">
        <f t="shared" si="26"/>
        <v>0</v>
      </c>
      <c r="BS75" s="402">
        <f t="shared" si="154"/>
        <v>0</v>
      </c>
      <c r="BT75" s="402">
        <f t="shared" si="155"/>
        <v>0</v>
      </c>
    </row>
    <row r="76" spans="1:72" s="235" customFormat="1" ht="15" hidden="1" customHeight="1" x14ac:dyDescent="0.25">
      <c r="A76" s="235" t="s">
        <v>132</v>
      </c>
      <c r="B76" s="347" t="str">
        <f>VLOOKUP(A76,'DFP-Com'!$A$16:$B$50,2,1)</f>
        <v xml:space="preserve">     2.2.a  Advisors</v>
      </c>
      <c r="C76" s="344" t="s">
        <v>270</v>
      </c>
      <c r="D76" s="415">
        <v>0</v>
      </c>
      <c r="E76" s="344" t="s">
        <v>326</v>
      </c>
      <c r="F76" s="345"/>
      <c r="G76" s="345"/>
      <c r="H76" s="345"/>
      <c r="I76" s="345"/>
      <c r="J76" s="345"/>
      <c r="K76" s="345"/>
      <c r="L76" s="345"/>
      <c r="M76" s="345"/>
      <c r="N76" s="345"/>
      <c r="O76" s="345">
        <v>0</v>
      </c>
      <c r="P76" s="345">
        <v>0</v>
      </c>
      <c r="Q76" s="345">
        <v>0</v>
      </c>
      <c r="R76" s="345">
        <v>0</v>
      </c>
      <c r="S76" s="345">
        <v>0</v>
      </c>
      <c r="T76" s="345">
        <v>0</v>
      </c>
      <c r="U76" s="345">
        <v>0</v>
      </c>
      <c r="V76" s="418">
        <v>0</v>
      </c>
      <c r="W76" s="418">
        <v>1</v>
      </c>
      <c r="X76" s="417"/>
      <c r="Y76" s="417"/>
      <c r="Z76" s="416">
        <f>SUM(F76:X76)</f>
        <v>1</v>
      </c>
      <c r="AA76" s="344"/>
      <c r="AB76" s="344"/>
      <c r="AC76" s="415">
        <f t="shared" si="501"/>
        <v>0</v>
      </c>
      <c r="AD76" s="415">
        <f t="shared" si="501"/>
        <v>0</v>
      </c>
      <c r="AE76" s="415">
        <f t="shared" si="501"/>
        <v>0</v>
      </c>
      <c r="AF76" s="415">
        <f t="shared" si="501"/>
        <v>0</v>
      </c>
      <c r="AG76" s="415">
        <f t="shared" si="497"/>
        <v>0</v>
      </c>
      <c r="AH76" s="415">
        <f t="shared" si="502"/>
        <v>0</v>
      </c>
      <c r="AI76" s="415">
        <f t="shared" si="502"/>
        <v>0</v>
      </c>
      <c r="AJ76" s="415">
        <f t="shared" si="502"/>
        <v>0</v>
      </c>
      <c r="AK76" s="415">
        <f t="shared" si="494"/>
        <v>0</v>
      </c>
      <c r="AL76" s="415">
        <f t="shared" si="503"/>
        <v>0</v>
      </c>
      <c r="AM76" s="423">
        <f t="shared" si="503"/>
        <v>0</v>
      </c>
      <c r="AN76" s="346">
        <f t="shared" si="503"/>
        <v>0</v>
      </c>
      <c r="AO76" s="346">
        <f t="shared" si="503"/>
        <v>0</v>
      </c>
      <c r="AP76" s="346">
        <f t="shared" si="503"/>
        <v>0</v>
      </c>
      <c r="AQ76" s="346">
        <f t="shared" si="503"/>
        <v>0</v>
      </c>
      <c r="AR76" s="346">
        <f t="shared" si="503"/>
        <v>0</v>
      </c>
      <c r="AS76" s="346">
        <f t="shared" si="503"/>
        <v>0</v>
      </c>
      <c r="AT76" s="346">
        <f t="shared" si="503"/>
        <v>0</v>
      </c>
      <c r="AU76" s="346">
        <f t="shared" si="503"/>
        <v>0</v>
      </c>
      <c r="AV76" s="346"/>
      <c r="AW76" s="346"/>
      <c r="AX76" s="346">
        <f t="shared" si="504"/>
        <v>0</v>
      </c>
      <c r="AY76" s="346">
        <f t="shared" si="504"/>
        <v>0</v>
      </c>
      <c r="AZ76" s="346">
        <f t="shared" si="504"/>
        <v>0</v>
      </c>
      <c r="BA76" s="346">
        <f t="shared" si="504"/>
        <v>0</v>
      </c>
      <c r="BB76" s="346">
        <f t="shared" si="504"/>
        <v>0</v>
      </c>
      <c r="BC76" s="346">
        <f t="shared" si="504"/>
        <v>0</v>
      </c>
      <c r="BD76" s="346">
        <f t="shared" si="504"/>
        <v>0</v>
      </c>
      <c r="BE76" s="346">
        <f t="shared" si="504"/>
        <v>0</v>
      </c>
      <c r="BF76" s="346">
        <f t="shared" si="504"/>
        <v>0</v>
      </c>
      <c r="BG76" s="346">
        <f t="shared" si="504"/>
        <v>0</v>
      </c>
      <c r="BH76" s="346">
        <f t="shared" si="498"/>
        <v>0</v>
      </c>
      <c r="BI76" s="346">
        <f t="shared" si="498"/>
        <v>0</v>
      </c>
      <c r="BJ76" s="346">
        <f t="shared" si="498"/>
        <v>0</v>
      </c>
      <c r="BK76" s="346">
        <f t="shared" si="498"/>
        <v>0</v>
      </c>
      <c r="BL76" s="346">
        <f t="shared" si="498"/>
        <v>0</v>
      </c>
      <c r="BM76" s="346">
        <f t="shared" si="498"/>
        <v>0</v>
      </c>
      <c r="BN76" s="346">
        <f t="shared" si="498"/>
        <v>0</v>
      </c>
      <c r="BO76" s="346">
        <f t="shared" si="361"/>
        <v>0</v>
      </c>
      <c r="BP76" s="346">
        <f t="shared" si="361"/>
        <v>0</v>
      </c>
      <c r="BQ76" s="346">
        <f t="shared" si="361"/>
        <v>0</v>
      </c>
      <c r="BR76" s="370">
        <f t="shared" si="26"/>
        <v>0</v>
      </c>
      <c r="BS76" s="402">
        <f t="shared" si="154"/>
        <v>0</v>
      </c>
      <c r="BT76" s="402">
        <f t="shared" si="155"/>
        <v>0</v>
      </c>
    </row>
    <row r="77" spans="1:72" s="235" customFormat="1" ht="15" hidden="1" customHeight="1" x14ac:dyDescent="0.25">
      <c r="A77" s="235" t="s">
        <v>134</v>
      </c>
      <c r="B77" s="347" t="str">
        <f>VLOOKUP(A77,'DFP-Com'!$A$16:$B$50,2,1)</f>
        <v xml:space="preserve">     2.2.c  Other</v>
      </c>
      <c r="C77" s="344" t="s">
        <v>300</v>
      </c>
      <c r="D77" s="415">
        <v>9884.25</v>
      </c>
      <c r="E77" s="344" t="s">
        <v>224</v>
      </c>
      <c r="F77" s="417"/>
      <c r="G77" s="417"/>
      <c r="H77" s="417"/>
      <c r="I77" s="345">
        <v>0</v>
      </c>
      <c r="J77" s="345">
        <v>0</v>
      </c>
      <c r="K77" s="345">
        <v>0</v>
      </c>
      <c r="L77" s="345">
        <v>0</v>
      </c>
      <c r="M77" s="345">
        <v>0</v>
      </c>
      <c r="N77" s="345">
        <v>0</v>
      </c>
      <c r="O77" s="345">
        <v>0</v>
      </c>
      <c r="P77" s="345">
        <v>0</v>
      </c>
      <c r="Q77" s="345">
        <v>1</v>
      </c>
      <c r="R77" s="345">
        <v>0</v>
      </c>
      <c r="S77" s="345">
        <v>0</v>
      </c>
      <c r="T77" s="345">
        <v>0</v>
      </c>
      <c r="U77" s="345">
        <v>0</v>
      </c>
      <c r="V77" s="345"/>
      <c r="W77" s="345"/>
      <c r="X77" s="345"/>
      <c r="Y77" s="345"/>
      <c r="Z77" s="416">
        <f t="shared" ref="Z77" si="508">SUM(F77:X77)</f>
        <v>1</v>
      </c>
      <c r="AA77" s="344"/>
      <c r="AB77" s="344"/>
      <c r="AC77" s="415">
        <f t="shared" si="501"/>
        <v>0</v>
      </c>
      <c r="AD77" s="415">
        <f t="shared" si="501"/>
        <v>0</v>
      </c>
      <c r="AE77" s="415">
        <f t="shared" si="501"/>
        <v>0</v>
      </c>
      <c r="AF77" s="415">
        <f t="shared" si="501"/>
        <v>0</v>
      </c>
      <c r="AG77" s="415">
        <f t="shared" si="497"/>
        <v>0</v>
      </c>
      <c r="AH77" s="415">
        <f t="shared" si="502"/>
        <v>0</v>
      </c>
      <c r="AI77" s="415">
        <f t="shared" si="502"/>
        <v>0</v>
      </c>
      <c r="AJ77" s="415">
        <f t="shared" si="502"/>
        <v>0</v>
      </c>
      <c r="AK77" s="415">
        <f t="shared" si="494"/>
        <v>0</v>
      </c>
      <c r="AL77" s="415">
        <f t="shared" si="503"/>
        <v>0</v>
      </c>
      <c r="AM77" s="423">
        <f t="shared" si="503"/>
        <v>0</v>
      </c>
      <c r="AN77" s="346">
        <f t="shared" si="503"/>
        <v>9884.25</v>
      </c>
      <c r="AO77" s="346">
        <f t="shared" si="503"/>
        <v>0</v>
      </c>
      <c r="AP77" s="346">
        <f t="shared" si="503"/>
        <v>0</v>
      </c>
      <c r="AQ77" s="346">
        <f t="shared" si="503"/>
        <v>0</v>
      </c>
      <c r="AR77" s="346">
        <f t="shared" si="503"/>
        <v>0</v>
      </c>
      <c r="AS77" s="346">
        <f t="shared" si="503"/>
        <v>0</v>
      </c>
      <c r="AT77" s="346">
        <f t="shared" si="503"/>
        <v>0</v>
      </c>
      <c r="AU77" s="346">
        <f t="shared" si="503"/>
        <v>0</v>
      </c>
      <c r="AV77" s="346"/>
      <c r="AW77" s="346"/>
      <c r="AX77" s="346">
        <f t="shared" si="504"/>
        <v>0</v>
      </c>
      <c r="AY77" s="346">
        <f t="shared" si="504"/>
        <v>0</v>
      </c>
      <c r="AZ77" s="346">
        <f t="shared" si="504"/>
        <v>0</v>
      </c>
      <c r="BA77" s="346">
        <f t="shared" si="504"/>
        <v>0</v>
      </c>
      <c r="BB77" s="346">
        <f t="shared" si="504"/>
        <v>0</v>
      </c>
      <c r="BC77" s="346">
        <f t="shared" si="504"/>
        <v>0</v>
      </c>
      <c r="BD77" s="346">
        <f t="shared" si="504"/>
        <v>0</v>
      </c>
      <c r="BE77" s="346">
        <f t="shared" si="504"/>
        <v>0</v>
      </c>
      <c r="BF77" s="346">
        <f t="shared" si="504"/>
        <v>0</v>
      </c>
      <c r="BG77" s="346">
        <f t="shared" si="504"/>
        <v>0</v>
      </c>
      <c r="BH77" s="346">
        <f t="shared" si="498"/>
        <v>0</v>
      </c>
      <c r="BI77" s="346">
        <f t="shared" si="498"/>
        <v>9884.25</v>
      </c>
      <c r="BJ77" s="346">
        <f t="shared" si="498"/>
        <v>0</v>
      </c>
      <c r="BK77" s="346">
        <f t="shared" si="498"/>
        <v>0</v>
      </c>
      <c r="BL77" s="346">
        <f t="shared" si="498"/>
        <v>0</v>
      </c>
      <c r="BM77" s="346">
        <f t="shared" si="498"/>
        <v>0</v>
      </c>
      <c r="BN77" s="346">
        <f t="shared" si="498"/>
        <v>0</v>
      </c>
      <c r="BO77" s="346">
        <f t="shared" si="361"/>
        <v>0</v>
      </c>
      <c r="BP77" s="346">
        <f t="shared" si="361"/>
        <v>0</v>
      </c>
      <c r="BQ77" s="346">
        <f t="shared" si="361"/>
        <v>0</v>
      </c>
      <c r="BR77" s="370">
        <f t="shared" si="26"/>
        <v>0</v>
      </c>
      <c r="BS77" s="402">
        <f t="shared" si="154"/>
        <v>0</v>
      </c>
      <c r="BT77" s="402">
        <f t="shared" si="155"/>
        <v>0</v>
      </c>
    </row>
    <row r="78" spans="1:72" s="235" customFormat="1" ht="15" hidden="1" customHeight="1" x14ac:dyDescent="0.25">
      <c r="A78" s="235" t="s">
        <v>132</v>
      </c>
      <c r="B78" s="347" t="str">
        <f>VLOOKUP(A78,'DFP-Com'!$A$16:$B$50,2,1)</f>
        <v xml:space="preserve">     2.2.a  Advisors</v>
      </c>
      <c r="C78" s="344" t="s">
        <v>311</v>
      </c>
      <c r="D78" s="415">
        <v>0</v>
      </c>
      <c r="E78" s="344" t="s">
        <v>326</v>
      </c>
      <c r="F78" s="345"/>
      <c r="G78" s="345"/>
      <c r="H78" s="345"/>
      <c r="I78" s="345">
        <v>0</v>
      </c>
      <c r="J78" s="345">
        <v>0</v>
      </c>
      <c r="K78" s="345">
        <v>0</v>
      </c>
      <c r="L78" s="345">
        <v>0</v>
      </c>
      <c r="M78" s="345">
        <v>0</v>
      </c>
      <c r="N78" s="345">
        <v>0</v>
      </c>
      <c r="O78" s="345">
        <v>0</v>
      </c>
      <c r="P78" s="345">
        <v>0</v>
      </c>
      <c r="Q78" s="345">
        <v>0</v>
      </c>
      <c r="R78" s="418">
        <v>0</v>
      </c>
      <c r="S78" s="418">
        <v>0</v>
      </c>
      <c r="T78" s="418">
        <v>0</v>
      </c>
      <c r="U78" s="418">
        <v>0</v>
      </c>
      <c r="V78" s="418">
        <v>0</v>
      </c>
      <c r="W78" s="418">
        <v>1</v>
      </c>
      <c r="X78" s="417"/>
      <c r="Y78" s="417"/>
      <c r="Z78" s="416">
        <f t="shared" ref="Z78" si="509">SUM(F78:X78)</f>
        <v>1</v>
      </c>
      <c r="AA78" s="344"/>
      <c r="AB78" s="344"/>
      <c r="AC78" s="415">
        <f t="shared" ref="AC78" si="510">F78*$D78</f>
        <v>0</v>
      </c>
      <c r="AD78" s="415">
        <f t="shared" ref="AD78" si="511">G78*$D78</f>
        <v>0</v>
      </c>
      <c r="AE78" s="415">
        <f t="shared" ref="AE78" si="512">H78*$D78</f>
        <v>0</v>
      </c>
      <c r="AF78" s="415">
        <f t="shared" ref="AF78" si="513">I78*$D78</f>
        <v>0</v>
      </c>
      <c r="AG78" s="415">
        <f t="shared" ref="AG78" si="514">J78*$D78</f>
        <v>0</v>
      </c>
      <c r="AH78" s="415">
        <f t="shared" ref="AH78" si="515">K78*$D78</f>
        <v>0</v>
      </c>
      <c r="AI78" s="415">
        <f t="shared" ref="AI78" si="516">L78*$D78</f>
        <v>0</v>
      </c>
      <c r="AJ78" s="415">
        <f t="shared" ref="AJ78" si="517">M78*$D78</f>
        <v>0</v>
      </c>
      <c r="AK78" s="415">
        <f t="shared" ref="AK78" si="518">N78*$D78</f>
        <v>0</v>
      </c>
      <c r="AL78" s="415">
        <f t="shared" ref="AL78" si="519">O78*$D78</f>
        <v>0</v>
      </c>
      <c r="AM78" s="423">
        <f t="shared" ref="AM78" si="520">P78*$D78</f>
        <v>0</v>
      </c>
      <c r="AN78" s="346">
        <f t="shared" ref="AN78" si="521">Q78*$D78</f>
        <v>0</v>
      </c>
      <c r="AO78" s="346">
        <f t="shared" ref="AO78" si="522">R78*$D78</f>
        <v>0</v>
      </c>
      <c r="AP78" s="346">
        <f t="shared" ref="AP78" si="523">S78*$D78</f>
        <v>0</v>
      </c>
      <c r="AQ78" s="346">
        <f t="shared" ref="AQ78" si="524">T78*$D78</f>
        <v>0</v>
      </c>
      <c r="AR78" s="346">
        <f t="shared" ref="AR78" si="525">U78*$D78</f>
        <v>0</v>
      </c>
      <c r="AS78" s="346">
        <f t="shared" ref="AS78" si="526">V78*$D78</f>
        <v>0</v>
      </c>
      <c r="AT78" s="346">
        <f t="shared" ref="AT78" si="527">W78*$D78</f>
        <v>0</v>
      </c>
      <c r="AU78" s="346">
        <f t="shared" ref="AU78" si="528">X78*$D78</f>
        <v>0</v>
      </c>
      <c r="AV78" s="346"/>
      <c r="AW78" s="346"/>
      <c r="AX78" s="346">
        <f t="shared" si="498"/>
        <v>0</v>
      </c>
      <c r="AY78" s="346">
        <f t="shared" si="498"/>
        <v>0</v>
      </c>
      <c r="AZ78" s="346">
        <f t="shared" si="498"/>
        <v>0</v>
      </c>
      <c r="BA78" s="346">
        <f t="shared" si="498"/>
        <v>0</v>
      </c>
      <c r="BB78" s="346">
        <f t="shared" si="498"/>
        <v>0</v>
      </c>
      <c r="BC78" s="346">
        <f t="shared" si="498"/>
        <v>0</v>
      </c>
      <c r="BD78" s="346">
        <f t="shared" si="498"/>
        <v>0</v>
      </c>
      <c r="BE78" s="346">
        <f t="shared" si="498"/>
        <v>0</v>
      </c>
      <c r="BF78" s="346">
        <f t="shared" si="498"/>
        <v>0</v>
      </c>
      <c r="BG78" s="346">
        <f t="shared" si="498"/>
        <v>0</v>
      </c>
      <c r="BH78" s="346">
        <f t="shared" si="498"/>
        <v>0</v>
      </c>
      <c r="BI78" s="346">
        <f t="shared" si="498"/>
        <v>0</v>
      </c>
      <c r="BJ78" s="346">
        <f t="shared" si="498"/>
        <v>0</v>
      </c>
      <c r="BK78" s="346">
        <f t="shared" si="498"/>
        <v>0</v>
      </c>
      <c r="BL78" s="346">
        <f t="shared" si="498"/>
        <v>0</v>
      </c>
      <c r="BM78" s="346">
        <f t="shared" si="498"/>
        <v>0</v>
      </c>
      <c r="BN78" s="346">
        <f t="shared" si="361"/>
        <v>0</v>
      </c>
      <c r="BO78" s="346">
        <f t="shared" si="361"/>
        <v>0</v>
      </c>
      <c r="BP78" s="346">
        <f t="shared" si="361"/>
        <v>0</v>
      </c>
      <c r="BQ78" s="346">
        <f t="shared" si="361"/>
        <v>0</v>
      </c>
      <c r="BR78" s="370">
        <f t="shared" si="26"/>
        <v>0</v>
      </c>
      <c r="BS78" s="402">
        <f t="shared" si="154"/>
        <v>0</v>
      </c>
      <c r="BT78" s="402">
        <f t="shared" si="155"/>
        <v>0</v>
      </c>
    </row>
    <row r="79" spans="1:72" s="235" customFormat="1" ht="15" hidden="1" customHeight="1" x14ac:dyDescent="0.25">
      <c r="A79" s="235" t="s">
        <v>133</v>
      </c>
      <c r="B79" s="347" t="str">
        <f>VLOOKUP(A79,'DFP-Com'!$A$16:$B$50,2,1)</f>
        <v xml:space="preserve">     2.2.b  Feasiblity Studies/  Transaction Advisory Services</v>
      </c>
      <c r="C79" s="344" t="s">
        <v>273</v>
      </c>
      <c r="D79" s="415">
        <v>0</v>
      </c>
      <c r="E79" s="344" t="s">
        <v>295</v>
      </c>
      <c r="F79" s="417"/>
      <c r="G79" s="417"/>
      <c r="H79" s="417"/>
      <c r="I79" s="417"/>
      <c r="J79" s="345"/>
      <c r="K79" s="345">
        <v>0</v>
      </c>
      <c r="L79" s="345">
        <v>0</v>
      </c>
      <c r="M79" s="345">
        <v>0</v>
      </c>
      <c r="N79" s="345">
        <v>0</v>
      </c>
      <c r="O79" s="345">
        <v>0</v>
      </c>
      <c r="P79" s="345">
        <v>0</v>
      </c>
      <c r="Q79" s="345">
        <v>0</v>
      </c>
      <c r="R79" s="345">
        <v>0</v>
      </c>
      <c r="S79" s="418">
        <v>0</v>
      </c>
      <c r="T79" s="418">
        <v>0</v>
      </c>
      <c r="U79" s="418">
        <v>0</v>
      </c>
      <c r="V79" s="418">
        <v>0</v>
      </c>
      <c r="W79" s="418">
        <v>0</v>
      </c>
      <c r="X79" s="417"/>
      <c r="Y79" s="417"/>
      <c r="Z79" s="416">
        <f>SUM(F79:X79)</f>
        <v>0</v>
      </c>
      <c r="AA79" s="344"/>
      <c r="AB79" s="344"/>
      <c r="AC79" s="415">
        <f t="shared" ref="AC79:AC87" si="529">F79*$D79</f>
        <v>0</v>
      </c>
      <c r="AD79" s="415">
        <f t="shared" ref="AD79:AD87" si="530">G79*$D79</f>
        <v>0</v>
      </c>
      <c r="AE79" s="415">
        <f t="shared" ref="AE79:AE87" si="531">H79*$D79</f>
        <v>0</v>
      </c>
      <c r="AF79" s="415">
        <f t="shared" ref="AF79:AF87" si="532">I79*$D79</f>
        <v>0</v>
      </c>
      <c r="AG79" s="415">
        <f t="shared" ref="AG79:AG87" si="533">J79*$D79</f>
        <v>0</v>
      </c>
      <c r="AH79" s="415">
        <f t="shared" ref="AH79:AH87" si="534">K79*$D79</f>
        <v>0</v>
      </c>
      <c r="AI79" s="415">
        <f t="shared" ref="AI79:AI87" si="535">L79*$D79</f>
        <v>0</v>
      </c>
      <c r="AJ79" s="415">
        <f t="shared" ref="AJ79:AJ87" si="536">M79*$D79</f>
        <v>0</v>
      </c>
      <c r="AK79" s="415">
        <f t="shared" ref="AK79:AK87" si="537">N79*$D79</f>
        <v>0</v>
      </c>
      <c r="AL79" s="415">
        <f t="shared" ref="AL79:AL87" si="538">O79*$D79</f>
        <v>0</v>
      </c>
      <c r="AM79" s="423">
        <f t="shared" ref="AM79:AM87" si="539">P79*$D79</f>
        <v>0</v>
      </c>
      <c r="AN79" s="346">
        <f t="shared" ref="AN79:AN87" si="540">Q79*$D79</f>
        <v>0</v>
      </c>
      <c r="AO79" s="346">
        <f t="shared" ref="AO79:AO87" si="541">R79*$D79</f>
        <v>0</v>
      </c>
      <c r="AP79" s="346">
        <f t="shared" ref="AP79:AP87" si="542">S79*$D79</f>
        <v>0</v>
      </c>
      <c r="AQ79" s="346">
        <f t="shared" ref="AQ79:AQ87" si="543">T79*$D79</f>
        <v>0</v>
      </c>
      <c r="AR79" s="346">
        <f t="shared" ref="AR79:AR87" si="544">U79*$D79</f>
        <v>0</v>
      </c>
      <c r="AS79" s="346">
        <f t="shared" ref="AS79:AS87" si="545">V79*$D79</f>
        <v>0</v>
      </c>
      <c r="AT79" s="346">
        <f t="shared" ref="AT79:AT87" si="546">W79*$D79</f>
        <v>0</v>
      </c>
      <c r="AU79" s="346">
        <f t="shared" ref="AU79:AU87" si="547">X79*$D79</f>
        <v>0</v>
      </c>
      <c r="AV79" s="346"/>
      <c r="AW79" s="346"/>
      <c r="AX79" s="346">
        <f t="shared" ref="AX79:BQ79" si="548">IF(AX$3=$E79,$D79,0)</f>
        <v>0</v>
      </c>
      <c r="AY79" s="346">
        <f t="shared" si="548"/>
        <v>0</v>
      </c>
      <c r="AZ79" s="346">
        <f t="shared" si="548"/>
        <v>0</v>
      </c>
      <c r="BA79" s="346">
        <f t="shared" si="548"/>
        <v>0</v>
      </c>
      <c r="BB79" s="346">
        <f t="shared" si="548"/>
        <v>0</v>
      </c>
      <c r="BC79" s="346">
        <f t="shared" si="548"/>
        <v>0</v>
      </c>
      <c r="BD79" s="346">
        <f t="shared" si="548"/>
        <v>0</v>
      </c>
      <c r="BE79" s="346">
        <f t="shared" si="548"/>
        <v>0</v>
      </c>
      <c r="BF79" s="346">
        <f t="shared" si="548"/>
        <v>0</v>
      </c>
      <c r="BG79" s="346">
        <f t="shared" si="548"/>
        <v>0</v>
      </c>
      <c r="BH79" s="346">
        <f t="shared" si="548"/>
        <v>0</v>
      </c>
      <c r="BI79" s="346">
        <f t="shared" si="548"/>
        <v>0</v>
      </c>
      <c r="BJ79" s="346">
        <f t="shared" si="548"/>
        <v>0</v>
      </c>
      <c r="BK79" s="346">
        <f t="shared" si="548"/>
        <v>0</v>
      </c>
      <c r="BL79" s="346">
        <f t="shared" si="548"/>
        <v>0</v>
      </c>
      <c r="BM79" s="346">
        <f t="shared" si="548"/>
        <v>0</v>
      </c>
      <c r="BN79" s="346">
        <f t="shared" si="548"/>
        <v>0</v>
      </c>
      <c r="BO79" s="346">
        <f t="shared" si="548"/>
        <v>0</v>
      </c>
      <c r="BP79" s="346">
        <f t="shared" si="548"/>
        <v>0</v>
      </c>
      <c r="BQ79" s="346">
        <f t="shared" si="548"/>
        <v>0</v>
      </c>
      <c r="BR79" s="370">
        <f t="shared" si="26"/>
        <v>0</v>
      </c>
      <c r="BS79" s="402">
        <f t="shared" si="154"/>
        <v>0</v>
      </c>
      <c r="BT79" s="402">
        <f t="shared" si="155"/>
        <v>0</v>
      </c>
    </row>
    <row r="80" spans="1:72" s="235" customFormat="1" ht="14.45" hidden="1" customHeight="1" x14ac:dyDescent="0.25">
      <c r="A80" s="235" t="s">
        <v>135</v>
      </c>
      <c r="B80" s="422" t="str">
        <f>VLOOKUP(A80,'DFP-Com'!$A$16:$B$50,2,1)</f>
        <v xml:space="preserve">     3.1.a  Student Assessment</v>
      </c>
      <c r="C80" s="344" t="s">
        <v>242</v>
      </c>
      <c r="D80" s="415">
        <v>8000</v>
      </c>
      <c r="E80" s="344" t="s">
        <v>163</v>
      </c>
      <c r="F80" s="345"/>
      <c r="G80" s="345"/>
      <c r="H80" s="345"/>
      <c r="I80" s="345">
        <v>0.5</v>
      </c>
      <c r="J80" s="345">
        <v>0.5</v>
      </c>
      <c r="K80" s="417"/>
      <c r="L80" s="417"/>
      <c r="M80" s="417"/>
      <c r="N80" s="417"/>
      <c r="O80" s="417"/>
      <c r="P80" s="417"/>
      <c r="Q80" s="345"/>
      <c r="R80" s="345"/>
      <c r="S80" s="345"/>
      <c r="T80" s="345"/>
      <c r="U80" s="345"/>
      <c r="V80" s="345"/>
      <c r="W80" s="345"/>
      <c r="X80" s="345"/>
      <c r="Y80" s="345"/>
      <c r="Z80" s="416">
        <f t="shared" ref="Z80:Z87" si="549">SUM(F80:X80)</f>
        <v>1</v>
      </c>
      <c r="AA80" s="344"/>
      <c r="AB80" s="344"/>
      <c r="AC80" s="346">
        <f t="shared" si="529"/>
        <v>0</v>
      </c>
      <c r="AD80" s="346">
        <f t="shared" si="530"/>
        <v>0</v>
      </c>
      <c r="AE80" s="346">
        <f t="shared" si="531"/>
        <v>0</v>
      </c>
      <c r="AF80" s="346">
        <f t="shared" si="532"/>
        <v>4000</v>
      </c>
      <c r="AG80" s="346">
        <f t="shared" si="533"/>
        <v>4000</v>
      </c>
      <c r="AH80" s="415">
        <f t="shared" si="534"/>
        <v>0</v>
      </c>
      <c r="AI80" s="346">
        <f t="shared" si="535"/>
        <v>0</v>
      </c>
      <c r="AJ80" s="415">
        <f t="shared" si="536"/>
        <v>0</v>
      </c>
      <c r="AK80" s="415">
        <f t="shared" si="537"/>
        <v>0</v>
      </c>
      <c r="AL80" s="346">
        <f t="shared" si="538"/>
        <v>0</v>
      </c>
      <c r="AM80" s="415">
        <f t="shared" si="539"/>
        <v>0</v>
      </c>
      <c r="AN80" s="346">
        <f t="shared" si="540"/>
        <v>0</v>
      </c>
      <c r="AO80" s="346">
        <f t="shared" si="541"/>
        <v>0</v>
      </c>
      <c r="AP80" s="346">
        <f t="shared" si="542"/>
        <v>0</v>
      </c>
      <c r="AQ80" s="346">
        <f t="shared" si="543"/>
        <v>0</v>
      </c>
      <c r="AR80" s="346">
        <f t="shared" si="544"/>
        <v>0</v>
      </c>
      <c r="AS80" s="346">
        <f t="shared" si="545"/>
        <v>0</v>
      </c>
      <c r="AT80" s="346">
        <f t="shared" si="546"/>
        <v>0</v>
      </c>
      <c r="AU80" s="346">
        <f t="shared" si="547"/>
        <v>0</v>
      </c>
      <c r="AV80" s="346"/>
      <c r="AW80" s="346"/>
      <c r="AX80" s="346">
        <f t="shared" ref="AX80:BG87" si="550">IF(AX$3=$E80,$D80,0)</f>
        <v>0</v>
      </c>
      <c r="AY80" s="346">
        <f t="shared" si="550"/>
        <v>0</v>
      </c>
      <c r="AZ80" s="346">
        <f t="shared" si="550"/>
        <v>8000</v>
      </c>
      <c r="BA80" s="346">
        <f t="shared" si="550"/>
        <v>0</v>
      </c>
      <c r="BB80" s="346">
        <f t="shared" si="550"/>
        <v>0</v>
      </c>
      <c r="BC80" s="346">
        <f t="shared" si="550"/>
        <v>0</v>
      </c>
      <c r="BD80" s="346">
        <f t="shared" si="550"/>
        <v>0</v>
      </c>
      <c r="BE80" s="346">
        <f t="shared" si="550"/>
        <v>0</v>
      </c>
      <c r="BF80" s="415">
        <f t="shared" si="550"/>
        <v>0</v>
      </c>
      <c r="BG80" s="346">
        <f t="shared" si="550"/>
        <v>0</v>
      </c>
      <c r="BH80" s="346">
        <f t="shared" ref="BH80:BQ87" si="551">IF(BH$3=$E80,$D80,0)</f>
        <v>0</v>
      </c>
      <c r="BI80" s="346">
        <f t="shared" si="551"/>
        <v>0</v>
      </c>
      <c r="BJ80" s="346">
        <f t="shared" si="551"/>
        <v>0</v>
      </c>
      <c r="BK80" s="346">
        <f t="shared" si="551"/>
        <v>0</v>
      </c>
      <c r="BL80" s="346">
        <f t="shared" si="551"/>
        <v>0</v>
      </c>
      <c r="BM80" s="346">
        <f t="shared" si="551"/>
        <v>0</v>
      </c>
      <c r="BN80" s="346">
        <f t="shared" si="551"/>
        <v>0</v>
      </c>
      <c r="BO80" s="346">
        <f t="shared" si="551"/>
        <v>0</v>
      </c>
      <c r="BP80" s="346">
        <f t="shared" si="551"/>
        <v>0</v>
      </c>
      <c r="BQ80" s="346">
        <f t="shared" si="551"/>
        <v>0</v>
      </c>
      <c r="BR80" s="370">
        <f t="shared" si="26"/>
        <v>0</v>
      </c>
      <c r="BS80" s="402">
        <f t="shared" si="154"/>
        <v>0</v>
      </c>
      <c r="BT80" s="402">
        <f t="shared" si="155"/>
        <v>0</v>
      </c>
    </row>
    <row r="81" spans="1:72" s="235" customFormat="1" ht="14.45" hidden="1" customHeight="1" x14ac:dyDescent="0.25">
      <c r="A81" s="235" t="s">
        <v>135</v>
      </c>
      <c r="B81" s="422" t="str">
        <f>VLOOKUP(A81,'DFP-Com'!$A$16:$B$50,2,1)</f>
        <v xml:space="preserve">     3.1.a  Student Assessment</v>
      </c>
      <c r="C81" s="344" t="s">
        <v>243</v>
      </c>
      <c r="D81" s="415">
        <v>52000</v>
      </c>
      <c r="E81" s="344" t="s">
        <v>163</v>
      </c>
      <c r="F81" s="414"/>
      <c r="G81" s="414"/>
      <c r="H81" s="414"/>
      <c r="I81" s="414">
        <v>0.115384615384615</v>
      </c>
      <c r="J81" s="414">
        <v>0.115384615384615</v>
      </c>
      <c r="K81" s="414">
        <v>0.115384615384615</v>
      </c>
      <c r="L81" s="414">
        <v>0.115384615384615</v>
      </c>
      <c r="M81" s="414">
        <v>0.115384615384615</v>
      </c>
      <c r="N81" s="414">
        <v>0.115384615384615</v>
      </c>
      <c r="O81" s="414">
        <v>0.115384615384615</v>
      </c>
      <c r="P81" s="414">
        <v>0.115384615384615</v>
      </c>
      <c r="Q81" s="414">
        <f>1-(I81+J81+K81+L81+M81+N81+O81+P81)</f>
        <v>7.6923076923080091E-2</v>
      </c>
      <c r="R81" s="414">
        <v>0</v>
      </c>
      <c r="S81" s="414">
        <v>0</v>
      </c>
      <c r="T81" s="414">
        <v>0</v>
      </c>
      <c r="U81" s="414"/>
      <c r="V81" s="414"/>
      <c r="W81" s="414"/>
      <c r="X81" s="414"/>
      <c r="Y81" s="414"/>
      <c r="Z81" s="416">
        <f t="shared" si="549"/>
        <v>1</v>
      </c>
      <c r="AA81" s="344"/>
      <c r="AB81" s="344"/>
      <c r="AC81" s="346">
        <f t="shared" si="529"/>
        <v>0</v>
      </c>
      <c r="AD81" s="346">
        <f t="shared" si="530"/>
        <v>0</v>
      </c>
      <c r="AE81" s="346">
        <f t="shared" si="531"/>
        <v>0</v>
      </c>
      <c r="AF81" s="346">
        <f t="shared" si="532"/>
        <v>5999.99999999998</v>
      </c>
      <c r="AG81" s="346">
        <f t="shared" si="533"/>
        <v>5999.99999999998</v>
      </c>
      <c r="AH81" s="415">
        <f t="shared" si="534"/>
        <v>5999.99999999998</v>
      </c>
      <c r="AI81" s="346">
        <f t="shared" si="535"/>
        <v>5999.99999999998</v>
      </c>
      <c r="AJ81" s="415">
        <f t="shared" si="536"/>
        <v>5999.99999999998</v>
      </c>
      <c r="AK81" s="415">
        <f t="shared" si="537"/>
        <v>5999.99999999998</v>
      </c>
      <c r="AL81" s="346">
        <f t="shared" si="538"/>
        <v>5999.99999999998</v>
      </c>
      <c r="AM81" s="415">
        <f t="shared" si="539"/>
        <v>5999.99999999998</v>
      </c>
      <c r="AN81" s="346">
        <f t="shared" si="540"/>
        <v>4000.0000000001646</v>
      </c>
      <c r="AO81" s="346">
        <f t="shared" si="541"/>
        <v>0</v>
      </c>
      <c r="AP81" s="346">
        <f t="shared" si="542"/>
        <v>0</v>
      </c>
      <c r="AQ81" s="346">
        <f t="shared" si="543"/>
        <v>0</v>
      </c>
      <c r="AR81" s="346">
        <f t="shared" si="544"/>
        <v>0</v>
      </c>
      <c r="AS81" s="346">
        <f t="shared" si="545"/>
        <v>0</v>
      </c>
      <c r="AT81" s="346">
        <f t="shared" si="546"/>
        <v>0</v>
      </c>
      <c r="AU81" s="346">
        <f t="shared" si="547"/>
        <v>0</v>
      </c>
      <c r="AV81" s="346"/>
      <c r="AW81" s="346"/>
      <c r="AX81" s="346">
        <f t="shared" si="550"/>
        <v>0</v>
      </c>
      <c r="AY81" s="346">
        <f t="shared" si="550"/>
        <v>0</v>
      </c>
      <c r="AZ81" s="346">
        <f t="shared" si="550"/>
        <v>52000</v>
      </c>
      <c r="BA81" s="346">
        <f t="shared" si="550"/>
        <v>0</v>
      </c>
      <c r="BB81" s="346">
        <f t="shared" si="550"/>
        <v>0</v>
      </c>
      <c r="BC81" s="346">
        <f t="shared" si="550"/>
        <v>0</v>
      </c>
      <c r="BD81" s="346">
        <f t="shared" si="550"/>
        <v>0</v>
      </c>
      <c r="BE81" s="346">
        <f t="shared" si="550"/>
        <v>0</v>
      </c>
      <c r="BF81" s="415">
        <f t="shared" si="550"/>
        <v>0</v>
      </c>
      <c r="BG81" s="346">
        <f t="shared" si="550"/>
        <v>0</v>
      </c>
      <c r="BH81" s="346">
        <f t="shared" si="551"/>
        <v>0</v>
      </c>
      <c r="BI81" s="346">
        <f t="shared" si="551"/>
        <v>0</v>
      </c>
      <c r="BJ81" s="346">
        <f t="shared" si="551"/>
        <v>0</v>
      </c>
      <c r="BK81" s="346">
        <f t="shared" si="551"/>
        <v>0</v>
      </c>
      <c r="BL81" s="346">
        <f t="shared" si="551"/>
        <v>0</v>
      </c>
      <c r="BM81" s="346">
        <f t="shared" si="551"/>
        <v>0</v>
      </c>
      <c r="BN81" s="346">
        <f t="shared" si="551"/>
        <v>0</v>
      </c>
      <c r="BO81" s="346">
        <f t="shared" si="551"/>
        <v>0</v>
      </c>
      <c r="BP81" s="346">
        <f t="shared" si="551"/>
        <v>0</v>
      </c>
      <c r="BQ81" s="346">
        <f t="shared" si="551"/>
        <v>0</v>
      </c>
      <c r="BR81" s="370">
        <f t="shared" si="26"/>
        <v>0</v>
      </c>
      <c r="BS81" s="402">
        <f t="shared" si="154"/>
        <v>0</v>
      </c>
      <c r="BT81" s="402">
        <f t="shared" si="155"/>
        <v>0</v>
      </c>
    </row>
    <row r="82" spans="1:72" s="235" customFormat="1" ht="15" hidden="1" customHeight="1" x14ac:dyDescent="0.25">
      <c r="A82" s="235" t="s">
        <v>135</v>
      </c>
      <c r="B82" s="422" t="str">
        <f>VLOOKUP(A82,'DFP-Com'!$A$16:$B$50,2,1)</f>
        <v xml:space="preserve">     3.1.a  Student Assessment</v>
      </c>
      <c r="C82" s="344" t="s">
        <v>214</v>
      </c>
      <c r="D82" s="415">
        <v>8100</v>
      </c>
      <c r="E82" s="344" t="s">
        <v>195</v>
      </c>
      <c r="F82" s="345"/>
      <c r="G82" s="345"/>
      <c r="H82" s="345"/>
      <c r="I82" s="345">
        <v>0</v>
      </c>
      <c r="J82" s="345">
        <v>0.41666666667000002</v>
      </c>
      <c r="K82" s="345">
        <v>0.58333333332999993</v>
      </c>
      <c r="L82" s="417"/>
      <c r="M82" s="417"/>
      <c r="N82" s="417"/>
      <c r="O82" s="417"/>
      <c r="P82" s="417"/>
      <c r="Q82" s="345"/>
      <c r="R82" s="345"/>
      <c r="S82" s="345"/>
      <c r="T82" s="345"/>
      <c r="U82" s="345"/>
      <c r="V82" s="345"/>
      <c r="W82" s="345"/>
      <c r="X82" s="345"/>
      <c r="Y82" s="345"/>
      <c r="Z82" s="416">
        <f t="shared" si="549"/>
        <v>1</v>
      </c>
      <c r="AA82" s="344"/>
      <c r="AB82" s="344"/>
      <c r="AC82" s="346">
        <f t="shared" si="529"/>
        <v>0</v>
      </c>
      <c r="AD82" s="346">
        <f t="shared" si="530"/>
        <v>0</v>
      </c>
      <c r="AE82" s="346">
        <f t="shared" si="531"/>
        <v>0</v>
      </c>
      <c r="AF82" s="346">
        <f t="shared" si="532"/>
        <v>0</v>
      </c>
      <c r="AG82" s="346">
        <f t="shared" si="533"/>
        <v>3375.0000000270002</v>
      </c>
      <c r="AH82" s="346">
        <f t="shared" si="534"/>
        <v>4724.9999999729998</v>
      </c>
      <c r="AI82" s="346">
        <f t="shared" si="535"/>
        <v>0</v>
      </c>
      <c r="AJ82" s="415">
        <f t="shared" si="536"/>
        <v>0</v>
      </c>
      <c r="AK82" s="415">
        <f t="shared" si="537"/>
        <v>0</v>
      </c>
      <c r="AL82" s="346">
        <f t="shared" si="538"/>
        <v>0</v>
      </c>
      <c r="AM82" s="415">
        <f t="shared" si="539"/>
        <v>0</v>
      </c>
      <c r="AN82" s="346">
        <f t="shared" si="540"/>
        <v>0</v>
      </c>
      <c r="AO82" s="346">
        <f t="shared" si="541"/>
        <v>0</v>
      </c>
      <c r="AP82" s="346">
        <f t="shared" si="542"/>
        <v>0</v>
      </c>
      <c r="AQ82" s="346">
        <f t="shared" si="543"/>
        <v>0</v>
      </c>
      <c r="AR82" s="346">
        <f t="shared" si="544"/>
        <v>0</v>
      </c>
      <c r="AS82" s="346">
        <f t="shared" si="545"/>
        <v>0</v>
      </c>
      <c r="AT82" s="346">
        <f t="shared" si="546"/>
        <v>0</v>
      </c>
      <c r="AU82" s="346">
        <f t="shared" si="547"/>
        <v>0</v>
      </c>
      <c r="AV82" s="346"/>
      <c r="AW82" s="346"/>
      <c r="AX82" s="346">
        <f t="shared" si="550"/>
        <v>0</v>
      </c>
      <c r="AY82" s="346">
        <f t="shared" si="550"/>
        <v>0</v>
      </c>
      <c r="AZ82" s="346">
        <f t="shared" si="550"/>
        <v>0</v>
      </c>
      <c r="BA82" s="346">
        <f t="shared" si="550"/>
        <v>8100</v>
      </c>
      <c r="BB82" s="346">
        <f t="shared" si="550"/>
        <v>0</v>
      </c>
      <c r="BC82" s="346">
        <f t="shared" si="550"/>
        <v>0</v>
      </c>
      <c r="BD82" s="346">
        <f t="shared" si="550"/>
        <v>0</v>
      </c>
      <c r="BE82" s="346">
        <f t="shared" si="550"/>
        <v>0</v>
      </c>
      <c r="BF82" s="415">
        <f t="shared" si="550"/>
        <v>0</v>
      </c>
      <c r="BG82" s="346">
        <f t="shared" si="550"/>
        <v>0</v>
      </c>
      <c r="BH82" s="346">
        <f t="shared" si="551"/>
        <v>0</v>
      </c>
      <c r="BI82" s="346">
        <f t="shared" si="551"/>
        <v>0</v>
      </c>
      <c r="BJ82" s="346">
        <f t="shared" si="551"/>
        <v>0</v>
      </c>
      <c r="BK82" s="346">
        <f t="shared" si="551"/>
        <v>0</v>
      </c>
      <c r="BL82" s="346">
        <f t="shared" si="551"/>
        <v>0</v>
      </c>
      <c r="BM82" s="346">
        <f t="shared" si="551"/>
        <v>0</v>
      </c>
      <c r="BN82" s="346">
        <f t="shared" si="551"/>
        <v>0</v>
      </c>
      <c r="BO82" s="346">
        <f t="shared" si="551"/>
        <v>0</v>
      </c>
      <c r="BP82" s="346">
        <f t="shared" si="551"/>
        <v>0</v>
      </c>
      <c r="BQ82" s="346">
        <f t="shared" si="551"/>
        <v>0</v>
      </c>
      <c r="BR82" s="370">
        <f t="shared" si="26"/>
        <v>0</v>
      </c>
      <c r="BS82" s="402">
        <f t="shared" si="154"/>
        <v>0</v>
      </c>
      <c r="BT82" s="402">
        <f t="shared" si="155"/>
        <v>0</v>
      </c>
    </row>
    <row r="83" spans="1:72" s="235" customFormat="1" ht="15" hidden="1" customHeight="1" x14ac:dyDescent="0.25">
      <c r="A83" s="235" t="s">
        <v>135</v>
      </c>
      <c r="B83" s="422" t="str">
        <f>VLOOKUP(A83,'DFP-Com'!$A$16:$B$50,2,1)</f>
        <v xml:space="preserve">     3.1.a  Student Assessment</v>
      </c>
      <c r="C83" s="344" t="s">
        <v>215</v>
      </c>
      <c r="D83" s="415">
        <v>18700</v>
      </c>
      <c r="E83" s="344" t="s">
        <v>195</v>
      </c>
      <c r="F83" s="345"/>
      <c r="G83" s="345"/>
      <c r="H83" s="345"/>
      <c r="I83" s="345">
        <v>0</v>
      </c>
      <c r="J83" s="345">
        <v>0.36363636363599999</v>
      </c>
      <c r="K83" s="345">
        <v>0.63636363636399995</v>
      </c>
      <c r="L83" s="417"/>
      <c r="M83" s="417"/>
      <c r="N83" s="417"/>
      <c r="O83" s="417"/>
      <c r="P83" s="417"/>
      <c r="Q83" s="345"/>
      <c r="R83" s="345"/>
      <c r="S83" s="345"/>
      <c r="T83" s="345"/>
      <c r="U83" s="345"/>
      <c r="V83" s="345"/>
      <c r="W83" s="345"/>
      <c r="X83" s="345"/>
      <c r="Y83" s="345"/>
      <c r="Z83" s="416">
        <f t="shared" si="549"/>
        <v>1</v>
      </c>
      <c r="AA83" s="344"/>
      <c r="AB83" s="344"/>
      <c r="AC83" s="346">
        <f t="shared" si="529"/>
        <v>0</v>
      </c>
      <c r="AD83" s="346">
        <f t="shared" si="530"/>
        <v>0</v>
      </c>
      <c r="AE83" s="346">
        <f t="shared" si="531"/>
        <v>0</v>
      </c>
      <c r="AF83" s="346">
        <f t="shared" si="532"/>
        <v>0</v>
      </c>
      <c r="AG83" s="346">
        <f t="shared" si="533"/>
        <v>6799.9999999931997</v>
      </c>
      <c r="AH83" s="415">
        <f t="shared" si="534"/>
        <v>11900.000000006799</v>
      </c>
      <c r="AI83" s="346">
        <f t="shared" si="535"/>
        <v>0</v>
      </c>
      <c r="AJ83" s="415">
        <f t="shared" si="536"/>
        <v>0</v>
      </c>
      <c r="AK83" s="415">
        <f t="shared" si="537"/>
        <v>0</v>
      </c>
      <c r="AL83" s="346">
        <f t="shared" si="538"/>
        <v>0</v>
      </c>
      <c r="AM83" s="415">
        <f t="shared" si="539"/>
        <v>0</v>
      </c>
      <c r="AN83" s="346">
        <f t="shared" si="540"/>
        <v>0</v>
      </c>
      <c r="AO83" s="346">
        <f t="shared" si="541"/>
        <v>0</v>
      </c>
      <c r="AP83" s="346">
        <f t="shared" si="542"/>
        <v>0</v>
      </c>
      <c r="AQ83" s="346">
        <f t="shared" si="543"/>
        <v>0</v>
      </c>
      <c r="AR83" s="346">
        <f t="shared" si="544"/>
        <v>0</v>
      </c>
      <c r="AS83" s="346">
        <f t="shared" si="545"/>
        <v>0</v>
      </c>
      <c r="AT83" s="346">
        <f t="shared" si="546"/>
        <v>0</v>
      </c>
      <c r="AU83" s="346">
        <f t="shared" si="547"/>
        <v>0</v>
      </c>
      <c r="AV83" s="346"/>
      <c r="AW83" s="346"/>
      <c r="AX83" s="346">
        <f t="shared" si="550"/>
        <v>0</v>
      </c>
      <c r="AY83" s="346">
        <f t="shared" si="550"/>
        <v>0</v>
      </c>
      <c r="AZ83" s="346">
        <f t="shared" si="550"/>
        <v>0</v>
      </c>
      <c r="BA83" s="346">
        <f t="shared" si="550"/>
        <v>18700</v>
      </c>
      <c r="BB83" s="346">
        <f t="shared" si="550"/>
        <v>0</v>
      </c>
      <c r="BC83" s="346">
        <f t="shared" si="550"/>
        <v>0</v>
      </c>
      <c r="BD83" s="346">
        <f t="shared" si="550"/>
        <v>0</v>
      </c>
      <c r="BE83" s="346">
        <f t="shared" si="550"/>
        <v>0</v>
      </c>
      <c r="BF83" s="415">
        <f t="shared" si="550"/>
        <v>0</v>
      </c>
      <c r="BG83" s="346">
        <f t="shared" si="550"/>
        <v>0</v>
      </c>
      <c r="BH83" s="346">
        <f t="shared" si="551"/>
        <v>0</v>
      </c>
      <c r="BI83" s="346">
        <f t="shared" si="551"/>
        <v>0</v>
      </c>
      <c r="BJ83" s="346">
        <f t="shared" si="551"/>
        <v>0</v>
      </c>
      <c r="BK83" s="346">
        <f t="shared" si="551"/>
        <v>0</v>
      </c>
      <c r="BL83" s="346">
        <f t="shared" si="551"/>
        <v>0</v>
      </c>
      <c r="BM83" s="346">
        <f t="shared" si="551"/>
        <v>0</v>
      </c>
      <c r="BN83" s="346">
        <f t="shared" si="551"/>
        <v>0</v>
      </c>
      <c r="BO83" s="346">
        <f t="shared" si="551"/>
        <v>0</v>
      </c>
      <c r="BP83" s="346">
        <f t="shared" si="551"/>
        <v>0</v>
      </c>
      <c r="BQ83" s="346">
        <f t="shared" si="551"/>
        <v>0</v>
      </c>
      <c r="BR83" s="370">
        <f t="shared" si="26"/>
        <v>0</v>
      </c>
      <c r="BS83" s="402">
        <f t="shared" si="154"/>
        <v>0</v>
      </c>
      <c r="BT83" s="402">
        <f t="shared" si="155"/>
        <v>0</v>
      </c>
    </row>
    <row r="84" spans="1:72" s="235" customFormat="1" ht="15" hidden="1" customHeight="1" x14ac:dyDescent="0.25">
      <c r="A84" s="235" t="s">
        <v>135</v>
      </c>
      <c r="B84" s="422" t="str">
        <f>VLOOKUP(A84,'DFP-Com'!$A$16:$B$50,2,1)</f>
        <v xml:space="preserve">     3.1.a  Student Assessment</v>
      </c>
      <c r="C84" s="344" t="s">
        <v>245</v>
      </c>
      <c r="D84" s="415">
        <v>13200</v>
      </c>
      <c r="E84" s="344" t="s">
        <v>192</v>
      </c>
      <c r="F84" s="345"/>
      <c r="G84" s="345"/>
      <c r="H84" s="345"/>
      <c r="I84" s="345"/>
      <c r="J84" s="345"/>
      <c r="K84" s="345">
        <v>1</v>
      </c>
      <c r="L84" s="345"/>
      <c r="M84" s="345"/>
      <c r="N84" s="345"/>
      <c r="O84" s="417"/>
      <c r="P84" s="417"/>
      <c r="Q84" s="417"/>
      <c r="R84" s="417"/>
      <c r="S84" s="417"/>
      <c r="T84" s="417"/>
      <c r="U84" s="417"/>
      <c r="V84" s="417"/>
      <c r="W84" s="417"/>
      <c r="X84" s="417"/>
      <c r="Y84" s="417"/>
      <c r="Z84" s="416">
        <f t="shared" si="549"/>
        <v>1</v>
      </c>
      <c r="AA84" s="344"/>
      <c r="AB84" s="344"/>
      <c r="AC84" s="346">
        <f t="shared" si="529"/>
        <v>0</v>
      </c>
      <c r="AD84" s="346">
        <f t="shared" si="530"/>
        <v>0</v>
      </c>
      <c r="AE84" s="346">
        <f t="shared" si="531"/>
        <v>0</v>
      </c>
      <c r="AF84" s="346">
        <f t="shared" si="532"/>
        <v>0</v>
      </c>
      <c r="AG84" s="346">
        <f t="shared" si="533"/>
        <v>0</v>
      </c>
      <c r="AH84" s="346">
        <f t="shared" si="534"/>
        <v>13200</v>
      </c>
      <c r="AI84" s="346">
        <f t="shared" si="535"/>
        <v>0</v>
      </c>
      <c r="AJ84" s="415">
        <f t="shared" si="536"/>
        <v>0</v>
      </c>
      <c r="AK84" s="346">
        <f t="shared" si="537"/>
        <v>0</v>
      </c>
      <c r="AL84" s="346">
        <f t="shared" si="538"/>
        <v>0</v>
      </c>
      <c r="AM84" s="346">
        <f t="shared" si="539"/>
        <v>0</v>
      </c>
      <c r="AN84" s="346">
        <f t="shared" si="540"/>
        <v>0</v>
      </c>
      <c r="AO84" s="346">
        <f t="shared" si="541"/>
        <v>0</v>
      </c>
      <c r="AP84" s="346">
        <f t="shared" si="542"/>
        <v>0</v>
      </c>
      <c r="AQ84" s="346">
        <f t="shared" si="543"/>
        <v>0</v>
      </c>
      <c r="AR84" s="346">
        <f t="shared" si="544"/>
        <v>0</v>
      </c>
      <c r="AS84" s="346">
        <f t="shared" si="545"/>
        <v>0</v>
      </c>
      <c r="AT84" s="346">
        <f t="shared" si="546"/>
        <v>0</v>
      </c>
      <c r="AU84" s="346">
        <f t="shared" si="547"/>
        <v>0</v>
      </c>
      <c r="AV84" s="346"/>
      <c r="AW84" s="346"/>
      <c r="AX84" s="346">
        <f t="shared" si="550"/>
        <v>0</v>
      </c>
      <c r="AY84" s="346">
        <f t="shared" si="550"/>
        <v>0</v>
      </c>
      <c r="AZ84" s="346">
        <f t="shared" si="550"/>
        <v>0</v>
      </c>
      <c r="BA84" s="346">
        <f t="shared" si="550"/>
        <v>0</v>
      </c>
      <c r="BB84" s="346">
        <f t="shared" si="550"/>
        <v>13200</v>
      </c>
      <c r="BC84" s="346">
        <f t="shared" si="550"/>
        <v>0</v>
      </c>
      <c r="BD84" s="346">
        <f t="shared" si="550"/>
        <v>0</v>
      </c>
      <c r="BE84" s="346">
        <f t="shared" si="550"/>
        <v>0</v>
      </c>
      <c r="BF84" s="346">
        <f t="shared" si="550"/>
        <v>0</v>
      </c>
      <c r="BG84" s="346">
        <f t="shared" si="550"/>
        <v>0</v>
      </c>
      <c r="BH84" s="346">
        <f t="shared" si="551"/>
        <v>0</v>
      </c>
      <c r="BI84" s="346">
        <f t="shared" si="551"/>
        <v>0</v>
      </c>
      <c r="BJ84" s="346">
        <f t="shared" si="551"/>
        <v>0</v>
      </c>
      <c r="BK84" s="346">
        <f t="shared" si="551"/>
        <v>0</v>
      </c>
      <c r="BL84" s="346">
        <f t="shared" si="551"/>
        <v>0</v>
      </c>
      <c r="BM84" s="346">
        <f t="shared" si="551"/>
        <v>0</v>
      </c>
      <c r="BN84" s="346">
        <f t="shared" si="551"/>
        <v>0</v>
      </c>
      <c r="BO84" s="346">
        <f t="shared" si="551"/>
        <v>0</v>
      </c>
      <c r="BP84" s="346">
        <f t="shared" si="551"/>
        <v>0</v>
      </c>
      <c r="BQ84" s="346">
        <f t="shared" si="551"/>
        <v>0</v>
      </c>
      <c r="BR84" s="370">
        <f t="shared" si="26"/>
        <v>0</v>
      </c>
      <c r="BS84" s="402">
        <f t="shared" si="154"/>
        <v>0</v>
      </c>
      <c r="BT84" s="402">
        <f t="shared" si="155"/>
        <v>0</v>
      </c>
    </row>
    <row r="85" spans="1:72" s="235" customFormat="1" ht="14.45" hidden="1" customHeight="1" x14ac:dyDescent="0.25">
      <c r="A85" s="235" t="s">
        <v>138</v>
      </c>
      <c r="B85" s="422" t="str">
        <f>VLOOKUP(A85,'DFP-Com'!$A$16:$B$50,2,1)</f>
        <v xml:space="preserve">     3.1 d Other</v>
      </c>
      <c r="C85" s="344" t="s">
        <v>303</v>
      </c>
      <c r="D85" s="415">
        <v>640.16</v>
      </c>
      <c r="E85" s="344" t="s">
        <v>192</v>
      </c>
      <c r="F85" s="417"/>
      <c r="G85" s="417"/>
      <c r="H85" s="417"/>
      <c r="I85" s="417"/>
      <c r="J85" s="417"/>
      <c r="K85" s="345">
        <v>1</v>
      </c>
      <c r="L85" s="345"/>
      <c r="M85" s="417"/>
      <c r="N85" s="417"/>
      <c r="O85" s="417"/>
      <c r="P85" s="417"/>
      <c r="Q85" s="345">
        <v>0</v>
      </c>
      <c r="R85" s="345">
        <v>0</v>
      </c>
      <c r="S85" s="345">
        <v>0</v>
      </c>
      <c r="T85" s="345">
        <v>0</v>
      </c>
      <c r="U85" s="345"/>
      <c r="V85" s="345"/>
      <c r="W85" s="345"/>
      <c r="X85" s="345"/>
      <c r="Y85" s="345"/>
      <c r="Z85" s="416">
        <f t="shared" si="549"/>
        <v>1</v>
      </c>
      <c r="AA85" s="344"/>
      <c r="AB85" s="344"/>
      <c r="AC85" s="346">
        <f t="shared" si="529"/>
        <v>0</v>
      </c>
      <c r="AD85" s="346">
        <f t="shared" si="530"/>
        <v>0</v>
      </c>
      <c r="AE85" s="346">
        <f t="shared" si="531"/>
        <v>0</v>
      </c>
      <c r="AF85" s="346">
        <f t="shared" si="532"/>
        <v>0</v>
      </c>
      <c r="AG85" s="346">
        <f t="shared" si="533"/>
        <v>0</v>
      </c>
      <c r="AH85" s="415">
        <f t="shared" si="534"/>
        <v>640.16</v>
      </c>
      <c r="AI85" s="346">
        <f t="shared" si="535"/>
        <v>0</v>
      </c>
      <c r="AJ85" s="415">
        <f t="shared" si="536"/>
        <v>0</v>
      </c>
      <c r="AK85" s="346">
        <f t="shared" si="537"/>
        <v>0</v>
      </c>
      <c r="AL85" s="346">
        <f t="shared" si="538"/>
        <v>0</v>
      </c>
      <c r="AM85" s="415">
        <f t="shared" si="539"/>
        <v>0</v>
      </c>
      <c r="AN85" s="346">
        <f t="shared" si="540"/>
        <v>0</v>
      </c>
      <c r="AO85" s="346">
        <f t="shared" si="541"/>
        <v>0</v>
      </c>
      <c r="AP85" s="346">
        <f t="shared" si="542"/>
        <v>0</v>
      </c>
      <c r="AQ85" s="346">
        <f t="shared" si="543"/>
        <v>0</v>
      </c>
      <c r="AR85" s="346">
        <f t="shared" si="544"/>
        <v>0</v>
      </c>
      <c r="AS85" s="346">
        <f t="shared" si="545"/>
        <v>0</v>
      </c>
      <c r="AT85" s="346">
        <f t="shared" si="546"/>
        <v>0</v>
      </c>
      <c r="AU85" s="346">
        <f t="shared" si="547"/>
        <v>0</v>
      </c>
      <c r="AV85" s="346"/>
      <c r="AW85" s="346"/>
      <c r="AX85" s="346">
        <f t="shared" si="550"/>
        <v>0</v>
      </c>
      <c r="AY85" s="346">
        <f t="shared" si="550"/>
        <v>0</v>
      </c>
      <c r="AZ85" s="346">
        <f t="shared" si="550"/>
        <v>0</v>
      </c>
      <c r="BA85" s="346">
        <f t="shared" si="550"/>
        <v>0</v>
      </c>
      <c r="BB85" s="346">
        <f t="shared" si="550"/>
        <v>640.16</v>
      </c>
      <c r="BC85" s="415">
        <f t="shared" si="550"/>
        <v>0</v>
      </c>
      <c r="BD85" s="346">
        <f t="shared" si="550"/>
        <v>0</v>
      </c>
      <c r="BE85" s="346">
        <f t="shared" si="550"/>
        <v>0</v>
      </c>
      <c r="BF85" s="346">
        <f t="shared" si="550"/>
        <v>0</v>
      </c>
      <c r="BG85" s="346">
        <f t="shared" si="550"/>
        <v>0</v>
      </c>
      <c r="BH85" s="346">
        <f t="shared" si="551"/>
        <v>0</v>
      </c>
      <c r="BI85" s="346">
        <f t="shared" si="551"/>
        <v>0</v>
      </c>
      <c r="BJ85" s="346">
        <f t="shared" si="551"/>
        <v>0</v>
      </c>
      <c r="BK85" s="346">
        <f t="shared" si="551"/>
        <v>0</v>
      </c>
      <c r="BL85" s="346">
        <f t="shared" si="551"/>
        <v>0</v>
      </c>
      <c r="BM85" s="346">
        <f t="shared" si="551"/>
        <v>0</v>
      </c>
      <c r="BN85" s="346">
        <f t="shared" si="551"/>
        <v>0</v>
      </c>
      <c r="BO85" s="346">
        <f t="shared" si="551"/>
        <v>0</v>
      </c>
      <c r="BP85" s="346">
        <f t="shared" si="551"/>
        <v>0</v>
      </c>
      <c r="BQ85" s="346">
        <f t="shared" si="551"/>
        <v>0</v>
      </c>
      <c r="BR85" s="370">
        <f t="shared" si="26"/>
        <v>0</v>
      </c>
      <c r="BS85" s="402">
        <f t="shared" si="154"/>
        <v>0</v>
      </c>
      <c r="BT85" s="402">
        <f t="shared" si="155"/>
        <v>0</v>
      </c>
    </row>
    <row r="86" spans="1:72" s="235" customFormat="1" ht="14.45" hidden="1" customHeight="1" x14ac:dyDescent="0.25">
      <c r="A86" s="235" t="s">
        <v>138</v>
      </c>
      <c r="B86" s="422" t="str">
        <f>VLOOKUP(A86,'DFP-Com'!$A$16:$B$50,2,1)</f>
        <v xml:space="preserve">     3.1 d Other</v>
      </c>
      <c r="C86" s="344" t="s">
        <v>251</v>
      </c>
      <c r="D86" s="415">
        <v>13864.72</v>
      </c>
      <c r="E86" s="344" t="s">
        <v>165</v>
      </c>
      <c r="F86" s="417"/>
      <c r="G86" s="417"/>
      <c r="H86" s="417"/>
      <c r="I86" s="417"/>
      <c r="J86" s="417"/>
      <c r="K86" s="345">
        <v>1</v>
      </c>
      <c r="L86" s="345"/>
      <c r="M86" s="417"/>
      <c r="N86" s="417"/>
      <c r="O86" s="417"/>
      <c r="P86" s="417"/>
      <c r="Q86" s="345">
        <v>0</v>
      </c>
      <c r="R86" s="345">
        <v>0</v>
      </c>
      <c r="S86" s="345">
        <v>0</v>
      </c>
      <c r="T86" s="345">
        <v>0</v>
      </c>
      <c r="U86" s="345"/>
      <c r="V86" s="345"/>
      <c r="W86" s="345"/>
      <c r="X86" s="345"/>
      <c r="Y86" s="345"/>
      <c r="Z86" s="416">
        <f t="shared" si="549"/>
        <v>1</v>
      </c>
      <c r="AA86" s="344"/>
      <c r="AB86" s="344"/>
      <c r="AC86" s="346">
        <f t="shared" si="529"/>
        <v>0</v>
      </c>
      <c r="AD86" s="346">
        <f t="shared" si="530"/>
        <v>0</v>
      </c>
      <c r="AE86" s="346">
        <f t="shared" si="531"/>
        <v>0</v>
      </c>
      <c r="AF86" s="346">
        <f t="shared" si="532"/>
        <v>0</v>
      </c>
      <c r="AG86" s="346">
        <f t="shared" si="533"/>
        <v>0</v>
      </c>
      <c r="AH86" s="415">
        <f t="shared" si="534"/>
        <v>13864.72</v>
      </c>
      <c r="AI86" s="346">
        <f t="shared" si="535"/>
        <v>0</v>
      </c>
      <c r="AJ86" s="415">
        <f t="shared" si="536"/>
        <v>0</v>
      </c>
      <c r="AK86" s="346">
        <f t="shared" si="537"/>
        <v>0</v>
      </c>
      <c r="AL86" s="346">
        <f t="shared" si="538"/>
        <v>0</v>
      </c>
      <c r="AM86" s="415">
        <f t="shared" si="539"/>
        <v>0</v>
      </c>
      <c r="AN86" s="346">
        <f t="shared" si="540"/>
        <v>0</v>
      </c>
      <c r="AO86" s="346">
        <f t="shared" si="541"/>
        <v>0</v>
      </c>
      <c r="AP86" s="346">
        <f t="shared" si="542"/>
        <v>0</v>
      </c>
      <c r="AQ86" s="346">
        <f t="shared" si="543"/>
        <v>0</v>
      </c>
      <c r="AR86" s="346">
        <f t="shared" si="544"/>
        <v>0</v>
      </c>
      <c r="AS86" s="346">
        <f t="shared" si="545"/>
        <v>0</v>
      </c>
      <c r="AT86" s="346">
        <f t="shared" si="546"/>
        <v>0</v>
      </c>
      <c r="AU86" s="346">
        <f t="shared" si="547"/>
        <v>0</v>
      </c>
      <c r="AV86" s="346"/>
      <c r="AW86" s="346"/>
      <c r="AX86" s="346">
        <f t="shared" si="550"/>
        <v>0</v>
      </c>
      <c r="AY86" s="346">
        <f t="shared" si="550"/>
        <v>0</v>
      </c>
      <c r="AZ86" s="346">
        <f t="shared" si="550"/>
        <v>0</v>
      </c>
      <c r="BA86" s="346">
        <f t="shared" si="550"/>
        <v>0</v>
      </c>
      <c r="BB86" s="346">
        <f t="shared" si="550"/>
        <v>0</v>
      </c>
      <c r="BC86" s="415">
        <f t="shared" si="550"/>
        <v>13864.72</v>
      </c>
      <c r="BD86" s="346">
        <f t="shared" si="550"/>
        <v>0</v>
      </c>
      <c r="BE86" s="346">
        <f t="shared" si="550"/>
        <v>0</v>
      </c>
      <c r="BF86" s="346">
        <f t="shared" si="550"/>
        <v>0</v>
      </c>
      <c r="BG86" s="346">
        <f t="shared" si="550"/>
        <v>0</v>
      </c>
      <c r="BH86" s="346">
        <f t="shared" si="551"/>
        <v>0</v>
      </c>
      <c r="BI86" s="346">
        <f t="shared" si="551"/>
        <v>0</v>
      </c>
      <c r="BJ86" s="346">
        <f t="shared" si="551"/>
        <v>0</v>
      </c>
      <c r="BK86" s="346">
        <f t="shared" si="551"/>
        <v>0</v>
      </c>
      <c r="BL86" s="346">
        <f t="shared" si="551"/>
        <v>0</v>
      </c>
      <c r="BM86" s="346">
        <f t="shared" si="551"/>
        <v>0</v>
      </c>
      <c r="BN86" s="346">
        <f t="shared" si="551"/>
        <v>0</v>
      </c>
      <c r="BO86" s="346">
        <f t="shared" si="551"/>
        <v>0</v>
      </c>
      <c r="BP86" s="346">
        <f t="shared" si="551"/>
        <v>0</v>
      </c>
      <c r="BQ86" s="346">
        <f t="shared" si="551"/>
        <v>0</v>
      </c>
      <c r="BR86" s="370">
        <f t="shared" si="26"/>
        <v>0</v>
      </c>
      <c r="BS86" s="402">
        <f t="shared" si="154"/>
        <v>0</v>
      </c>
      <c r="BT86" s="402">
        <f t="shared" si="155"/>
        <v>0</v>
      </c>
    </row>
    <row r="87" spans="1:72" s="235" customFormat="1" ht="14.45" hidden="1" customHeight="1" x14ac:dyDescent="0.25">
      <c r="A87" s="235" t="s">
        <v>138</v>
      </c>
      <c r="B87" s="422" t="str">
        <f>VLOOKUP(A87,'DFP-Com'!$A$16:$B$50,2,1)</f>
        <v xml:space="preserve">     3.1 d Other</v>
      </c>
      <c r="C87" s="344" t="s">
        <v>252</v>
      </c>
      <c r="D87" s="415">
        <v>475.49</v>
      </c>
      <c r="E87" s="344" t="s">
        <v>177</v>
      </c>
      <c r="F87" s="417"/>
      <c r="G87" s="417"/>
      <c r="H87" s="417"/>
      <c r="I87" s="417"/>
      <c r="J87" s="417"/>
      <c r="K87" s="345"/>
      <c r="L87" s="345">
        <v>1</v>
      </c>
      <c r="M87" s="417"/>
      <c r="N87" s="417"/>
      <c r="O87" s="417"/>
      <c r="P87" s="417"/>
      <c r="Q87" s="345">
        <v>0</v>
      </c>
      <c r="R87" s="345">
        <v>0</v>
      </c>
      <c r="S87" s="345">
        <v>0</v>
      </c>
      <c r="T87" s="345">
        <v>0</v>
      </c>
      <c r="U87" s="345"/>
      <c r="V87" s="345"/>
      <c r="W87" s="345"/>
      <c r="X87" s="345"/>
      <c r="Y87" s="345"/>
      <c r="Z87" s="416">
        <f t="shared" si="549"/>
        <v>1</v>
      </c>
      <c r="AA87" s="344"/>
      <c r="AB87" s="344"/>
      <c r="AC87" s="346">
        <f t="shared" si="529"/>
        <v>0</v>
      </c>
      <c r="AD87" s="346">
        <f t="shared" si="530"/>
        <v>0</v>
      </c>
      <c r="AE87" s="346">
        <f t="shared" si="531"/>
        <v>0</v>
      </c>
      <c r="AF87" s="346">
        <f t="shared" si="532"/>
        <v>0</v>
      </c>
      <c r="AG87" s="346">
        <f t="shared" si="533"/>
        <v>0</v>
      </c>
      <c r="AH87" s="415">
        <f t="shared" si="534"/>
        <v>0</v>
      </c>
      <c r="AI87" s="346">
        <f t="shared" si="535"/>
        <v>475.49</v>
      </c>
      <c r="AJ87" s="415">
        <f t="shared" si="536"/>
        <v>0</v>
      </c>
      <c r="AK87" s="346">
        <f t="shared" si="537"/>
        <v>0</v>
      </c>
      <c r="AL87" s="346">
        <f t="shared" si="538"/>
        <v>0</v>
      </c>
      <c r="AM87" s="415">
        <f t="shared" si="539"/>
        <v>0</v>
      </c>
      <c r="AN87" s="346">
        <f t="shared" si="540"/>
        <v>0</v>
      </c>
      <c r="AO87" s="346">
        <f t="shared" si="541"/>
        <v>0</v>
      </c>
      <c r="AP87" s="346">
        <f t="shared" si="542"/>
        <v>0</v>
      </c>
      <c r="AQ87" s="346">
        <f t="shared" si="543"/>
        <v>0</v>
      </c>
      <c r="AR87" s="346">
        <f t="shared" si="544"/>
        <v>0</v>
      </c>
      <c r="AS87" s="346">
        <f t="shared" si="545"/>
        <v>0</v>
      </c>
      <c r="AT87" s="346">
        <f t="shared" si="546"/>
        <v>0</v>
      </c>
      <c r="AU87" s="346">
        <f t="shared" si="547"/>
        <v>0</v>
      </c>
      <c r="AV87" s="346"/>
      <c r="AW87" s="346"/>
      <c r="AX87" s="346">
        <f t="shared" si="550"/>
        <v>0</v>
      </c>
      <c r="AY87" s="346">
        <f t="shared" si="550"/>
        <v>0</v>
      </c>
      <c r="AZ87" s="346">
        <f t="shared" si="550"/>
        <v>0</v>
      </c>
      <c r="BA87" s="346">
        <f t="shared" si="550"/>
        <v>0</v>
      </c>
      <c r="BB87" s="346">
        <f t="shared" si="550"/>
        <v>0</v>
      </c>
      <c r="BC87" s="346">
        <f t="shared" si="550"/>
        <v>0</v>
      </c>
      <c r="BD87" s="346">
        <f t="shared" si="550"/>
        <v>475.49</v>
      </c>
      <c r="BE87" s="346">
        <f t="shared" si="550"/>
        <v>0</v>
      </c>
      <c r="BF87" s="346">
        <f t="shared" si="550"/>
        <v>0</v>
      </c>
      <c r="BG87" s="346">
        <f t="shared" si="550"/>
        <v>0</v>
      </c>
      <c r="BH87" s="346">
        <f t="shared" si="551"/>
        <v>0</v>
      </c>
      <c r="BI87" s="346">
        <f t="shared" si="551"/>
        <v>0</v>
      </c>
      <c r="BJ87" s="346">
        <f t="shared" si="551"/>
        <v>0</v>
      </c>
      <c r="BK87" s="346">
        <f t="shared" si="551"/>
        <v>0</v>
      </c>
      <c r="BL87" s="346">
        <f t="shared" si="551"/>
        <v>0</v>
      </c>
      <c r="BM87" s="346">
        <f t="shared" si="551"/>
        <v>0</v>
      </c>
      <c r="BN87" s="346">
        <f t="shared" si="551"/>
        <v>0</v>
      </c>
      <c r="BO87" s="346">
        <f t="shared" si="551"/>
        <v>0</v>
      </c>
      <c r="BP87" s="346">
        <f t="shared" si="551"/>
        <v>0</v>
      </c>
      <c r="BQ87" s="346">
        <f t="shared" si="551"/>
        <v>0</v>
      </c>
      <c r="BR87" s="370">
        <f t="shared" si="26"/>
        <v>0</v>
      </c>
      <c r="BS87" s="402">
        <f t="shared" si="154"/>
        <v>0</v>
      </c>
      <c r="BT87" s="402">
        <f t="shared" si="155"/>
        <v>0</v>
      </c>
    </row>
    <row r="88" spans="1:72" s="235" customFormat="1" ht="15" hidden="1" customHeight="1" x14ac:dyDescent="0.25">
      <c r="A88" s="235" t="s">
        <v>135</v>
      </c>
      <c r="B88" s="422" t="str">
        <f>VLOOKUP(A88,'DFP-Com'!$A$16:$B$50,2,1)</f>
        <v xml:space="preserve">     3.1.a  Student Assessment</v>
      </c>
      <c r="C88" s="344" t="s">
        <v>254</v>
      </c>
      <c r="D88" s="415">
        <v>49165.090000000004</v>
      </c>
      <c r="E88" s="344" t="s">
        <v>177</v>
      </c>
      <c r="F88" s="417"/>
      <c r="G88" s="417"/>
      <c r="H88" s="417"/>
      <c r="I88" s="417"/>
      <c r="J88" s="417"/>
      <c r="K88" s="417"/>
      <c r="L88" s="345">
        <v>0</v>
      </c>
      <c r="M88" s="345">
        <v>0.88205655679670281</v>
      </c>
      <c r="N88" s="345">
        <v>0</v>
      </c>
      <c r="O88" s="345">
        <v>7.6316345602133545E-2</v>
      </c>
      <c r="P88" s="345">
        <v>4.1627097601163753E-2</v>
      </c>
      <c r="Q88" s="345"/>
      <c r="R88" s="345"/>
      <c r="S88" s="345"/>
      <c r="T88" s="345"/>
      <c r="U88" s="345"/>
      <c r="V88" s="345"/>
      <c r="W88" s="345"/>
      <c r="X88" s="345"/>
      <c r="Y88" s="345"/>
      <c r="Z88" s="416">
        <f t="shared" si="21"/>
        <v>1</v>
      </c>
      <c r="AA88" s="344"/>
      <c r="AB88" s="344"/>
      <c r="AC88" s="346">
        <f t="shared" si="0"/>
        <v>0</v>
      </c>
      <c r="AD88" s="346">
        <f t="shared" si="1"/>
        <v>0</v>
      </c>
      <c r="AE88" s="346">
        <f t="shared" si="2"/>
        <v>0</v>
      </c>
      <c r="AF88" s="346">
        <f t="shared" si="3"/>
        <v>0</v>
      </c>
      <c r="AG88" s="346">
        <f>J88*$D88</f>
        <v>0</v>
      </c>
      <c r="AH88" s="346">
        <f t="shared" si="22"/>
        <v>0</v>
      </c>
      <c r="AI88" s="346">
        <f t="shared" si="23"/>
        <v>0</v>
      </c>
      <c r="AJ88" s="415">
        <f t="shared" si="24"/>
        <v>43366.390000000007</v>
      </c>
      <c r="AK88" s="415">
        <f>N88*$D88</f>
        <v>0</v>
      </c>
      <c r="AL88" s="415">
        <f t="shared" si="25"/>
        <v>3752.1000000000004</v>
      </c>
      <c r="AM88" s="415">
        <f t="shared" si="8"/>
        <v>2046.6000000000001</v>
      </c>
      <c r="AN88" s="346">
        <f t="shared" si="9"/>
        <v>0</v>
      </c>
      <c r="AO88" s="346">
        <f t="shared" si="10"/>
        <v>0</v>
      </c>
      <c r="AP88" s="346">
        <f t="shared" si="11"/>
        <v>0</v>
      </c>
      <c r="AQ88" s="346">
        <f t="shared" si="12"/>
        <v>0</v>
      </c>
      <c r="AR88" s="346">
        <f t="shared" ref="AR88:AR147" si="552">U88*$D88</f>
        <v>0</v>
      </c>
      <c r="AS88" s="346">
        <f t="shared" si="14"/>
        <v>0</v>
      </c>
      <c r="AT88" s="346">
        <f t="shared" si="15"/>
        <v>0</v>
      </c>
      <c r="AU88" s="346">
        <f t="shared" si="16"/>
        <v>0</v>
      </c>
      <c r="AV88" s="346"/>
      <c r="AW88" s="346"/>
      <c r="AX88" s="346">
        <f t="shared" ref="AX88:BL128" si="553">IF(AX$3=$E88,$D88,0)</f>
        <v>0</v>
      </c>
      <c r="AY88" s="346">
        <f t="shared" si="553"/>
        <v>0</v>
      </c>
      <c r="AZ88" s="346">
        <f t="shared" si="553"/>
        <v>0</v>
      </c>
      <c r="BA88" s="346">
        <f t="shared" si="553"/>
        <v>0</v>
      </c>
      <c r="BB88" s="346">
        <f t="shared" si="553"/>
        <v>0</v>
      </c>
      <c r="BC88" s="346">
        <f t="shared" si="553"/>
        <v>0</v>
      </c>
      <c r="BD88" s="346">
        <f t="shared" si="553"/>
        <v>49165.090000000004</v>
      </c>
      <c r="BE88" s="346">
        <f t="shared" si="553"/>
        <v>0</v>
      </c>
      <c r="BF88" s="346">
        <f t="shared" si="553"/>
        <v>0</v>
      </c>
      <c r="BG88" s="346">
        <f t="shared" si="553"/>
        <v>0</v>
      </c>
      <c r="BH88" s="346">
        <f t="shared" si="553"/>
        <v>0</v>
      </c>
      <c r="BI88" s="346">
        <f t="shared" si="553"/>
        <v>0</v>
      </c>
      <c r="BJ88" s="346">
        <f t="shared" si="553"/>
        <v>0</v>
      </c>
      <c r="BK88" s="346">
        <f t="shared" si="553"/>
        <v>0</v>
      </c>
      <c r="BL88" s="346">
        <f t="shared" si="553"/>
        <v>0</v>
      </c>
      <c r="BM88" s="346">
        <f t="shared" si="498"/>
        <v>0</v>
      </c>
      <c r="BN88" s="346">
        <f t="shared" ref="BN88:BQ91" si="554">IF(BN$3=$E88,$D88,0)</f>
        <v>0</v>
      </c>
      <c r="BO88" s="346">
        <f t="shared" si="554"/>
        <v>0</v>
      </c>
      <c r="BP88" s="346">
        <f t="shared" si="554"/>
        <v>0</v>
      </c>
      <c r="BQ88" s="346">
        <f t="shared" si="554"/>
        <v>0</v>
      </c>
      <c r="BR88" s="370">
        <f t="shared" si="26"/>
        <v>0</v>
      </c>
      <c r="BS88" s="402">
        <f t="shared" si="154"/>
        <v>0</v>
      </c>
      <c r="BT88" s="402">
        <f t="shared" si="155"/>
        <v>0</v>
      </c>
    </row>
    <row r="89" spans="1:72" s="235" customFormat="1" ht="15" hidden="1" customHeight="1" x14ac:dyDescent="0.25">
      <c r="A89" s="235" t="s">
        <v>135</v>
      </c>
      <c r="B89" s="422" t="str">
        <f>VLOOKUP(A89,'DFP-Com'!$A$16:$B$50,2,1)</f>
        <v xml:space="preserve">     3.1.a  Student Assessment</v>
      </c>
      <c r="C89" s="344" t="s">
        <v>255</v>
      </c>
      <c r="D89" s="415">
        <f>45000-6498</f>
        <v>38502</v>
      </c>
      <c r="E89" s="344" t="s">
        <v>177</v>
      </c>
      <c r="F89" s="417"/>
      <c r="G89" s="417"/>
      <c r="H89" s="417"/>
      <c r="I89" s="417"/>
      <c r="J89" s="417"/>
      <c r="K89" s="417"/>
      <c r="L89" s="345">
        <v>0</v>
      </c>
      <c r="M89" s="345">
        <v>0.10950080515297907</v>
      </c>
      <c r="N89" s="345">
        <v>0.89049919484702089</v>
      </c>
      <c r="O89" s="345">
        <v>0</v>
      </c>
      <c r="P89" s="345">
        <f>1-(O89+N89+M89)</f>
        <v>0</v>
      </c>
      <c r="Q89" s="345"/>
      <c r="R89" s="345"/>
      <c r="S89" s="345"/>
      <c r="T89" s="345"/>
      <c r="U89" s="345"/>
      <c r="V89" s="345"/>
      <c r="W89" s="345"/>
      <c r="X89" s="345"/>
      <c r="Y89" s="345"/>
      <c r="Z89" s="416">
        <f t="shared" si="21"/>
        <v>1</v>
      </c>
      <c r="AA89" s="344"/>
      <c r="AB89" s="344"/>
      <c r="AC89" s="346">
        <f t="shared" ref="AC89:AC91" si="555">F89*$D89</f>
        <v>0</v>
      </c>
      <c r="AD89" s="346">
        <f t="shared" ref="AD89:AD91" si="556">G89*$D89</f>
        <v>0</v>
      </c>
      <c r="AE89" s="346">
        <f t="shared" ref="AE89:AE91" si="557">H89*$D89</f>
        <v>0</v>
      </c>
      <c r="AF89" s="346">
        <f t="shared" ref="AF89:AF91" si="558">I89*$D89</f>
        <v>0</v>
      </c>
      <c r="AG89" s="346">
        <f t="shared" ref="AG89:AG91" si="559">J89*$D89</f>
        <v>0</v>
      </c>
      <c r="AH89" s="346">
        <f t="shared" ref="AH89:AH91" si="560">K89*$D89</f>
        <v>0</v>
      </c>
      <c r="AI89" s="346">
        <f t="shared" ref="AI89:AI91" si="561">L89*$D89</f>
        <v>0</v>
      </c>
      <c r="AJ89" s="415">
        <f t="shared" ref="AJ89:AJ91" si="562">M89*$D89</f>
        <v>4216</v>
      </c>
      <c r="AK89" s="415">
        <f t="shared" ref="AK89:AK91" si="563">N89*$D89</f>
        <v>34286</v>
      </c>
      <c r="AL89" s="346">
        <f t="shared" ref="AL89:AL91" si="564">O89*$D89</f>
        <v>0</v>
      </c>
      <c r="AM89" s="415">
        <f t="shared" ref="AM89:AM91" si="565">P89*$D89</f>
        <v>0</v>
      </c>
      <c r="AN89" s="346">
        <f t="shared" ref="AN89:AN91" si="566">Q89*$D89</f>
        <v>0</v>
      </c>
      <c r="AO89" s="346">
        <f t="shared" ref="AO89:AO91" si="567">R89*$D89</f>
        <v>0</v>
      </c>
      <c r="AP89" s="346">
        <f t="shared" ref="AP89:AP91" si="568">S89*$D89</f>
        <v>0</v>
      </c>
      <c r="AQ89" s="346">
        <f t="shared" ref="AQ89:AQ91" si="569">T89*$D89</f>
        <v>0</v>
      </c>
      <c r="AR89" s="346">
        <f t="shared" si="552"/>
        <v>0</v>
      </c>
      <c r="AS89" s="346">
        <f t="shared" si="14"/>
        <v>0</v>
      </c>
      <c r="AT89" s="346">
        <f t="shared" si="15"/>
        <v>0</v>
      </c>
      <c r="AU89" s="346">
        <f t="shared" si="16"/>
        <v>0</v>
      </c>
      <c r="AV89" s="346"/>
      <c r="AW89" s="346"/>
      <c r="AX89" s="346">
        <f t="shared" si="553"/>
        <v>0</v>
      </c>
      <c r="AY89" s="346">
        <f t="shared" si="553"/>
        <v>0</v>
      </c>
      <c r="AZ89" s="346">
        <f t="shared" si="553"/>
        <v>0</v>
      </c>
      <c r="BA89" s="346">
        <f t="shared" si="553"/>
        <v>0</v>
      </c>
      <c r="BB89" s="346">
        <f t="shared" si="553"/>
        <v>0</v>
      </c>
      <c r="BC89" s="346">
        <f t="shared" si="553"/>
        <v>0</v>
      </c>
      <c r="BD89" s="346">
        <f t="shared" si="553"/>
        <v>38502</v>
      </c>
      <c r="BE89" s="346">
        <f t="shared" si="553"/>
        <v>0</v>
      </c>
      <c r="BF89" s="346">
        <f t="shared" si="553"/>
        <v>0</v>
      </c>
      <c r="BG89" s="346">
        <f t="shared" si="553"/>
        <v>0</v>
      </c>
      <c r="BH89" s="346">
        <f t="shared" si="553"/>
        <v>0</v>
      </c>
      <c r="BI89" s="346">
        <f t="shared" si="553"/>
        <v>0</v>
      </c>
      <c r="BJ89" s="346">
        <f t="shared" si="553"/>
        <v>0</v>
      </c>
      <c r="BK89" s="346">
        <f t="shared" si="553"/>
        <v>0</v>
      </c>
      <c r="BL89" s="346">
        <f t="shared" si="553"/>
        <v>0</v>
      </c>
      <c r="BM89" s="346">
        <f t="shared" si="498"/>
        <v>0</v>
      </c>
      <c r="BN89" s="346">
        <f t="shared" si="554"/>
        <v>0</v>
      </c>
      <c r="BO89" s="346">
        <f t="shared" si="554"/>
        <v>0</v>
      </c>
      <c r="BP89" s="346">
        <f t="shared" si="554"/>
        <v>0</v>
      </c>
      <c r="BQ89" s="346">
        <f t="shared" si="554"/>
        <v>0</v>
      </c>
      <c r="BR89" s="370">
        <f t="shared" si="26"/>
        <v>0</v>
      </c>
      <c r="BS89" s="402">
        <f t="shared" si="154"/>
        <v>0</v>
      </c>
      <c r="BT89" s="402">
        <f t="shared" si="155"/>
        <v>0</v>
      </c>
    </row>
    <row r="90" spans="1:72" s="235" customFormat="1" ht="15" hidden="1" customHeight="1" x14ac:dyDescent="0.25">
      <c r="A90" s="235" t="s">
        <v>135</v>
      </c>
      <c r="B90" s="422" t="str">
        <f>VLOOKUP(A90,'DFP-Com'!$A$16:$B$50,2,1)</f>
        <v xml:space="preserve">     3.1.a  Student Assessment</v>
      </c>
      <c r="C90" s="344" t="s">
        <v>256</v>
      </c>
      <c r="D90" s="415">
        <v>68334.489999999991</v>
      </c>
      <c r="E90" s="344" t="s">
        <v>212</v>
      </c>
      <c r="F90" s="417"/>
      <c r="G90" s="417"/>
      <c r="H90" s="417"/>
      <c r="I90" s="417"/>
      <c r="J90" s="417"/>
      <c r="K90" s="417"/>
      <c r="L90" s="345">
        <v>0</v>
      </c>
      <c r="M90" s="345">
        <v>0</v>
      </c>
      <c r="N90" s="345">
        <v>1</v>
      </c>
      <c r="O90" s="345">
        <v>0</v>
      </c>
      <c r="P90" s="345">
        <v>0</v>
      </c>
      <c r="Q90" s="345"/>
      <c r="R90" s="345"/>
      <c r="S90" s="345"/>
      <c r="T90" s="345"/>
      <c r="U90" s="345"/>
      <c r="V90" s="345"/>
      <c r="W90" s="345"/>
      <c r="X90" s="345"/>
      <c r="Y90" s="345"/>
      <c r="Z90" s="416">
        <f t="shared" si="21"/>
        <v>1</v>
      </c>
      <c r="AA90" s="344"/>
      <c r="AB90" s="344"/>
      <c r="AC90" s="346">
        <f t="shared" si="555"/>
        <v>0</v>
      </c>
      <c r="AD90" s="346">
        <f t="shared" si="556"/>
        <v>0</v>
      </c>
      <c r="AE90" s="346">
        <f t="shared" si="557"/>
        <v>0</v>
      </c>
      <c r="AF90" s="346">
        <f t="shared" si="558"/>
        <v>0</v>
      </c>
      <c r="AG90" s="346">
        <f t="shared" si="559"/>
        <v>0</v>
      </c>
      <c r="AH90" s="346">
        <f t="shared" si="560"/>
        <v>0</v>
      </c>
      <c r="AI90" s="346">
        <f t="shared" si="561"/>
        <v>0</v>
      </c>
      <c r="AJ90" s="415">
        <f t="shared" si="562"/>
        <v>0</v>
      </c>
      <c r="AK90" s="415">
        <f t="shared" si="563"/>
        <v>68334.489999999991</v>
      </c>
      <c r="AL90" s="346">
        <f t="shared" si="564"/>
        <v>0</v>
      </c>
      <c r="AM90" s="415">
        <f t="shared" si="565"/>
        <v>0</v>
      </c>
      <c r="AN90" s="346">
        <f t="shared" si="566"/>
        <v>0</v>
      </c>
      <c r="AO90" s="346">
        <f t="shared" si="567"/>
        <v>0</v>
      </c>
      <c r="AP90" s="346">
        <f t="shared" si="568"/>
        <v>0</v>
      </c>
      <c r="AQ90" s="346">
        <f t="shared" si="569"/>
        <v>0</v>
      </c>
      <c r="AR90" s="346">
        <f t="shared" si="552"/>
        <v>0</v>
      </c>
      <c r="AS90" s="346">
        <f t="shared" si="14"/>
        <v>0</v>
      </c>
      <c r="AT90" s="346">
        <f t="shared" si="15"/>
        <v>0</v>
      </c>
      <c r="AU90" s="346">
        <f t="shared" si="16"/>
        <v>0</v>
      </c>
      <c r="AV90" s="346"/>
      <c r="AW90" s="346"/>
      <c r="AX90" s="346">
        <f t="shared" ref="AX90:BN91" si="570">IF(AX$3=$E90,$D90,0)</f>
        <v>0</v>
      </c>
      <c r="AY90" s="346">
        <f t="shared" si="570"/>
        <v>0</v>
      </c>
      <c r="AZ90" s="346">
        <f t="shared" si="570"/>
        <v>0</v>
      </c>
      <c r="BA90" s="346">
        <f t="shared" si="570"/>
        <v>0</v>
      </c>
      <c r="BB90" s="346">
        <f t="shared" si="570"/>
        <v>0</v>
      </c>
      <c r="BC90" s="346">
        <f t="shared" si="570"/>
        <v>0</v>
      </c>
      <c r="BD90" s="346">
        <f t="shared" si="570"/>
        <v>0</v>
      </c>
      <c r="BE90" s="346">
        <f t="shared" si="570"/>
        <v>68334.489999999991</v>
      </c>
      <c r="BF90" s="415">
        <f t="shared" si="570"/>
        <v>0</v>
      </c>
      <c r="BG90" s="346">
        <f t="shared" si="570"/>
        <v>0</v>
      </c>
      <c r="BH90" s="346">
        <f t="shared" si="570"/>
        <v>0</v>
      </c>
      <c r="BI90" s="346">
        <f t="shared" si="570"/>
        <v>0</v>
      </c>
      <c r="BJ90" s="346">
        <f t="shared" si="570"/>
        <v>0</v>
      </c>
      <c r="BK90" s="346">
        <f t="shared" si="570"/>
        <v>0</v>
      </c>
      <c r="BL90" s="346">
        <f t="shared" si="570"/>
        <v>0</v>
      </c>
      <c r="BM90" s="346">
        <f t="shared" si="570"/>
        <v>0</v>
      </c>
      <c r="BN90" s="346">
        <f t="shared" si="570"/>
        <v>0</v>
      </c>
      <c r="BO90" s="346">
        <f t="shared" si="554"/>
        <v>0</v>
      </c>
      <c r="BP90" s="346">
        <f t="shared" si="554"/>
        <v>0</v>
      </c>
      <c r="BQ90" s="346">
        <f t="shared" si="554"/>
        <v>0</v>
      </c>
      <c r="BR90" s="370">
        <f t="shared" si="26"/>
        <v>0</v>
      </c>
      <c r="BS90" s="402">
        <f t="shared" si="154"/>
        <v>0</v>
      </c>
      <c r="BT90" s="402">
        <f t="shared" si="155"/>
        <v>0</v>
      </c>
    </row>
    <row r="91" spans="1:72" s="235" customFormat="1" ht="15" hidden="1" customHeight="1" x14ac:dyDescent="0.25">
      <c r="A91" s="235" t="s">
        <v>135</v>
      </c>
      <c r="B91" s="422" t="str">
        <f>VLOOKUP(A91,'DFP-Com'!$A$16:$B$50,2,1)</f>
        <v xml:space="preserve">     3.1.a  Student Assessment</v>
      </c>
      <c r="C91" s="344" t="s">
        <v>257</v>
      </c>
      <c r="D91" s="415">
        <v>7848.12</v>
      </c>
      <c r="E91" s="344" t="s">
        <v>212</v>
      </c>
      <c r="F91" s="417"/>
      <c r="G91" s="417"/>
      <c r="H91" s="417"/>
      <c r="I91" s="417"/>
      <c r="J91" s="417"/>
      <c r="K91" s="417"/>
      <c r="L91" s="345">
        <v>0</v>
      </c>
      <c r="M91" s="345">
        <v>0</v>
      </c>
      <c r="N91" s="345">
        <v>1</v>
      </c>
      <c r="O91" s="345">
        <v>0</v>
      </c>
      <c r="P91" s="345">
        <v>0</v>
      </c>
      <c r="Q91" s="345"/>
      <c r="R91" s="345"/>
      <c r="S91" s="345"/>
      <c r="T91" s="345"/>
      <c r="U91" s="345"/>
      <c r="V91" s="345"/>
      <c r="W91" s="345"/>
      <c r="X91" s="345"/>
      <c r="Y91" s="345"/>
      <c r="Z91" s="416">
        <f t="shared" si="21"/>
        <v>1</v>
      </c>
      <c r="AA91" s="344"/>
      <c r="AB91" s="344"/>
      <c r="AC91" s="346">
        <f t="shared" si="555"/>
        <v>0</v>
      </c>
      <c r="AD91" s="346">
        <f t="shared" si="556"/>
        <v>0</v>
      </c>
      <c r="AE91" s="346">
        <f t="shared" si="557"/>
        <v>0</v>
      </c>
      <c r="AF91" s="346">
        <f t="shared" si="558"/>
        <v>0</v>
      </c>
      <c r="AG91" s="346">
        <f t="shared" si="559"/>
        <v>0</v>
      </c>
      <c r="AH91" s="346">
        <f t="shared" si="560"/>
        <v>0</v>
      </c>
      <c r="AI91" s="346">
        <f t="shared" si="561"/>
        <v>0</v>
      </c>
      <c r="AJ91" s="415">
        <f t="shared" si="562"/>
        <v>0</v>
      </c>
      <c r="AK91" s="415">
        <f t="shared" si="563"/>
        <v>7848.12</v>
      </c>
      <c r="AL91" s="346">
        <f t="shared" si="564"/>
        <v>0</v>
      </c>
      <c r="AM91" s="415">
        <f t="shared" si="565"/>
        <v>0</v>
      </c>
      <c r="AN91" s="346">
        <f t="shared" si="566"/>
        <v>0</v>
      </c>
      <c r="AO91" s="346">
        <f t="shared" si="567"/>
        <v>0</v>
      </c>
      <c r="AP91" s="346">
        <f t="shared" si="568"/>
        <v>0</v>
      </c>
      <c r="AQ91" s="346">
        <f t="shared" si="569"/>
        <v>0</v>
      </c>
      <c r="AR91" s="346">
        <f t="shared" si="552"/>
        <v>0</v>
      </c>
      <c r="AS91" s="346">
        <f t="shared" si="14"/>
        <v>0</v>
      </c>
      <c r="AT91" s="346">
        <f t="shared" si="15"/>
        <v>0</v>
      </c>
      <c r="AU91" s="346">
        <f t="shared" si="16"/>
        <v>0</v>
      </c>
      <c r="AV91" s="346"/>
      <c r="AW91" s="346"/>
      <c r="AX91" s="346">
        <f t="shared" si="570"/>
        <v>0</v>
      </c>
      <c r="AY91" s="346">
        <f t="shared" si="570"/>
        <v>0</v>
      </c>
      <c r="AZ91" s="346">
        <f t="shared" si="570"/>
        <v>0</v>
      </c>
      <c r="BA91" s="346">
        <f t="shared" si="570"/>
        <v>0</v>
      </c>
      <c r="BB91" s="346">
        <f t="shared" si="570"/>
        <v>0</v>
      </c>
      <c r="BC91" s="346">
        <f t="shared" si="570"/>
        <v>0</v>
      </c>
      <c r="BD91" s="346">
        <f t="shared" si="570"/>
        <v>0</v>
      </c>
      <c r="BE91" s="415">
        <f t="shared" si="570"/>
        <v>7848.12</v>
      </c>
      <c r="BF91" s="415">
        <f t="shared" si="570"/>
        <v>0</v>
      </c>
      <c r="BG91" s="346">
        <f t="shared" si="570"/>
        <v>0</v>
      </c>
      <c r="BH91" s="346">
        <f t="shared" si="570"/>
        <v>0</v>
      </c>
      <c r="BI91" s="346">
        <f t="shared" si="570"/>
        <v>0</v>
      </c>
      <c r="BJ91" s="346">
        <f t="shared" si="570"/>
        <v>0</v>
      </c>
      <c r="BK91" s="346">
        <f t="shared" si="570"/>
        <v>0</v>
      </c>
      <c r="BL91" s="346">
        <f t="shared" si="570"/>
        <v>0</v>
      </c>
      <c r="BM91" s="346">
        <f t="shared" si="570"/>
        <v>0</v>
      </c>
      <c r="BN91" s="346">
        <f t="shared" si="554"/>
        <v>0</v>
      </c>
      <c r="BO91" s="346">
        <f t="shared" si="554"/>
        <v>0</v>
      </c>
      <c r="BP91" s="346">
        <f t="shared" si="554"/>
        <v>0</v>
      </c>
      <c r="BQ91" s="346">
        <f t="shared" si="554"/>
        <v>0</v>
      </c>
      <c r="BR91" s="370">
        <f t="shared" si="26"/>
        <v>0</v>
      </c>
      <c r="BS91" s="402">
        <f t="shared" si="154"/>
        <v>0</v>
      </c>
      <c r="BT91" s="402">
        <f t="shared" si="155"/>
        <v>0</v>
      </c>
    </row>
    <row r="92" spans="1:72" s="235" customFormat="1" ht="14.45" hidden="1" customHeight="1" x14ac:dyDescent="0.25">
      <c r="A92" s="235" t="s">
        <v>138</v>
      </c>
      <c r="B92" s="422" t="str">
        <f>VLOOKUP(A92,'DFP-Com'!$A$16:$B$50,2,1)</f>
        <v xml:space="preserve">     3.1 d Other</v>
      </c>
      <c r="C92" s="344" t="s">
        <v>258</v>
      </c>
      <c r="D92" s="415">
        <v>203.63</v>
      </c>
      <c r="E92" s="344" t="s">
        <v>212</v>
      </c>
      <c r="F92" s="417"/>
      <c r="G92" s="417"/>
      <c r="H92" s="417"/>
      <c r="I92" s="417"/>
      <c r="J92" s="417"/>
      <c r="K92" s="345"/>
      <c r="L92" s="345">
        <v>0</v>
      </c>
      <c r="M92" s="345">
        <v>1</v>
      </c>
      <c r="N92" s="417"/>
      <c r="O92" s="417"/>
      <c r="P92" s="417"/>
      <c r="Q92" s="345">
        <v>0</v>
      </c>
      <c r="R92" s="345">
        <v>0</v>
      </c>
      <c r="S92" s="345">
        <v>0</v>
      </c>
      <c r="T92" s="345">
        <v>0</v>
      </c>
      <c r="U92" s="345"/>
      <c r="V92" s="345"/>
      <c r="W92" s="345"/>
      <c r="X92" s="345"/>
      <c r="Y92" s="345"/>
      <c r="Z92" s="416">
        <f>SUM(F92:X92)</f>
        <v>1</v>
      </c>
      <c r="AA92" s="344"/>
      <c r="AB92" s="344"/>
      <c r="AC92" s="346">
        <f t="shared" ref="AC92:AL100" si="571">F92*$D92</f>
        <v>0</v>
      </c>
      <c r="AD92" s="346">
        <f t="shared" si="571"/>
        <v>0</v>
      </c>
      <c r="AE92" s="346">
        <f t="shared" si="571"/>
        <v>0</v>
      </c>
      <c r="AF92" s="346">
        <f t="shared" si="571"/>
        <v>0</v>
      </c>
      <c r="AG92" s="346">
        <f t="shared" si="571"/>
        <v>0</v>
      </c>
      <c r="AH92" s="415">
        <f t="shared" si="571"/>
        <v>0</v>
      </c>
      <c r="AI92" s="346">
        <f t="shared" si="571"/>
        <v>0</v>
      </c>
      <c r="AJ92" s="415">
        <f t="shared" si="571"/>
        <v>203.63</v>
      </c>
      <c r="AK92" s="346">
        <f t="shared" si="571"/>
        <v>0</v>
      </c>
      <c r="AL92" s="346">
        <f t="shared" si="571"/>
        <v>0</v>
      </c>
      <c r="AM92" s="415">
        <f t="shared" ref="AM92:AU100" si="572">P92*$D92</f>
        <v>0</v>
      </c>
      <c r="AN92" s="346">
        <f t="shared" si="572"/>
        <v>0</v>
      </c>
      <c r="AO92" s="346">
        <f t="shared" si="572"/>
        <v>0</v>
      </c>
      <c r="AP92" s="346">
        <f t="shared" si="572"/>
        <v>0</v>
      </c>
      <c r="AQ92" s="346">
        <f t="shared" si="572"/>
        <v>0</v>
      </c>
      <c r="AR92" s="346">
        <f t="shared" si="572"/>
        <v>0</v>
      </c>
      <c r="AS92" s="346">
        <f t="shared" si="572"/>
        <v>0</v>
      </c>
      <c r="AT92" s="346">
        <f t="shared" si="572"/>
        <v>0</v>
      </c>
      <c r="AU92" s="346">
        <f t="shared" si="572"/>
        <v>0</v>
      </c>
      <c r="AV92" s="346"/>
      <c r="AW92" s="346"/>
      <c r="AX92" s="346">
        <f t="shared" ref="AX92:BG100" si="573">IF(AX$3=$E92,$D92,0)</f>
        <v>0</v>
      </c>
      <c r="AY92" s="346">
        <f t="shared" si="573"/>
        <v>0</v>
      </c>
      <c r="AZ92" s="346">
        <f t="shared" si="573"/>
        <v>0</v>
      </c>
      <c r="BA92" s="346">
        <f t="shared" si="573"/>
        <v>0</v>
      </c>
      <c r="BB92" s="346">
        <f t="shared" si="573"/>
        <v>0</v>
      </c>
      <c r="BC92" s="346">
        <f t="shared" si="573"/>
        <v>0</v>
      </c>
      <c r="BD92" s="346">
        <f t="shared" si="573"/>
        <v>0</v>
      </c>
      <c r="BE92" s="346">
        <f t="shared" si="573"/>
        <v>203.63</v>
      </c>
      <c r="BF92" s="346">
        <f t="shared" si="573"/>
        <v>0</v>
      </c>
      <c r="BG92" s="346">
        <f t="shared" si="573"/>
        <v>0</v>
      </c>
      <c r="BH92" s="346">
        <f t="shared" ref="BH92:BQ100" si="574">IF(BH$3=$E92,$D92,0)</f>
        <v>0</v>
      </c>
      <c r="BI92" s="346">
        <f t="shared" si="574"/>
        <v>0</v>
      </c>
      <c r="BJ92" s="346">
        <f t="shared" si="574"/>
        <v>0</v>
      </c>
      <c r="BK92" s="346">
        <f t="shared" si="574"/>
        <v>0</v>
      </c>
      <c r="BL92" s="346">
        <f t="shared" si="574"/>
        <v>0</v>
      </c>
      <c r="BM92" s="346">
        <f t="shared" si="574"/>
        <v>0</v>
      </c>
      <c r="BN92" s="346">
        <f t="shared" si="574"/>
        <v>0</v>
      </c>
      <c r="BO92" s="346">
        <f t="shared" si="574"/>
        <v>0</v>
      </c>
      <c r="BP92" s="346">
        <f t="shared" si="574"/>
        <v>0</v>
      </c>
      <c r="BQ92" s="346">
        <f t="shared" si="574"/>
        <v>0</v>
      </c>
      <c r="BR92" s="370">
        <f t="shared" si="26"/>
        <v>0</v>
      </c>
      <c r="BS92" s="402">
        <f t="shared" si="154"/>
        <v>0</v>
      </c>
      <c r="BT92" s="402">
        <f t="shared" si="155"/>
        <v>0</v>
      </c>
    </row>
    <row r="93" spans="1:72" s="235" customFormat="1" ht="14.45" hidden="1" customHeight="1" x14ac:dyDescent="0.25">
      <c r="A93" s="235" t="s">
        <v>138</v>
      </c>
      <c r="B93" s="422" t="str">
        <f>VLOOKUP(A93,'DFP-Com'!$A$16:$B$50,2,1)</f>
        <v xml:space="preserve">     3.1 d Other</v>
      </c>
      <c r="C93" s="344" t="s">
        <v>272</v>
      </c>
      <c r="D93" s="415">
        <v>179.46</v>
      </c>
      <c r="E93" s="344" t="s">
        <v>212</v>
      </c>
      <c r="F93" s="417"/>
      <c r="G93" s="417"/>
      <c r="H93" s="417"/>
      <c r="I93" s="417"/>
      <c r="J93" s="417"/>
      <c r="K93" s="345"/>
      <c r="L93" s="345">
        <v>0</v>
      </c>
      <c r="M93" s="345">
        <v>1</v>
      </c>
      <c r="N93" s="417"/>
      <c r="O93" s="417"/>
      <c r="P93" s="417"/>
      <c r="Q93" s="345">
        <v>0</v>
      </c>
      <c r="R93" s="345">
        <v>0</v>
      </c>
      <c r="S93" s="345">
        <v>0</v>
      </c>
      <c r="T93" s="345">
        <v>0</v>
      </c>
      <c r="U93" s="345"/>
      <c r="V93" s="345"/>
      <c r="W93" s="345"/>
      <c r="X93" s="345"/>
      <c r="Y93" s="345"/>
      <c r="Z93" s="416">
        <f>SUM(F93:X93)</f>
        <v>1</v>
      </c>
      <c r="AA93" s="344"/>
      <c r="AB93" s="344"/>
      <c r="AC93" s="346">
        <f t="shared" si="571"/>
        <v>0</v>
      </c>
      <c r="AD93" s="346">
        <f t="shared" si="571"/>
        <v>0</v>
      </c>
      <c r="AE93" s="346">
        <f t="shared" si="571"/>
        <v>0</v>
      </c>
      <c r="AF93" s="346">
        <f t="shared" si="571"/>
        <v>0</v>
      </c>
      <c r="AG93" s="346">
        <f t="shared" si="571"/>
        <v>0</v>
      </c>
      <c r="AH93" s="415">
        <f t="shared" si="571"/>
        <v>0</v>
      </c>
      <c r="AI93" s="346">
        <f t="shared" si="571"/>
        <v>0</v>
      </c>
      <c r="AJ93" s="415">
        <f t="shared" si="571"/>
        <v>179.46</v>
      </c>
      <c r="AK93" s="346">
        <f t="shared" si="571"/>
        <v>0</v>
      </c>
      <c r="AL93" s="346">
        <f t="shared" si="571"/>
        <v>0</v>
      </c>
      <c r="AM93" s="415">
        <f t="shared" si="572"/>
        <v>0</v>
      </c>
      <c r="AN93" s="346">
        <f t="shared" si="572"/>
        <v>0</v>
      </c>
      <c r="AO93" s="346">
        <f t="shared" si="572"/>
        <v>0</v>
      </c>
      <c r="AP93" s="346">
        <f t="shared" si="572"/>
        <v>0</v>
      </c>
      <c r="AQ93" s="346">
        <f t="shared" si="572"/>
        <v>0</v>
      </c>
      <c r="AR93" s="346">
        <f t="shared" si="572"/>
        <v>0</v>
      </c>
      <c r="AS93" s="346">
        <f t="shared" si="572"/>
        <v>0</v>
      </c>
      <c r="AT93" s="346">
        <f t="shared" si="572"/>
        <v>0</v>
      </c>
      <c r="AU93" s="346">
        <f t="shared" si="572"/>
        <v>0</v>
      </c>
      <c r="AV93" s="346"/>
      <c r="AW93" s="346"/>
      <c r="AX93" s="346">
        <f t="shared" si="573"/>
        <v>0</v>
      </c>
      <c r="AY93" s="346">
        <f t="shared" si="573"/>
        <v>0</v>
      </c>
      <c r="AZ93" s="346">
        <f t="shared" si="573"/>
        <v>0</v>
      </c>
      <c r="BA93" s="346">
        <f t="shared" si="573"/>
        <v>0</v>
      </c>
      <c r="BB93" s="346">
        <f t="shared" si="573"/>
        <v>0</v>
      </c>
      <c r="BC93" s="346">
        <f t="shared" si="573"/>
        <v>0</v>
      </c>
      <c r="BD93" s="346">
        <f t="shared" si="573"/>
        <v>0</v>
      </c>
      <c r="BE93" s="346">
        <f t="shared" si="573"/>
        <v>179.46</v>
      </c>
      <c r="BF93" s="346">
        <f t="shared" si="573"/>
        <v>0</v>
      </c>
      <c r="BG93" s="346">
        <f t="shared" si="573"/>
        <v>0</v>
      </c>
      <c r="BH93" s="346">
        <f t="shared" si="574"/>
        <v>0</v>
      </c>
      <c r="BI93" s="346">
        <f t="shared" si="574"/>
        <v>0</v>
      </c>
      <c r="BJ93" s="346">
        <f t="shared" si="574"/>
        <v>0</v>
      </c>
      <c r="BK93" s="346">
        <f t="shared" si="574"/>
        <v>0</v>
      </c>
      <c r="BL93" s="346">
        <f t="shared" si="574"/>
        <v>0</v>
      </c>
      <c r="BM93" s="346">
        <f t="shared" si="574"/>
        <v>0</v>
      </c>
      <c r="BN93" s="346">
        <f t="shared" si="574"/>
        <v>0</v>
      </c>
      <c r="BO93" s="346">
        <f t="shared" si="574"/>
        <v>0</v>
      </c>
      <c r="BP93" s="346">
        <f t="shared" si="574"/>
        <v>0</v>
      </c>
      <c r="BQ93" s="346">
        <f t="shared" si="574"/>
        <v>0</v>
      </c>
      <c r="BR93" s="370">
        <f t="shared" ref="BR93:BR182" si="575">SUM(AC93:AV93)-SUM(AX93:BQ93)</f>
        <v>0</v>
      </c>
      <c r="BS93" s="402">
        <f t="shared" si="154"/>
        <v>0</v>
      </c>
      <c r="BT93" s="402">
        <f t="shared" si="155"/>
        <v>0</v>
      </c>
    </row>
    <row r="94" spans="1:72" s="235" customFormat="1" ht="14.45" hidden="1" customHeight="1" x14ac:dyDescent="0.25">
      <c r="A94" s="235" t="s">
        <v>135</v>
      </c>
      <c r="B94" s="422" t="str">
        <f>VLOOKUP(A94,'DFP-Com'!$A$16:$B$50,2,1)</f>
        <v xml:space="preserve">     3.1.a  Student Assessment</v>
      </c>
      <c r="C94" s="344" t="s">
        <v>288</v>
      </c>
      <c r="D94" s="415">
        <v>28000</v>
      </c>
      <c r="E94" s="344" t="s">
        <v>250</v>
      </c>
      <c r="F94" s="417"/>
      <c r="G94" s="417"/>
      <c r="H94" s="417"/>
      <c r="I94" s="417"/>
      <c r="J94" s="417"/>
      <c r="K94" s="417"/>
      <c r="L94" s="345">
        <v>0</v>
      </c>
      <c r="M94" s="345">
        <v>0</v>
      </c>
      <c r="N94" s="345">
        <v>0</v>
      </c>
      <c r="O94" s="345">
        <v>0</v>
      </c>
      <c r="P94" s="345">
        <v>1</v>
      </c>
      <c r="Q94" s="417"/>
      <c r="R94" s="417"/>
      <c r="S94" s="417"/>
      <c r="T94" s="417"/>
      <c r="U94" s="417"/>
      <c r="V94" s="417"/>
      <c r="W94" s="417"/>
      <c r="X94" s="417"/>
      <c r="Y94" s="417"/>
      <c r="Z94" s="416">
        <f>SUM(F94:X94)</f>
        <v>1</v>
      </c>
      <c r="AA94" s="344"/>
      <c r="AB94" s="344"/>
      <c r="AC94" s="346">
        <f t="shared" si="571"/>
        <v>0</v>
      </c>
      <c r="AD94" s="346">
        <f t="shared" si="571"/>
        <v>0</v>
      </c>
      <c r="AE94" s="346">
        <f t="shared" si="571"/>
        <v>0</v>
      </c>
      <c r="AF94" s="346">
        <f t="shared" si="571"/>
        <v>0</v>
      </c>
      <c r="AG94" s="346">
        <f t="shared" si="571"/>
        <v>0</v>
      </c>
      <c r="AH94" s="415">
        <f t="shared" si="571"/>
        <v>0</v>
      </c>
      <c r="AI94" s="346">
        <f t="shared" si="571"/>
        <v>0</v>
      </c>
      <c r="AJ94" s="415">
        <f t="shared" si="571"/>
        <v>0</v>
      </c>
      <c r="AK94" s="415">
        <f t="shared" si="571"/>
        <v>0</v>
      </c>
      <c r="AL94" s="346">
        <f t="shared" si="571"/>
        <v>0</v>
      </c>
      <c r="AM94" s="415">
        <f t="shared" si="572"/>
        <v>28000</v>
      </c>
      <c r="AN94" s="346">
        <f t="shared" si="572"/>
        <v>0</v>
      </c>
      <c r="AO94" s="346">
        <f t="shared" si="572"/>
        <v>0</v>
      </c>
      <c r="AP94" s="346">
        <f t="shared" si="572"/>
        <v>0</v>
      </c>
      <c r="AQ94" s="346">
        <f t="shared" si="572"/>
        <v>0</v>
      </c>
      <c r="AR94" s="346">
        <f t="shared" si="572"/>
        <v>0</v>
      </c>
      <c r="AS94" s="346">
        <f t="shared" si="572"/>
        <v>0</v>
      </c>
      <c r="AT94" s="346">
        <f t="shared" si="572"/>
        <v>0</v>
      </c>
      <c r="AU94" s="346">
        <f t="shared" si="572"/>
        <v>0</v>
      </c>
      <c r="AV94" s="346"/>
      <c r="AW94" s="346"/>
      <c r="AX94" s="346">
        <f t="shared" si="573"/>
        <v>0</v>
      </c>
      <c r="AY94" s="346">
        <f t="shared" si="573"/>
        <v>0</v>
      </c>
      <c r="AZ94" s="346">
        <f t="shared" si="573"/>
        <v>0</v>
      </c>
      <c r="BA94" s="346">
        <f t="shared" si="573"/>
        <v>0</v>
      </c>
      <c r="BB94" s="346">
        <f t="shared" si="573"/>
        <v>0</v>
      </c>
      <c r="BC94" s="346">
        <f t="shared" si="573"/>
        <v>0</v>
      </c>
      <c r="BD94" s="346">
        <f t="shared" si="573"/>
        <v>0</v>
      </c>
      <c r="BE94" s="346">
        <f t="shared" si="573"/>
        <v>0</v>
      </c>
      <c r="BF94" s="415">
        <f t="shared" si="573"/>
        <v>28000</v>
      </c>
      <c r="BG94" s="346">
        <f t="shared" si="573"/>
        <v>0</v>
      </c>
      <c r="BH94" s="346">
        <f t="shared" si="574"/>
        <v>0</v>
      </c>
      <c r="BI94" s="346">
        <f t="shared" si="574"/>
        <v>0</v>
      </c>
      <c r="BJ94" s="346">
        <f t="shared" si="574"/>
        <v>0</v>
      </c>
      <c r="BK94" s="346">
        <f t="shared" si="574"/>
        <v>0</v>
      </c>
      <c r="BL94" s="346">
        <f t="shared" si="574"/>
        <v>0</v>
      </c>
      <c r="BM94" s="346">
        <f t="shared" si="574"/>
        <v>0</v>
      </c>
      <c r="BN94" s="346">
        <f t="shared" si="574"/>
        <v>0</v>
      </c>
      <c r="BO94" s="346">
        <f t="shared" si="574"/>
        <v>0</v>
      </c>
      <c r="BP94" s="346">
        <f t="shared" si="574"/>
        <v>0</v>
      </c>
      <c r="BQ94" s="346">
        <f t="shared" si="574"/>
        <v>0</v>
      </c>
      <c r="BR94" s="370">
        <f t="shared" si="575"/>
        <v>0</v>
      </c>
      <c r="BS94" s="402">
        <f t="shared" si="154"/>
        <v>0</v>
      </c>
      <c r="BT94" s="402">
        <f t="shared" si="155"/>
        <v>0</v>
      </c>
    </row>
    <row r="95" spans="1:72" s="235" customFormat="1" ht="14.45" hidden="1" customHeight="1" x14ac:dyDescent="0.25">
      <c r="A95" s="235" t="s">
        <v>138</v>
      </c>
      <c r="B95" s="422" t="str">
        <f>VLOOKUP(A95,'DFP-Com'!$A$16:$B$50,2,1)</f>
        <v xml:space="preserve">     3.1 d Other</v>
      </c>
      <c r="C95" s="344" t="s">
        <v>293</v>
      </c>
      <c r="D95" s="415">
        <f>6000-3990.93</f>
        <v>2009.0700000000002</v>
      </c>
      <c r="E95" s="344" t="s">
        <v>250</v>
      </c>
      <c r="F95" s="417"/>
      <c r="G95" s="417"/>
      <c r="H95" s="417"/>
      <c r="I95" s="417"/>
      <c r="J95" s="417"/>
      <c r="K95" s="345"/>
      <c r="L95" s="345">
        <v>0</v>
      </c>
      <c r="M95" s="345">
        <v>0</v>
      </c>
      <c r="N95" s="345">
        <v>0.42582886609227155</v>
      </c>
      <c r="O95" s="345">
        <v>0.57417113390772845</v>
      </c>
      <c r="P95" s="345">
        <f>1-N95-O95</f>
        <v>0</v>
      </c>
      <c r="Q95" s="345"/>
      <c r="R95" s="345">
        <v>0</v>
      </c>
      <c r="S95" s="345">
        <v>0</v>
      </c>
      <c r="T95" s="345">
        <v>0</v>
      </c>
      <c r="U95" s="345"/>
      <c r="V95" s="345"/>
      <c r="W95" s="345"/>
      <c r="X95" s="345"/>
      <c r="Y95" s="345"/>
      <c r="Z95" s="416">
        <f t="shared" ref="Z95" si="576">SUM(F95:X95)</f>
        <v>1</v>
      </c>
      <c r="AA95" s="344"/>
      <c r="AB95" s="344"/>
      <c r="AC95" s="346">
        <f t="shared" si="571"/>
        <v>0</v>
      </c>
      <c r="AD95" s="346">
        <f t="shared" si="571"/>
        <v>0</v>
      </c>
      <c r="AE95" s="346">
        <f t="shared" si="571"/>
        <v>0</v>
      </c>
      <c r="AF95" s="346">
        <f t="shared" si="571"/>
        <v>0</v>
      </c>
      <c r="AG95" s="346">
        <f t="shared" si="571"/>
        <v>0</v>
      </c>
      <c r="AH95" s="415">
        <f t="shared" si="571"/>
        <v>0</v>
      </c>
      <c r="AI95" s="346">
        <f t="shared" si="571"/>
        <v>0</v>
      </c>
      <c r="AJ95" s="415">
        <f t="shared" si="571"/>
        <v>0</v>
      </c>
      <c r="AK95" s="415">
        <f t="shared" si="571"/>
        <v>855.5200000000001</v>
      </c>
      <c r="AL95" s="415">
        <f t="shared" si="571"/>
        <v>1153.5500000000002</v>
      </c>
      <c r="AM95" s="415">
        <f t="shared" si="572"/>
        <v>0</v>
      </c>
      <c r="AN95" s="346">
        <f t="shared" si="572"/>
        <v>0</v>
      </c>
      <c r="AO95" s="346">
        <f t="shared" si="572"/>
        <v>0</v>
      </c>
      <c r="AP95" s="346">
        <f t="shared" si="572"/>
        <v>0</v>
      </c>
      <c r="AQ95" s="346">
        <f t="shared" si="572"/>
        <v>0</v>
      </c>
      <c r="AR95" s="346">
        <f t="shared" si="572"/>
        <v>0</v>
      </c>
      <c r="AS95" s="346">
        <f t="shared" si="572"/>
        <v>0</v>
      </c>
      <c r="AT95" s="346">
        <f t="shared" si="572"/>
        <v>0</v>
      </c>
      <c r="AU95" s="346">
        <f t="shared" si="572"/>
        <v>0</v>
      </c>
      <c r="AV95" s="346"/>
      <c r="AW95" s="346"/>
      <c r="AX95" s="346">
        <f t="shared" si="573"/>
        <v>0</v>
      </c>
      <c r="AY95" s="346">
        <f t="shared" si="573"/>
        <v>0</v>
      </c>
      <c r="AZ95" s="346">
        <f t="shared" si="573"/>
        <v>0</v>
      </c>
      <c r="BA95" s="346">
        <f t="shared" si="573"/>
        <v>0</v>
      </c>
      <c r="BB95" s="346">
        <f t="shared" si="573"/>
        <v>0</v>
      </c>
      <c r="BC95" s="346">
        <f t="shared" si="573"/>
        <v>0</v>
      </c>
      <c r="BD95" s="346">
        <f t="shared" si="573"/>
        <v>0</v>
      </c>
      <c r="BE95" s="346">
        <f t="shared" si="573"/>
        <v>0</v>
      </c>
      <c r="BF95" s="346">
        <f t="shared" si="573"/>
        <v>2009.0700000000002</v>
      </c>
      <c r="BG95" s="346">
        <f t="shared" si="573"/>
        <v>0</v>
      </c>
      <c r="BH95" s="346">
        <f t="shared" si="574"/>
        <v>0</v>
      </c>
      <c r="BI95" s="346">
        <f t="shared" si="574"/>
        <v>0</v>
      </c>
      <c r="BJ95" s="346">
        <f t="shared" si="574"/>
        <v>0</v>
      </c>
      <c r="BK95" s="346">
        <f t="shared" si="574"/>
        <v>0</v>
      </c>
      <c r="BL95" s="346">
        <f t="shared" si="574"/>
        <v>0</v>
      </c>
      <c r="BM95" s="346">
        <f t="shared" si="574"/>
        <v>0</v>
      </c>
      <c r="BN95" s="346">
        <f t="shared" si="574"/>
        <v>0</v>
      </c>
      <c r="BO95" s="346">
        <f t="shared" si="574"/>
        <v>0</v>
      </c>
      <c r="BP95" s="346">
        <f t="shared" si="574"/>
        <v>0</v>
      </c>
      <c r="BQ95" s="346">
        <f t="shared" si="574"/>
        <v>0</v>
      </c>
      <c r="BR95" s="370">
        <f t="shared" si="575"/>
        <v>0</v>
      </c>
      <c r="BS95" s="402">
        <f t="shared" si="154"/>
        <v>0</v>
      </c>
      <c r="BT95" s="402">
        <f t="shared" si="155"/>
        <v>0</v>
      </c>
    </row>
    <row r="96" spans="1:72" s="235" customFormat="1" ht="14.45" hidden="1" customHeight="1" x14ac:dyDescent="0.25">
      <c r="A96" s="235" t="s">
        <v>138</v>
      </c>
      <c r="B96" s="422" t="str">
        <f>VLOOKUP(A96,'DFP-Com'!$A$16:$B$50,2,1)</f>
        <v xml:space="preserve">     3.1 d Other</v>
      </c>
      <c r="C96" s="344" t="s">
        <v>289</v>
      </c>
      <c r="D96" s="415">
        <f>535.18-28.08</f>
        <v>507.09999999999997</v>
      </c>
      <c r="E96" s="344" t="s">
        <v>250</v>
      </c>
      <c r="F96" s="417"/>
      <c r="G96" s="417"/>
      <c r="H96" s="417"/>
      <c r="I96" s="417"/>
      <c r="J96" s="417"/>
      <c r="K96" s="345"/>
      <c r="L96" s="345">
        <v>0</v>
      </c>
      <c r="M96" s="345">
        <v>0</v>
      </c>
      <c r="N96" s="345">
        <v>1</v>
      </c>
      <c r="O96" s="417"/>
      <c r="P96" s="417"/>
      <c r="Q96" s="345">
        <v>0</v>
      </c>
      <c r="R96" s="345">
        <v>0</v>
      </c>
      <c r="S96" s="345">
        <v>0</v>
      </c>
      <c r="T96" s="345">
        <v>0</v>
      </c>
      <c r="U96" s="345"/>
      <c r="V96" s="345"/>
      <c r="W96" s="345"/>
      <c r="X96" s="345"/>
      <c r="Y96" s="345"/>
      <c r="Z96" s="416">
        <f t="shared" ref="Z96" si="577">SUM(F96:X96)</f>
        <v>1</v>
      </c>
      <c r="AA96" s="344"/>
      <c r="AB96" s="344"/>
      <c r="AC96" s="346">
        <f t="shared" si="571"/>
        <v>0</v>
      </c>
      <c r="AD96" s="346">
        <f t="shared" si="571"/>
        <v>0</v>
      </c>
      <c r="AE96" s="346">
        <f t="shared" si="571"/>
        <v>0</v>
      </c>
      <c r="AF96" s="346">
        <f t="shared" si="571"/>
        <v>0</v>
      </c>
      <c r="AG96" s="346">
        <f t="shared" si="571"/>
        <v>0</v>
      </c>
      <c r="AH96" s="415">
        <f t="shared" si="571"/>
        <v>0</v>
      </c>
      <c r="AI96" s="346">
        <f t="shared" si="571"/>
        <v>0</v>
      </c>
      <c r="AJ96" s="415">
        <f t="shared" si="571"/>
        <v>0</v>
      </c>
      <c r="AK96" s="415">
        <f t="shared" si="571"/>
        <v>507.09999999999997</v>
      </c>
      <c r="AL96" s="346">
        <f t="shared" si="571"/>
        <v>0</v>
      </c>
      <c r="AM96" s="415">
        <f t="shared" si="572"/>
        <v>0</v>
      </c>
      <c r="AN96" s="346">
        <f t="shared" si="572"/>
        <v>0</v>
      </c>
      <c r="AO96" s="346">
        <f t="shared" si="572"/>
        <v>0</v>
      </c>
      <c r="AP96" s="346">
        <f t="shared" si="572"/>
        <v>0</v>
      </c>
      <c r="AQ96" s="346">
        <f t="shared" si="572"/>
        <v>0</v>
      </c>
      <c r="AR96" s="346">
        <f t="shared" si="572"/>
        <v>0</v>
      </c>
      <c r="AS96" s="346">
        <f t="shared" si="572"/>
        <v>0</v>
      </c>
      <c r="AT96" s="346">
        <f t="shared" si="572"/>
        <v>0</v>
      </c>
      <c r="AU96" s="346">
        <f t="shared" si="572"/>
        <v>0</v>
      </c>
      <c r="AV96" s="346"/>
      <c r="AW96" s="346"/>
      <c r="AX96" s="346">
        <f t="shared" si="573"/>
        <v>0</v>
      </c>
      <c r="AY96" s="346">
        <f t="shared" si="573"/>
        <v>0</v>
      </c>
      <c r="AZ96" s="346">
        <f t="shared" si="573"/>
        <v>0</v>
      </c>
      <c r="BA96" s="346">
        <f t="shared" si="573"/>
        <v>0</v>
      </c>
      <c r="BB96" s="346">
        <f t="shared" si="573"/>
        <v>0</v>
      </c>
      <c r="BC96" s="346">
        <f t="shared" si="573"/>
        <v>0</v>
      </c>
      <c r="BD96" s="346">
        <f t="shared" si="573"/>
        <v>0</v>
      </c>
      <c r="BE96" s="346">
        <f t="shared" si="573"/>
        <v>0</v>
      </c>
      <c r="BF96" s="415">
        <f t="shared" si="573"/>
        <v>507.09999999999997</v>
      </c>
      <c r="BG96" s="346">
        <f t="shared" si="573"/>
        <v>0</v>
      </c>
      <c r="BH96" s="346">
        <f t="shared" si="574"/>
        <v>0</v>
      </c>
      <c r="BI96" s="346">
        <f t="shared" si="574"/>
        <v>0</v>
      </c>
      <c r="BJ96" s="346">
        <f t="shared" si="574"/>
        <v>0</v>
      </c>
      <c r="BK96" s="346">
        <f t="shared" si="574"/>
        <v>0</v>
      </c>
      <c r="BL96" s="346">
        <f t="shared" si="574"/>
        <v>0</v>
      </c>
      <c r="BM96" s="346">
        <f t="shared" si="574"/>
        <v>0</v>
      </c>
      <c r="BN96" s="346">
        <f t="shared" si="574"/>
        <v>0</v>
      </c>
      <c r="BO96" s="346">
        <f t="shared" si="574"/>
        <v>0</v>
      </c>
      <c r="BP96" s="346">
        <f t="shared" si="574"/>
        <v>0</v>
      </c>
      <c r="BQ96" s="346">
        <f t="shared" si="574"/>
        <v>0</v>
      </c>
      <c r="BR96" s="370">
        <f t="shared" si="575"/>
        <v>0</v>
      </c>
      <c r="BS96" s="402">
        <f t="shared" ref="BS96:BS161" si="578">D96-SUM(AX96:BQ96)</f>
        <v>0</v>
      </c>
      <c r="BT96" s="402">
        <f t="shared" ref="BT96:BT161" si="579">+D96-SUM(AC96:AV96)</f>
        <v>0</v>
      </c>
    </row>
    <row r="97" spans="1:72" s="235" customFormat="1" ht="14.45" hidden="1" customHeight="1" x14ac:dyDescent="0.25">
      <c r="A97" s="235" t="s">
        <v>135</v>
      </c>
      <c r="B97" s="422" t="str">
        <f>VLOOKUP(A97,'DFP-Com'!$A$16:$B$50,2,1)</f>
        <v xml:space="preserve">     3.1.a  Student Assessment</v>
      </c>
      <c r="C97" s="344" t="s">
        <v>369</v>
      </c>
      <c r="D97" s="415">
        <v>56.05</v>
      </c>
      <c r="E97" s="344" t="s">
        <v>250</v>
      </c>
      <c r="F97" s="417"/>
      <c r="G97" s="417"/>
      <c r="H97" s="417"/>
      <c r="I97" s="417"/>
      <c r="J97" s="417"/>
      <c r="K97" s="345"/>
      <c r="L97" s="345">
        <v>0</v>
      </c>
      <c r="M97" s="345">
        <v>0</v>
      </c>
      <c r="N97" s="345">
        <v>1</v>
      </c>
      <c r="O97" s="417"/>
      <c r="P97" s="417"/>
      <c r="Q97" s="345">
        <v>0</v>
      </c>
      <c r="R97" s="345">
        <v>0</v>
      </c>
      <c r="S97" s="345">
        <v>0</v>
      </c>
      <c r="T97" s="345">
        <v>0</v>
      </c>
      <c r="U97" s="345"/>
      <c r="V97" s="345"/>
      <c r="W97" s="345"/>
      <c r="X97" s="345"/>
      <c r="Y97" s="345"/>
      <c r="Z97" s="416">
        <f t="shared" ref="Z97" si="580">SUM(F97:X97)</f>
        <v>1</v>
      </c>
      <c r="AA97" s="344"/>
      <c r="AB97" s="344"/>
      <c r="AC97" s="346">
        <f t="shared" ref="AC97" si="581">F97*$D97</f>
        <v>0</v>
      </c>
      <c r="AD97" s="346">
        <f t="shared" ref="AD97" si="582">G97*$D97</f>
        <v>0</v>
      </c>
      <c r="AE97" s="346">
        <f t="shared" ref="AE97" si="583">H97*$D97</f>
        <v>0</v>
      </c>
      <c r="AF97" s="346">
        <f t="shared" ref="AF97" si="584">I97*$D97</f>
        <v>0</v>
      </c>
      <c r="AG97" s="346">
        <f t="shared" ref="AG97" si="585">J97*$D97</f>
        <v>0</v>
      </c>
      <c r="AH97" s="415">
        <f t="shared" ref="AH97" si="586">K97*$D97</f>
        <v>0</v>
      </c>
      <c r="AI97" s="346">
        <f t="shared" ref="AI97" si="587">L97*$D97</f>
        <v>0</v>
      </c>
      <c r="AJ97" s="415">
        <f t="shared" ref="AJ97" si="588">M97*$D97</f>
        <v>0</v>
      </c>
      <c r="AK97" s="415">
        <f t="shared" ref="AK97" si="589">N97*$D97</f>
        <v>56.05</v>
      </c>
      <c r="AL97" s="346">
        <f t="shared" ref="AL97" si="590">O97*$D97</f>
        <v>0</v>
      </c>
      <c r="AM97" s="415">
        <f t="shared" ref="AM97" si="591">P97*$D97</f>
        <v>0</v>
      </c>
      <c r="AN97" s="346">
        <f t="shared" ref="AN97" si="592">Q97*$D97</f>
        <v>0</v>
      </c>
      <c r="AO97" s="346">
        <f t="shared" ref="AO97" si="593">R97*$D97</f>
        <v>0</v>
      </c>
      <c r="AP97" s="346">
        <f t="shared" ref="AP97" si="594">S97*$D97</f>
        <v>0</v>
      </c>
      <c r="AQ97" s="346">
        <f t="shared" ref="AQ97" si="595">T97*$D97</f>
        <v>0</v>
      </c>
      <c r="AR97" s="346">
        <f t="shared" ref="AR97" si="596">U97*$D97</f>
        <v>0</v>
      </c>
      <c r="AS97" s="346">
        <f t="shared" ref="AS97" si="597">V97*$D97</f>
        <v>0</v>
      </c>
      <c r="AT97" s="346">
        <f t="shared" ref="AT97" si="598">W97*$D97</f>
        <v>0</v>
      </c>
      <c r="AU97" s="346">
        <f t="shared" ref="AU97" si="599">X97*$D97</f>
        <v>0</v>
      </c>
      <c r="AV97" s="346"/>
      <c r="AW97" s="346"/>
      <c r="AX97" s="346">
        <f t="shared" si="573"/>
        <v>0</v>
      </c>
      <c r="AY97" s="346">
        <f t="shared" si="573"/>
        <v>0</v>
      </c>
      <c r="AZ97" s="346">
        <f t="shared" si="573"/>
        <v>0</v>
      </c>
      <c r="BA97" s="346">
        <f t="shared" si="573"/>
        <v>0</v>
      </c>
      <c r="BB97" s="346">
        <f t="shared" si="573"/>
        <v>0</v>
      </c>
      <c r="BC97" s="346">
        <f t="shared" si="573"/>
        <v>0</v>
      </c>
      <c r="BD97" s="346">
        <f t="shared" si="573"/>
        <v>0</v>
      </c>
      <c r="BE97" s="346">
        <f t="shared" si="573"/>
        <v>0</v>
      </c>
      <c r="BF97" s="415">
        <f t="shared" si="573"/>
        <v>56.05</v>
      </c>
      <c r="BG97" s="346">
        <f t="shared" si="573"/>
        <v>0</v>
      </c>
      <c r="BH97" s="346">
        <f t="shared" si="574"/>
        <v>0</v>
      </c>
      <c r="BI97" s="346">
        <f t="shared" si="574"/>
        <v>0</v>
      </c>
      <c r="BJ97" s="346">
        <f t="shared" si="574"/>
        <v>0</v>
      </c>
      <c r="BK97" s="346">
        <f t="shared" si="574"/>
        <v>0</v>
      </c>
      <c r="BL97" s="346">
        <f t="shared" si="574"/>
        <v>0</v>
      </c>
      <c r="BM97" s="346">
        <f t="shared" si="574"/>
        <v>0</v>
      </c>
      <c r="BN97" s="346">
        <f t="shared" si="574"/>
        <v>0</v>
      </c>
      <c r="BO97" s="346">
        <f t="shared" si="574"/>
        <v>0</v>
      </c>
      <c r="BP97" s="346">
        <f t="shared" si="574"/>
        <v>0</v>
      </c>
      <c r="BQ97" s="346">
        <f t="shared" si="574"/>
        <v>0</v>
      </c>
      <c r="BR97" s="370">
        <f t="shared" ref="BR97" si="600">SUM(AC97:AV97)-SUM(AX97:BQ97)</f>
        <v>0</v>
      </c>
      <c r="BS97" s="402">
        <f t="shared" si="578"/>
        <v>0</v>
      </c>
      <c r="BT97" s="402">
        <f t="shared" si="579"/>
        <v>0</v>
      </c>
    </row>
    <row r="98" spans="1:72" s="235" customFormat="1" ht="14.45" hidden="1" customHeight="1" x14ac:dyDescent="0.25">
      <c r="A98" s="235" t="s">
        <v>138</v>
      </c>
      <c r="B98" s="422" t="str">
        <f>VLOOKUP(A98,'DFP-Com'!$A$16:$B$50,2,1)</f>
        <v xml:space="preserve">     3.1 d Other</v>
      </c>
      <c r="C98" s="344" t="s">
        <v>304</v>
      </c>
      <c r="D98" s="415">
        <v>2713.73</v>
      </c>
      <c r="E98" s="344" t="s">
        <v>239</v>
      </c>
      <c r="F98" s="417"/>
      <c r="G98" s="417"/>
      <c r="H98" s="417"/>
      <c r="I98" s="417"/>
      <c r="J98" s="417"/>
      <c r="K98" s="345"/>
      <c r="L98" s="345">
        <v>0</v>
      </c>
      <c r="M98" s="345">
        <v>0</v>
      </c>
      <c r="N98" s="345">
        <v>0</v>
      </c>
      <c r="O98" s="345">
        <v>1</v>
      </c>
      <c r="P98" s="417"/>
      <c r="Q98" s="345">
        <v>0</v>
      </c>
      <c r="R98" s="345">
        <v>0</v>
      </c>
      <c r="S98" s="345">
        <v>0</v>
      </c>
      <c r="T98" s="345">
        <v>0</v>
      </c>
      <c r="U98" s="345"/>
      <c r="V98" s="345"/>
      <c r="W98" s="345"/>
      <c r="X98" s="345"/>
      <c r="Y98" s="345"/>
      <c r="Z98" s="416">
        <f t="shared" ref="Z98" si="601">SUM(F98:X98)</f>
        <v>1</v>
      </c>
      <c r="AA98" s="344"/>
      <c r="AB98" s="344"/>
      <c r="AC98" s="346">
        <f t="shared" si="571"/>
        <v>0</v>
      </c>
      <c r="AD98" s="346">
        <f t="shared" si="571"/>
        <v>0</v>
      </c>
      <c r="AE98" s="346">
        <f t="shared" si="571"/>
        <v>0</v>
      </c>
      <c r="AF98" s="346">
        <f t="shared" si="571"/>
        <v>0</v>
      </c>
      <c r="AG98" s="346">
        <f t="shared" si="571"/>
        <v>0</v>
      </c>
      <c r="AH98" s="415">
        <f t="shared" si="571"/>
        <v>0</v>
      </c>
      <c r="AI98" s="346">
        <f t="shared" si="571"/>
        <v>0</v>
      </c>
      <c r="AJ98" s="415">
        <f t="shared" si="571"/>
        <v>0</v>
      </c>
      <c r="AK98" s="415">
        <f t="shared" si="571"/>
        <v>0</v>
      </c>
      <c r="AL98" s="346">
        <f t="shared" si="571"/>
        <v>2713.73</v>
      </c>
      <c r="AM98" s="415">
        <f t="shared" si="572"/>
        <v>0</v>
      </c>
      <c r="AN98" s="346">
        <f t="shared" si="572"/>
        <v>0</v>
      </c>
      <c r="AO98" s="346">
        <f t="shared" si="572"/>
        <v>0</v>
      </c>
      <c r="AP98" s="346">
        <f t="shared" si="572"/>
        <v>0</v>
      </c>
      <c r="AQ98" s="346">
        <f t="shared" si="572"/>
        <v>0</v>
      </c>
      <c r="AR98" s="346">
        <f t="shared" si="572"/>
        <v>0</v>
      </c>
      <c r="AS98" s="346">
        <f t="shared" si="572"/>
        <v>0</v>
      </c>
      <c r="AT98" s="346">
        <f t="shared" si="572"/>
        <v>0</v>
      </c>
      <c r="AU98" s="346">
        <f t="shared" si="572"/>
        <v>0</v>
      </c>
      <c r="AV98" s="346"/>
      <c r="AW98" s="346"/>
      <c r="AX98" s="346">
        <f t="shared" si="573"/>
        <v>0</v>
      </c>
      <c r="AY98" s="346">
        <f t="shared" si="573"/>
        <v>0</v>
      </c>
      <c r="AZ98" s="346">
        <f t="shared" si="573"/>
        <v>0</v>
      </c>
      <c r="BA98" s="346">
        <f t="shared" si="573"/>
        <v>0</v>
      </c>
      <c r="BB98" s="346">
        <f t="shared" si="573"/>
        <v>0</v>
      </c>
      <c r="BC98" s="346">
        <f t="shared" si="573"/>
        <v>0</v>
      </c>
      <c r="BD98" s="346">
        <f t="shared" si="573"/>
        <v>0</v>
      </c>
      <c r="BE98" s="346">
        <f t="shared" si="573"/>
        <v>0</v>
      </c>
      <c r="BF98" s="415">
        <f t="shared" si="573"/>
        <v>0</v>
      </c>
      <c r="BG98" s="346">
        <f t="shared" si="573"/>
        <v>2713.73</v>
      </c>
      <c r="BH98" s="346">
        <f t="shared" si="574"/>
        <v>0</v>
      </c>
      <c r="BI98" s="346">
        <f t="shared" si="574"/>
        <v>0</v>
      </c>
      <c r="BJ98" s="346">
        <f t="shared" si="574"/>
        <v>0</v>
      </c>
      <c r="BK98" s="346">
        <f t="shared" si="574"/>
        <v>0</v>
      </c>
      <c r="BL98" s="346">
        <f t="shared" si="574"/>
        <v>0</v>
      </c>
      <c r="BM98" s="346">
        <f t="shared" si="574"/>
        <v>0</v>
      </c>
      <c r="BN98" s="346">
        <f t="shared" si="574"/>
        <v>0</v>
      </c>
      <c r="BO98" s="346">
        <f t="shared" si="574"/>
        <v>0</v>
      </c>
      <c r="BP98" s="346">
        <f t="shared" si="574"/>
        <v>0</v>
      </c>
      <c r="BQ98" s="346">
        <f t="shared" si="574"/>
        <v>0</v>
      </c>
      <c r="BR98" s="370">
        <f t="shared" si="575"/>
        <v>0</v>
      </c>
      <c r="BS98" s="402">
        <f t="shared" si="578"/>
        <v>0</v>
      </c>
      <c r="BT98" s="402">
        <f t="shared" si="579"/>
        <v>0</v>
      </c>
    </row>
    <row r="99" spans="1:72" s="235" customFormat="1" ht="14.45" hidden="1" customHeight="1" x14ac:dyDescent="0.25">
      <c r="A99" s="235" t="s">
        <v>135</v>
      </c>
      <c r="B99" s="422" t="str">
        <f>VLOOKUP(A99,'DFP-Com'!$A$16:$B$50,2,1)</f>
        <v xml:space="preserve">     3.1.a  Student Assessment</v>
      </c>
      <c r="C99" s="344" t="s">
        <v>331</v>
      </c>
      <c r="D99" s="415">
        <v>21980.11</v>
      </c>
      <c r="E99" s="344" t="s">
        <v>286</v>
      </c>
      <c r="F99" s="417"/>
      <c r="G99" s="417"/>
      <c r="H99" s="417"/>
      <c r="I99" s="417"/>
      <c r="J99" s="417"/>
      <c r="K99" s="345"/>
      <c r="L99" s="345">
        <v>0</v>
      </c>
      <c r="M99" s="345">
        <v>0</v>
      </c>
      <c r="N99" s="345">
        <v>0</v>
      </c>
      <c r="O99" s="345">
        <v>0</v>
      </c>
      <c r="P99" s="345">
        <v>0</v>
      </c>
      <c r="Q99" s="345">
        <v>0.50625770298692774</v>
      </c>
      <c r="R99" s="345">
        <v>0</v>
      </c>
      <c r="S99" s="345">
        <v>0.40353528713004622</v>
      </c>
      <c r="T99" s="345">
        <v>9.020700988302606E-2</v>
      </c>
      <c r="U99" s="345">
        <v>0</v>
      </c>
      <c r="V99" s="345">
        <f>1-(Q99+R99+S99+T99+U99)</f>
        <v>0</v>
      </c>
      <c r="W99" s="345"/>
      <c r="X99" s="345"/>
      <c r="Y99" s="345"/>
      <c r="Z99" s="416">
        <f t="shared" ref="Z99" si="602">SUM(F99:X99)</f>
        <v>1</v>
      </c>
      <c r="AA99" s="344"/>
      <c r="AB99" s="344"/>
      <c r="AC99" s="346">
        <f t="shared" si="571"/>
        <v>0</v>
      </c>
      <c r="AD99" s="346">
        <f t="shared" si="571"/>
        <v>0</v>
      </c>
      <c r="AE99" s="346">
        <f t="shared" si="571"/>
        <v>0</v>
      </c>
      <c r="AF99" s="346">
        <f t="shared" si="571"/>
        <v>0</v>
      </c>
      <c r="AG99" s="346">
        <f t="shared" si="571"/>
        <v>0</v>
      </c>
      <c r="AH99" s="415">
        <f t="shared" si="571"/>
        <v>0</v>
      </c>
      <c r="AI99" s="346">
        <f t="shared" si="571"/>
        <v>0</v>
      </c>
      <c r="AJ99" s="415">
        <f t="shared" si="571"/>
        <v>0</v>
      </c>
      <c r="AK99" s="346">
        <f t="shared" si="571"/>
        <v>0</v>
      </c>
      <c r="AL99" s="346">
        <f t="shared" si="571"/>
        <v>0</v>
      </c>
      <c r="AM99" s="415">
        <f t="shared" si="572"/>
        <v>0</v>
      </c>
      <c r="AN99" s="333">
        <f t="shared" si="572"/>
        <v>11127.6</v>
      </c>
      <c r="AO99" s="346">
        <f t="shared" si="572"/>
        <v>0</v>
      </c>
      <c r="AP99" s="333">
        <f t="shared" si="572"/>
        <v>8869.75</v>
      </c>
      <c r="AQ99" s="346">
        <f t="shared" si="572"/>
        <v>1982.76</v>
      </c>
      <c r="AR99" s="346">
        <f t="shared" si="572"/>
        <v>0</v>
      </c>
      <c r="AS99" s="346">
        <f t="shared" si="572"/>
        <v>0</v>
      </c>
      <c r="AT99" s="346">
        <f t="shared" si="572"/>
        <v>0</v>
      </c>
      <c r="AU99" s="346">
        <f t="shared" si="572"/>
        <v>0</v>
      </c>
      <c r="AV99" s="346"/>
      <c r="AW99" s="346"/>
      <c r="AX99" s="346">
        <f t="shared" si="573"/>
        <v>0</v>
      </c>
      <c r="AY99" s="346">
        <f t="shared" si="573"/>
        <v>0</v>
      </c>
      <c r="AZ99" s="346">
        <f t="shared" si="573"/>
        <v>0</v>
      </c>
      <c r="BA99" s="346">
        <f t="shared" si="573"/>
        <v>0</v>
      </c>
      <c r="BB99" s="346">
        <f t="shared" si="573"/>
        <v>0</v>
      </c>
      <c r="BC99" s="346">
        <f t="shared" si="573"/>
        <v>0</v>
      </c>
      <c r="BD99" s="346">
        <f t="shared" si="573"/>
        <v>0</v>
      </c>
      <c r="BE99" s="346">
        <f t="shared" si="573"/>
        <v>0</v>
      </c>
      <c r="BF99" s="346">
        <f t="shared" si="573"/>
        <v>0</v>
      </c>
      <c r="BG99" s="346">
        <f t="shared" si="573"/>
        <v>0</v>
      </c>
      <c r="BH99" s="346">
        <v>50000</v>
      </c>
      <c r="BI99" s="346">
        <f t="shared" si="574"/>
        <v>0</v>
      </c>
      <c r="BJ99" s="346">
        <f t="shared" si="574"/>
        <v>0</v>
      </c>
      <c r="BK99" s="346">
        <f t="shared" si="574"/>
        <v>0</v>
      </c>
      <c r="BL99" s="346">
        <v>-21980.11</v>
      </c>
      <c r="BM99" s="346">
        <v>-6039.78</v>
      </c>
      <c r="BN99" s="346">
        <f t="shared" si="574"/>
        <v>0</v>
      </c>
      <c r="BO99" s="346">
        <f t="shared" si="574"/>
        <v>0</v>
      </c>
      <c r="BP99" s="346">
        <f t="shared" si="574"/>
        <v>0</v>
      </c>
      <c r="BQ99" s="346">
        <f t="shared" si="574"/>
        <v>0</v>
      </c>
      <c r="BR99" s="370">
        <f t="shared" si="575"/>
        <v>0</v>
      </c>
      <c r="BS99" s="402">
        <f t="shared" si="578"/>
        <v>0</v>
      </c>
      <c r="BT99" s="402">
        <f t="shared" si="579"/>
        <v>0</v>
      </c>
    </row>
    <row r="100" spans="1:72" s="235" customFormat="1" ht="14.25" hidden="1" customHeight="1" x14ac:dyDescent="0.25">
      <c r="A100" s="235" t="s">
        <v>135</v>
      </c>
      <c r="B100" s="422" t="str">
        <f>VLOOKUP(A100,'DFP-Com'!$A$16:$B$50,2,1)</f>
        <v xml:space="preserve">     3.1.a  Student Assessment</v>
      </c>
      <c r="C100" s="344" t="s">
        <v>307</v>
      </c>
      <c r="D100" s="415">
        <v>12335.19</v>
      </c>
      <c r="E100" s="344" t="s">
        <v>286</v>
      </c>
      <c r="F100" s="417"/>
      <c r="G100" s="417"/>
      <c r="H100" s="417"/>
      <c r="I100" s="417"/>
      <c r="J100" s="417"/>
      <c r="K100" s="345"/>
      <c r="L100" s="345">
        <v>0</v>
      </c>
      <c r="M100" s="345">
        <v>0</v>
      </c>
      <c r="N100" s="345">
        <v>0</v>
      </c>
      <c r="O100" s="345">
        <v>0</v>
      </c>
      <c r="P100" s="345">
        <v>0</v>
      </c>
      <c r="Q100" s="345">
        <v>1</v>
      </c>
      <c r="R100" s="345">
        <v>0</v>
      </c>
      <c r="S100" s="345">
        <v>0</v>
      </c>
      <c r="T100" s="345">
        <v>0</v>
      </c>
      <c r="U100" s="345">
        <v>0</v>
      </c>
      <c r="V100" s="345">
        <v>0</v>
      </c>
      <c r="W100" s="345">
        <v>0</v>
      </c>
      <c r="X100" s="345">
        <v>0</v>
      </c>
      <c r="Y100" s="345"/>
      <c r="Z100" s="416">
        <f t="shared" ref="Z100" si="603">SUM(F100:X100)</f>
        <v>1</v>
      </c>
      <c r="AA100" s="344"/>
      <c r="AB100" s="344"/>
      <c r="AC100" s="346">
        <f t="shared" si="571"/>
        <v>0</v>
      </c>
      <c r="AD100" s="346">
        <f t="shared" si="571"/>
        <v>0</v>
      </c>
      <c r="AE100" s="346">
        <f t="shared" si="571"/>
        <v>0</v>
      </c>
      <c r="AF100" s="346">
        <f t="shared" si="571"/>
        <v>0</v>
      </c>
      <c r="AG100" s="346">
        <f t="shared" si="571"/>
        <v>0</v>
      </c>
      <c r="AH100" s="415">
        <f t="shared" si="571"/>
        <v>0</v>
      </c>
      <c r="AI100" s="346">
        <f t="shared" si="571"/>
        <v>0</v>
      </c>
      <c r="AJ100" s="415">
        <f t="shared" si="571"/>
        <v>0</v>
      </c>
      <c r="AK100" s="346">
        <f t="shared" si="571"/>
        <v>0</v>
      </c>
      <c r="AL100" s="346">
        <f t="shared" si="571"/>
        <v>0</v>
      </c>
      <c r="AM100" s="415">
        <f t="shared" si="572"/>
        <v>0</v>
      </c>
      <c r="AN100" s="333">
        <f t="shared" si="572"/>
        <v>12335.19</v>
      </c>
      <c r="AO100" s="346">
        <f t="shared" si="572"/>
        <v>0</v>
      </c>
      <c r="AP100" s="346">
        <f t="shared" si="572"/>
        <v>0</v>
      </c>
      <c r="AQ100" s="346">
        <f t="shared" si="572"/>
        <v>0</v>
      </c>
      <c r="AR100" s="346">
        <f t="shared" si="572"/>
        <v>0</v>
      </c>
      <c r="AS100" s="346">
        <f t="shared" si="572"/>
        <v>0</v>
      </c>
      <c r="AT100" s="346">
        <f t="shared" si="572"/>
        <v>0</v>
      </c>
      <c r="AU100" s="333">
        <f t="shared" si="572"/>
        <v>0</v>
      </c>
      <c r="AV100" s="346"/>
      <c r="AW100" s="346"/>
      <c r="AX100" s="346">
        <f t="shared" si="573"/>
        <v>0</v>
      </c>
      <c r="AY100" s="346">
        <f t="shared" si="573"/>
        <v>0</v>
      </c>
      <c r="AZ100" s="346">
        <f t="shared" si="573"/>
        <v>0</v>
      </c>
      <c r="BA100" s="346">
        <f t="shared" si="573"/>
        <v>0</v>
      </c>
      <c r="BB100" s="346">
        <f t="shared" si="573"/>
        <v>0</v>
      </c>
      <c r="BC100" s="346">
        <f t="shared" si="573"/>
        <v>0</v>
      </c>
      <c r="BD100" s="346">
        <f t="shared" si="573"/>
        <v>0</v>
      </c>
      <c r="BE100" s="346">
        <f t="shared" si="573"/>
        <v>0</v>
      </c>
      <c r="BF100" s="346">
        <f t="shared" si="573"/>
        <v>0</v>
      </c>
      <c r="BG100" s="346">
        <f t="shared" si="573"/>
        <v>0</v>
      </c>
      <c r="BH100" s="346">
        <v>80000</v>
      </c>
      <c r="BI100" s="346">
        <f t="shared" si="574"/>
        <v>0</v>
      </c>
      <c r="BJ100" s="346">
        <f t="shared" si="574"/>
        <v>0</v>
      </c>
      <c r="BK100" s="346">
        <f t="shared" si="574"/>
        <v>0</v>
      </c>
      <c r="BL100" s="346">
        <v>-67664.81</v>
      </c>
      <c r="BM100" s="346">
        <f t="shared" si="574"/>
        <v>0</v>
      </c>
      <c r="BN100" s="346">
        <f t="shared" si="574"/>
        <v>0</v>
      </c>
      <c r="BO100" s="346">
        <f t="shared" si="574"/>
        <v>0</v>
      </c>
      <c r="BP100" s="346">
        <f t="shared" si="574"/>
        <v>0</v>
      </c>
      <c r="BQ100" s="346">
        <f t="shared" si="574"/>
        <v>0</v>
      </c>
      <c r="BR100" s="370">
        <f t="shared" si="575"/>
        <v>0</v>
      </c>
      <c r="BS100" s="402">
        <f t="shared" si="578"/>
        <v>0</v>
      </c>
      <c r="BT100" s="402">
        <f t="shared" si="579"/>
        <v>0</v>
      </c>
    </row>
    <row r="101" spans="1:72" s="235" customFormat="1" ht="14.45" hidden="1" customHeight="1" x14ac:dyDescent="0.25">
      <c r="A101" s="235" t="s">
        <v>135</v>
      </c>
      <c r="B101" s="422" t="str">
        <f>VLOOKUP(A101,'DFP-Com'!$A$16:$B$50,2,1)</f>
        <v xml:space="preserve">     3.1.a  Student Assessment</v>
      </c>
      <c r="C101" s="344" t="s">
        <v>294</v>
      </c>
      <c r="D101" s="415">
        <v>34717.120000000003</v>
      </c>
      <c r="E101" s="344" t="s">
        <v>305</v>
      </c>
      <c r="F101" s="414"/>
      <c r="G101" s="414"/>
      <c r="H101" s="414"/>
      <c r="I101" s="414">
        <v>0</v>
      </c>
      <c r="J101" s="414">
        <v>0</v>
      </c>
      <c r="K101" s="414">
        <v>0</v>
      </c>
      <c r="L101" s="414">
        <v>0</v>
      </c>
      <c r="M101" s="414">
        <v>0</v>
      </c>
      <c r="N101" s="414">
        <v>0</v>
      </c>
      <c r="O101" s="414">
        <v>0</v>
      </c>
      <c r="P101" s="414">
        <v>0</v>
      </c>
      <c r="Q101" s="414">
        <v>0</v>
      </c>
      <c r="R101" s="414">
        <v>0</v>
      </c>
      <c r="S101" s="414">
        <v>0.17145200984413453</v>
      </c>
      <c r="T101" s="414">
        <v>0.19360131255127153</v>
      </c>
      <c r="U101" s="414">
        <v>0.20016406890894176</v>
      </c>
      <c r="V101" s="414">
        <v>0.21328958162428219</v>
      </c>
      <c r="W101" s="414">
        <v>0.20672682526661196</v>
      </c>
      <c r="X101" s="414">
        <v>1.4766201804758084E-2</v>
      </c>
      <c r="Y101" s="414"/>
      <c r="Z101" s="416">
        <f t="shared" ref="Z101" si="604">SUM(F101:X101)</f>
        <v>1</v>
      </c>
      <c r="AA101" s="344"/>
      <c r="AB101" s="344"/>
      <c r="AC101" s="346">
        <f t="shared" ref="AC101" si="605">F101*$D101</f>
        <v>0</v>
      </c>
      <c r="AD101" s="346">
        <f t="shared" ref="AD101" si="606">G101*$D101</f>
        <v>0</v>
      </c>
      <c r="AE101" s="346">
        <f t="shared" ref="AE101" si="607">H101*$D101</f>
        <v>0</v>
      </c>
      <c r="AF101" s="346">
        <f t="shared" ref="AF101" si="608">I101*$D101</f>
        <v>0</v>
      </c>
      <c r="AG101" s="346">
        <f t="shared" ref="AG101" si="609">J101*$D101</f>
        <v>0</v>
      </c>
      <c r="AH101" s="415">
        <f t="shared" ref="AH101" si="610">K101*$D101</f>
        <v>0</v>
      </c>
      <c r="AI101" s="346">
        <f t="shared" ref="AI101" si="611">L101*$D101</f>
        <v>0</v>
      </c>
      <c r="AJ101" s="415">
        <f t="shared" ref="AJ101" si="612">M101*$D101</f>
        <v>0</v>
      </c>
      <c r="AK101" s="415">
        <f t="shared" ref="AK101" si="613">N101*$D101</f>
        <v>0</v>
      </c>
      <c r="AL101" s="346">
        <f t="shared" ref="AL101" si="614">O101*$D101</f>
        <v>0</v>
      </c>
      <c r="AM101" s="415">
        <f t="shared" ref="AM101" si="615">P101*$D101</f>
        <v>0</v>
      </c>
      <c r="AN101" s="333">
        <f t="shared" ref="AN101" si="616">Q101*$D101</f>
        <v>0</v>
      </c>
      <c r="AO101" s="333">
        <f t="shared" ref="AO101" si="617">R101*$D101</f>
        <v>0</v>
      </c>
      <c r="AP101" s="346">
        <f t="shared" ref="AP101" si="618">S101*$D101</f>
        <v>5952.3200000000006</v>
      </c>
      <c r="AQ101" s="333">
        <f t="shared" ref="AQ101" si="619">T101*$D101</f>
        <v>6721.2800000000007</v>
      </c>
      <c r="AR101" s="333">
        <f t="shared" ref="AR101" si="620">U101*$D101</f>
        <v>6949.1200000000008</v>
      </c>
      <c r="AS101" s="487">
        <f t="shared" ref="AS101" si="621">V101*$D101</f>
        <v>7404.8</v>
      </c>
      <c r="AT101" s="333">
        <f t="shared" ref="AT101" si="622">W101*$D101</f>
        <v>7176.96</v>
      </c>
      <c r="AU101" s="333">
        <f t="shared" ref="AU101" si="623">X101*$D101</f>
        <v>512.64000000000306</v>
      </c>
      <c r="AV101" s="346"/>
      <c r="AW101" s="346"/>
      <c r="AX101" s="346">
        <f t="shared" ref="AX101:BK103" si="624">IF(AX$3=$E101,$D101,0)</f>
        <v>0</v>
      </c>
      <c r="AY101" s="346">
        <f t="shared" si="624"/>
        <v>0</v>
      </c>
      <c r="AZ101" s="346">
        <f t="shared" si="624"/>
        <v>0</v>
      </c>
      <c r="BA101" s="346">
        <f t="shared" si="624"/>
        <v>0</v>
      </c>
      <c r="BB101" s="346">
        <f t="shared" si="624"/>
        <v>0</v>
      </c>
      <c r="BC101" s="346">
        <f t="shared" si="624"/>
        <v>0</v>
      </c>
      <c r="BD101" s="346">
        <f t="shared" si="624"/>
        <v>0</v>
      </c>
      <c r="BE101" s="346">
        <f t="shared" si="624"/>
        <v>0</v>
      </c>
      <c r="BF101" s="415">
        <f t="shared" si="624"/>
        <v>0</v>
      </c>
      <c r="BG101" s="346">
        <f t="shared" si="624"/>
        <v>0</v>
      </c>
      <c r="BH101" s="346">
        <f t="shared" si="624"/>
        <v>0</v>
      </c>
      <c r="BI101" s="346">
        <f t="shared" si="624"/>
        <v>0</v>
      </c>
      <c r="BJ101" s="346">
        <f t="shared" si="624"/>
        <v>34717.120000000003</v>
      </c>
      <c r="BK101" s="346">
        <f t="shared" si="624"/>
        <v>0</v>
      </c>
      <c r="BL101" s="346">
        <f t="shared" ref="BL101:BQ146" si="625">IF(BL$3=$E101,$D101,0)</f>
        <v>0</v>
      </c>
      <c r="BM101" s="346">
        <f t="shared" si="625"/>
        <v>0</v>
      </c>
      <c r="BN101" s="346">
        <f t="shared" si="625"/>
        <v>0</v>
      </c>
      <c r="BO101" s="346">
        <f t="shared" si="625"/>
        <v>0</v>
      </c>
      <c r="BP101" s="346">
        <f t="shared" si="625"/>
        <v>0</v>
      </c>
      <c r="BQ101" s="346">
        <f t="shared" si="625"/>
        <v>0</v>
      </c>
      <c r="BR101" s="370">
        <f t="shared" si="575"/>
        <v>0</v>
      </c>
      <c r="BS101" s="402">
        <f t="shared" si="578"/>
        <v>0</v>
      </c>
      <c r="BT101" s="402">
        <f t="shared" si="579"/>
        <v>0</v>
      </c>
    </row>
    <row r="102" spans="1:72" s="235" customFormat="1" ht="14.45" hidden="1" customHeight="1" x14ac:dyDescent="0.25">
      <c r="A102" s="235" t="s">
        <v>135</v>
      </c>
      <c r="B102" s="422" t="str">
        <f>VLOOKUP(A102,'DFP-Com'!$A$16:$B$50,2,1)</f>
        <v xml:space="preserve">     3.1.a  Student Assessment</v>
      </c>
      <c r="C102" s="344" t="s">
        <v>406</v>
      </c>
      <c r="D102" s="415">
        <v>5282.8799999999974</v>
      </c>
      <c r="E102" s="344" t="s">
        <v>337</v>
      </c>
      <c r="F102" s="414"/>
      <c r="G102" s="414"/>
      <c r="H102" s="414"/>
      <c r="I102" s="414">
        <v>0</v>
      </c>
      <c r="J102" s="414">
        <v>0</v>
      </c>
      <c r="K102" s="414">
        <v>0</v>
      </c>
      <c r="L102" s="414">
        <v>0</v>
      </c>
      <c r="M102" s="414">
        <v>0</v>
      </c>
      <c r="N102" s="414">
        <v>0</v>
      </c>
      <c r="O102" s="414">
        <v>0</v>
      </c>
      <c r="P102" s="414">
        <v>0</v>
      </c>
      <c r="Q102" s="414">
        <v>0</v>
      </c>
      <c r="R102" s="414">
        <v>0</v>
      </c>
      <c r="S102" s="414">
        <v>0</v>
      </c>
      <c r="T102" s="414">
        <v>0</v>
      </c>
      <c r="U102" s="414">
        <v>0</v>
      </c>
      <c r="V102" s="414">
        <v>0</v>
      </c>
      <c r="W102" s="414">
        <v>0</v>
      </c>
      <c r="X102" s="414">
        <v>1</v>
      </c>
      <c r="Y102" s="414"/>
      <c r="Z102" s="416">
        <f t="shared" ref="Z102" si="626">SUM(F102:X102)</f>
        <v>1</v>
      </c>
      <c r="AA102" s="344"/>
      <c r="AB102" s="344"/>
      <c r="AC102" s="346">
        <f t="shared" ref="AC102" si="627">F102*$D102</f>
        <v>0</v>
      </c>
      <c r="AD102" s="346">
        <f t="shared" ref="AD102" si="628">G102*$D102</f>
        <v>0</v>
      </c>
      <c r="AE102" s="346">
        <f t="shared" ref="AE102" si="629">H102*$D102</f>
        <v>0</v>
      </c>
      <c r="AF102" s="346">
        <f t="shared" ref="AF102" si="630">I102*$D102</f>
        <v>0</v>
      </c>
      <c r="AG102" s="346">
        <f t="shared" ref="AG102" si="631">J102*$D102</f>
        <v>0</v>
      </c>
      <c r="AH102" s="415">
        <f t="shared" ref="AH102" si="632">K102*$D102</f>
        <v>0</v>
      </c>
      <c r="AI102" s="346">
        <f t="shared" ref="AI102" si="633">L102*$D102</f>
        <v>0</v>
      </c>
      <c r="AJ102" s="415">
        <f t="shared" ref="AJ102" si="634">M102*$D102</f>
        <v>0</v>
      </c>
      <c r="AK102" s="415">
        <f t="shared" ref="AK102" si="635">N102*$D102</f>
        <v>0</v>
      </c>
      <c r="AL102" s="346">
        <f t="shared" ref="AL102" si="636">O102*$D102</f>
        <v>0</v>
      </c>
      <c r="AM102" s="415">
        <f t="shared" ref="AM102" si="637">P102*$D102</f>
        <v>0</v>
      </c>
      <c r="AN102" s="333">
        <f t="shared" ref="AN102" si="638">Q102*$D102</f>
        <v>0</v>
      </c>
      <c r="AO102" s="333">
        <f t="shared" ref="AO102" si="639">R102*$D102</f>
        <v>0</v>
      </c>
      <c r="AP102" s="346">
        <f t="shared" ref="AP102" si="640">S102*$D102</f>
        <v>0</v>
      </c>
      <c r="AQ102" s="333">
        <f t="shared" ref="AQ102" si="641">T102*$D102</f>
        <v>0</v>
      </c>
      <c r="AR102" s="333">
        <f t="shared" ref="AR102" si="642">U102*$D102</f>
        <v>0</v>
      </c>
      <c r="AS102" s="333">
        <f t="shared" ref="AS102" si="643">V102*$D102</f>
        <v>0</v>
      </c>
      <c r="AT102" s="333">
        <f t="shared" ref="AT102" si="644">W102*$D102</f>
        <v>0</v>
      </c>
      <c r="AU102" s="333">
        <f t="shared" ref="AU102" si="645">X102*$D102</f>
        <v>5282.8799999999974</v>
      </c>
      <c r="AV102" s="346"/>
      <c r="AW102" s="346"/>
      <c r="AX102" s="346">
        <f t="shared" si="624"/>
        <v>0</v>
      </c>
      <c r="AY102" s="346">
        <f t="shared" si="624"/>
        <v>0</v>
      </c>
      <c r="AZ102" s="346">
        <f t="shared" si="624"/>
        <v>0</v>
      </c>
      <c r="BA102" s="346">
        <f t="shared" si="624"/>
        <v>0</v>
      </c>
      <c r="BB102" s="346">
        <f t="shared" si="624"/>
        <v>0</v>
      </c>
      <c r="BC102" s="346">
        <f t="shared" si="624"/>
        <v>0</v>
      </c>
      <c r="BD102" s="346">
        <f t="shared" si="624"/>
        <v>0</v>
      </c>
      <c r="BE102" s="346">
        <f t="shared" si="624"/>
        <v>0</v>
      </c>
      <c r="BF102" s="415">
        <f t="shared" si="624"/>
        <v>0</v>
      </c>
      <c r="BG102" s="346">
        <f t="shared" si="624"/>
        <v>0</v>
      </c>
      <c r="BH102" s="346">
        <f t="shared" si="624"/>
        <v>0</v>
      </c>
      <c r="BI102" s="346">
        <f t="shared" si="624"/>
        <v>0</v>
      </c>
      <c r="BJ102" s="346">
        <f t="shared" si="624"/>
        <v>0</v>
      </c>
      <c r="BK102" s="346">
        <f t="shared" si="624"/>
        <v>0</v>
      </c>
      <c r="BL102" s="346">
        <f t="shared" si="625"/>
        <v>0</v>
      </c>
      <c r="BM102" s="346">
        <f t="shared" si="625"/>
        <v>0</v>
      </c>
      <c r="BN102" s="346">
        <f t="shared" si="625"/>
        <v>0</v>
      </c>
      <c r="BO102" s="346">
        <f t="shared" si="625"/>
        <v>0</v>
      </c>
      <c r="BP102" s="346">
        <f t="shared" si="625"/>
        <v>5282.8799999999974</v>
      </c>
      <c r="BQ102" s="346">
        <f t="shared" si="625"/>
        <v>0</v>
      </c>
      <c r="BR102" s="370">
        <f t="shared" ref="BR102" si="646">SUM(AC102:AV102)-SUM(AX102:BQ102)</f>
        <v>0</v>
      </c>
      <c r="BS102" s="402">
        <f t="shared" ref="BS102" si="647">D102-SUM(AX102:BQ102)</f>
        <v>0</v>
      </c>
      <c r="BT102" s="402">
        <f t="shared" ref="BT102" si="648">+D102-SUM(AC102:AV102)</f>
        <v>0</v>
      </c>
    </row>
    <row r="103" spans="1:72" s="235" customFormat="1" ht="14.45" hidden="1" customHeight="1" x14ac:dyDescent="0.25">
      <c r="A103" s="235" t="s">
        <v>135</v>
      </c>
      <c r="B103" s="422" t="str">
        <f>VLOOKUP(A103,'DFP-Com'!$A$16:$B$50,2,1)</f>
        <v xml:space="preserve">     3.1.a  Student Assessment</v>
      </c>
      <c r="C103" s="344" t="s">
        <v>332</v>
      </c>
      <c r="D103" s="415">
        <v>214.45</v>
      </c>
      <c r="E103" s="344" t="s">
        <v>224</v>
      </c>
      <c r="F103" s="414"/>
      <c r="G103" s="414"/>
      <c r="H103" s="414"/>
      <c r="I103" s="414">
        <v>0</v>
      </c>
      <c r="J103" s="414">
        <v>0</v>
      </c>
      <c r="K103" s="414">
        <v>0</v>
      </c>
      <c r="L103" s="414">
        <v>0</v>
      </c>
      <c r="M103" s="414">
        <v>0</v>
      </c>
      <c r="N103" s="414">
        <v>0</v>
      </c>
      <c r="O103" s="414">
        <v>0</v>
      </c>
      <c r="P103" s="414">
        <v>0</v>
      </c>
      <c r="Q103" s="414">
        <v>1</v>
      </c>
      <c r="R103" s="414">
        <v>0</v>
      </c>
      <c r="S103" s="414">
        <v>0</v>
      </c>
      <c r="T103" s="414">
        <v>0</v>
      </c>
      <c r="U103" s="414">
        <v>0</v>
      </c>
      <c r="V103" s="414">
        <v>0</v>
      </c>
      <c r="W103" s="414">
        <v>0</v>
      </c>
      <c r="X103" s="414">
        <v>0</v>
      </c>
      <c r="Y103" s="414"/>
      <c r="Z103" s="416">
        <f t="shared" ref="Z103" si="649">SUM(F103:X103)</f>
        <v>1</v>
      </c>
      <c r="AA103" s="344"/>
      <c r="AB103" s="344"/>
      <c r="AC103" s="346">
        <f t="shared" ref="AC103" si="650">F103*$D103</f>
        <v>0</v>
      </c>
      <c r="AD103" s="346">
        <f t="shared" ref="AD103" si="651">G103*$D103</f>
        <v>0</v>
      </c>
      <c r="AE103" s="346">
        <f t="shared" ref="AE103" si="652">H103*$D103</f>
        <v>0</v>
      </c>
      <c r="AF103" s="346">
        <f t="shared" ref="AF103" si="653">I103*$D103</f>
        <v>0</v>
      </c>
      <c r="AG103" s="346">
        <f t="shared" ref="AG103" si="654">J103*$D103</f>
        <v>0</v>
      </c>
      <c r="AH103" s="415">
        <f t="shared" ref="AH103" si="655">K103*$D103</f>
        <v>0</v>
      </c>
      <c r="AI103" s="346">
        <f t="shared" ref="AI103" si="656">L103*$D103</f>
        <v>0</v>
      </c>
      <c r="AJ103" s="415">
        <f t="shared" ref="AJ103" si="657">M103*$D103</f>
        <v>0</v>
      </c>
      <c r="AK103" s="415">
        <f t="shared" ref="AK103" si="658">N103*$D103</f>
        <v>0</v>
      </c>
      <c r="AL103" s="346">
        <f t="shared" ref="AL103" si="659">O103*$D103</f>
        <v>0</v>
      </c>
      <c r="AM103" s="415">
        <f t="shared" ref="AM103" si="660">P103*$D103</f>
        <v>0</v>
      </c>
      <c r="AN103" s="333">
        <f t="shared" ref="AN103" si="661">Q103*$D103</f>
        <v>214.45</v>
      </c>
      <c r="AO103" s="333">
        <f t="shared" ref="AO103" si="662">R103*$D103</f>
        <v>0</v>
      </c>
      <c r="AP103" s="346">
        <f t="shared" ref="AP103" si="663">S103*$D103</f>
        <v>0</v>
      </c>
      <c r="AQ103" s="333">
        <f t="shared" ref="AQ103" si="664">T103*$D103</f>
        <v>0</v>
      </c>
      <c r="AR103" s="333">
        <f t="shared" ref="AR103" si="665">U103*$D103</f>
        <v>0</v>
      </c>
      <c r="AS103" s="333">
        <f t="shared" ref="AS103" si="666">V103*$D103</f>
        <v>0</v>
      </c>
      <c r="AT103" s="333">
        <f t="shared" ref="AT103" si="667">W103*$D103</f>
        <v>0</v>
      </c>
      <c r="AU103" s="333">
        <f t="shared" ref="AU103" si="668">X103*$D103</f>
        <v>0</v>
      </c>
      <c r="AV103" s="346"/>
      <c r="AW103" s="346"/>
      <c r="AX103" s="346">
        <f t="shared" si="624"/>
        <v>0</v>
      </c>
      <c r="AY103" s="346">
        <f t="shared" si="624"/>
        <v>0</v>
      </c>
      <c r="AZ103" s="346">
        <f t="shared" si="624"/>
        <v>0</v>
      </c>
      <c r="BA103" s="346">
        <f t="shared" si="624"/>
        <v>0</v>
      </c>
      <c r="BB103" s="346">
        <f t="shared" si="624"/>
        <v>0</v>
      </c>
      <c r="BC103" s="346">
        <f t="shared" si="624"/>
        <v>0</v>
      </c>
      <c r="BD103" s="346">
        <f t="shared" si="624"/>
        <v>0</v>
      </c>
      <c r="BE103" s="346">
        <f t="shared" si="624"/>
        <v>0</v>
      </c>
      <c r="BF103" s="415">
        <f t="shared" si="624"/>
        <v>0</v>
      </c>
      <c r="BG103" s="346">
        <f t="shared" si="624"/>
        <v>0</v>
      </c>
      <c r="BH103" s="346">
        <f t="shared" si="624"/>
        <v>0</v>
      </c>
      <c r="BI103" s="346">
        <f t="shared" si="624"/>
        <v>214.45</v>
      </c>
      <c r="BJ103" s="346">
        <f t="shared" si="624"/>
        <v>0</v>
      </c>
      <c r="BK103" s="346">
        <f t="shared" si="624"/>
        <v>0</v>
      </c>
      <c r="BL103" s="346">
        <f t="shared" si="625"/>
        <v>0</v>
      </c>
      <c r="BM103" s="346">
        <f t="shared" si="625"/>
        <v>0</v>
      </c>
      <c r="BN103" s="346">
        <f t="shared" si="625"/>
        <v>0</v>
      </c>
      <c r="BO103" s="346">
        <f t="shared" si="625"/>
        <v>0</v>
      </c>
      <c r="BP103" s="346">
        <f t="shared" si="625"/>
        <v>0</v>
      </c>
      <c r="BQ103" s="346">
        <f t="shared" si="625"/>
        <v>0</v>
      </c>
      <c r="BR103" s="370">
        <f t="shared" ref="BR103" si="669">SUM(AC103:AV103)-SUM(AX103:BQ103)</f>
        <v>0</v>
      </c>
      <c r="BS103" s="402">
        <f t="shared" si="578"/>
        <v>0</v>
      </c>
      <c r="BT103" s="402">
        <f t="shared" si="579"/>
        <v>0</v>
      </c>
    </row>
    <row r="104" spans="1:72" s="235" customFormat="1" ht="14.45" hidden="1" customHeight="1" x14ac:dyDescent="0.25">
      <c r="A104" s="442" t="s">
        <v>135</v>
      </c>
      <c r="B104" s="448" t="str">
        <f>VLOOKUP(A104,'DFP-Com'!$A$16:$B$50,2,1)</f>
        <v xml:space="preserve">     3.1.a  Student Assessment</v>
      </c>
      <c r="C104" s="443" t="s">
        <v>321</v>
      </c>
      <c r="D104" s="435">
        <v>31800</v>
      </c>
      <c r="E104" s="443" t="s">
        <v>295</v>
      </c>
      <c r="F104" s="446"/>
      <c r="G104" s="446"/>
      <c r="H104" s="446"/>
      <c r="I104" s="446"/>
      <c r="J104" s="446"/>
      <c r="K104" s="446"/>
      <c r="L104" s="444">
        <v>0</v>
      </c>
      <c r="M104" s="444">
        <v>0</v>
      </c>
      <c r="N104" s="444">
        <v>0</v>
      </c>
      <c r="O104" s="444">
        <v>0</v>
      </c>
      <c r="P104" s="444">
        <v>0</v>
      </c>
      <c r="Q104" s="444">
        <v>0</v>
      </c>
      <c r="R104" s="444">
        <v>0</v>
      </c>
      <c r="S104" s="444">
        <v>0</v>
      </c>
      <c r="T104" s="444">
        <v>0.35</v>
      </c>
      <c r="U104" s="444">
        <v>0</v>
      </c>
      <c r="V104" s="444">
        <v>0.35</v>
      </c>
      <c r="W104" s="444">
        <v>0.3</v>
      </c>
      <c r="X104" s="444"/>
      <c r="Y104" s="444"/>
      <c r="Z104" s="445">
        <f>SUM(F104:Y104)</f>
        <v>1</v>
      </c>
      <c r="AA104" s="443"/>
      <c r="AB104" s="443"/>
      <c r="AC104" s="434">
        <f t="shared" ref="AC104" si="670">F104*$D104</f>
        <v>0</v>
      </c>
      <c r="AD104" s="434">
        <f t="shared" ref="AD104" si="671">G104*$D104</f>
        <v>0</v>
      </c>
      <c r="AE104" s="434">
        <f t="shared" ref="AE104" si="672">H104*$D104</f>
        <v>0</v>
      </c>
      <c r="AF104" s="434">
        <f t="shared" ref="AF104" si="673">I104*$D104</f>
        <v>0</v>
      </c>
      <c r="AG104" s="434">
        <f t="shared" ref="AG104" si="674">J104*$D104</f>
        <v>0</v>
      </c>
      <c r="AH104" s="435">
        <f t="shared" ref="AH104" si="675">K104*$D104</f>
        <v>0</v>
      </c>
      <c r="AI104" s="434">
        <f t="shared" ref="AI104" si="676">L104*$D104</f>
        <v>0</v>
      </c>
      <c r="AJ104" s="435">
        <f t="shared" ref="AJ104" si="677">M104*$D104</f>
        <v>0</v>
      </c>
      <c r="AK104" s="435">
        <f t="shared" ref="AK104" si="678">N104*$D104</f>
        <v>0</v>
      </c>
      <c r="AL104" s="434">
        <f t="shared" ref="AL104" si="679">O104*$D104</f>
        <v>0</v>
      </c>
      <c r="AM104" s="435">
        <f t="shared" ref="AM104" si="680">P104*$D104</f>
        <v>0</v>
      </c>
      <c r="AN104" s="441">
        <f t="shared" ref="AN104" si="681">Q104*$D104</f>
        <v>0</v>
      </c>
      <c r="AO104" s="441">
        <f t="shared" ref="AO104" si="682">R104*$D104</f>
        <v>0</v>
      </c>
      <c r="AP104" s="434">
        <f t="shared" ref="AP104" si="683">S104*$D104</f>
        <v>0</v>
      </c>
      <c r="AQ104" s="441">
        <f t="shared" ref="AQ104" si="684">T104*$D104</f>
        <v>11130</v>
      </c>
      <c r="AR104" s="441">
        <f t="shared" ref="AR104" si="685">U104*$D104</f>
        <v>0</v>
      </c>
      <c r="AS104" s="487">
        <f t="shared" ref="AS104" si="686">V104*$D104</f>
        <v>11130</v>
      </c>
      <c r="AT104" s="441">
        <f t="shared" ref="AT104" si="687">W104*$D104</f>
        <v>9540</v>
      </c>
      <c r="AU104" s="441">
        <f t="shared" ref="AU104" si="688">X104*$D104</f>
        <v>0</v>
      </c>
      <c r="AV104" s="434"/>
      <c r="AW104" s="434"/>
      <c r="AX104" s="434">
        <f t="shared" ref="AX104:BK104" si="689">IF(AX$3=$E104,$D104,0)</f>
        <v>0</v>
      </c>
      <c r="AY104" s="434">
        <f t="shared" si="689"/>
        <v>0</v>
      </c>
      <c r="AZ104" s="434">
        <f t="shared" si="689"/>
        <v>0</v>
      </c>
      <c r="BA104" s="434">
        <f t="shared" si="689"/>
        <v>0</v>
      </c>
      <c r="BB104" s="434">
        <f t="shared" si="689"/>
        <v>0</v>
      </c>
      <c r="BC104" s="434">
        <f t="shared" si="689"/>
        <v>0</v>
      </c>
      <c r="BD104" s="434">
        <f t="shared" si="689"/>
        <v>0</v>
      </c>
      <c r="BE104" s="434">
        <f t="shared" si="689"/>
        <v>0</v>
      </c>
      <c r="BF104" s="434">
        <f t="shared" si="689"/>
        <v>0</v>
      </c>
      <c r="BG104" s="434">
        <f t="shared" si="689"/>
        <v>0</v>
      </c>
      <c r="BH104" s="434">
        <f t="shared" si="689"/>
        <v>0</v>
      </c>
      <c r="BI104" s="434">
        <f t="shared" si="689"/>
        <v>0</v>
      </c>
      <c r="BJ104" s="434">
        <f t="shared" si="689"/>
        <v>0</v>
      </c>
      <c r="BK104" s="441">
        <f t="shared" si="689"/>
        <v>31800</v>
      </c>
      <c r="BL104" s="434">
        <f t="shared" si="625"/>
        <v>0</v>
      </c>
      <c r="BM104" s="434">
        <f t="shared" si="625"/>
        <v>0</v>
      </c>
      <c r="BN104" s="434">
        <f t="shared" si="625"/>
        <v>0</v>
      </c>
      <c r="BO104" s="434">
        <f t="shared" si="625"/>
        <v>0</v>
      </c>
      <c r="BP104" s="434">
        <f t="shared" si="625"/>
        <v>0</v>
      </c>
      <c r="BQ104" s="434">
        <f t="shared" si="625"/>
        <v>0</v>
      </c>
      <c r="BR104" s="440">
        <f t="shared" si="575"/>
        <v>0</v>
      </c>
      <c r="BS104" s="450">
        <f t="shared" si="578"/>
        <v>0</v>
      </c>
      <c r="BT104" s="450">
        <f t="shared" si="579"/>
        <v>0</v>
      </c>
    </row>
    <row r="105" spans="1:72" s="235" customFormat="1" ht="14.45" hidden="1" customHeight="1" x14ac:dyDescent="0.25">
      <c r="A105" s="442" t="s">
        <v>138</v>
      </c>
      <c r="B105" s="448" t="str">
        <f>VLOOKUP(A105,'DFP-Com'!$A$16:$B$50,2,1)</f>
        <v xml:space="preserve">     3.1 d Other</v>
      </c>
      <c r="C105" s="443" t="s">
        <v>347</v>
      </c>
      <c r="D105" s="435">
        <v>20000</v>
      </c>
      <c r="E105" s="443" t="s">
        <v>305</v>
      </c>
      <c r="F105" s="446"/>
      <c r="G105" s="446"/>
      <c r="H105" s="446"/>
      <c r="I105" s="446"/>
      <c r="J105" s="446"/>
      <c r="K105" s="444"/>
      <c r="L105" s="444">
        <v>0</v>
      </c>
      <c r="M105" s="444">
        <v>0</v>
      </c>
      <c r="N105" s="444">
        <v>0</v>
      </c>
      <c r="O105" s="444">
        <v>0</v>
      </c>
      <c r="P105" s="444">
        <v>0</v>
      </c>
      <c r="Q105" s="444">
        <v>0</v>
      </c>
      <c r="R105" s="444">
        <v>0</v>
      </c>
      <c r="S105" s="444">
        <v>0.22633150000000002</v>
      </c>
      <c r="T105" s="444">
        <v>0.18071399999999999</v>
      </c>
      <c r="U105" s="444">
        <v>6.6235E-3</v>
      </c>
      <c r="V105" s="444">
        <v>0.3</v>
      </c>
      <c r="W105" s="444">
        <v>0.286331</v>
      </c>
      <c r="X105" s="444"/>
      <c r="Y105" s="444"/>
      <c r="Z105" s="445">
        <f t="shared" ref="Z105:Z107" si="690">SUM(F105:X105)</f>
        <v>1</v>
      </c>
      <c r="AA105" s="443"/>
      <c r="AB105" s="443"/>
      <c r="AC105" s="434">
        <f t="shared" ref="AC105:AC107" si="691">F105*$D105</f>
        <v>0</v>
      </c>
      <c r="AD105" s="434">
        <f t="shared" ref="AD105:AD107" si="692">G105*$D105</f>
        <v>0</v>
      </c>
      <c r="AE105" s="434">
        <f t="shared" ref="AE105:AE107" si="693">H105*$D105</f>
        <v>0</v>
      </c>
      <c r="AF105" s="434">
        <f t="shared" ref="AF105:AF107" si="694">I105*$D105</f>
        <v>0</v>
      </c>
      <c r="AG105" s="434">
        <f t="shared" ref="AG105:AG107" si="695">J105*$D105</f>
        <v>0</v>
      </c>
      <c r="AH105" s="435">
        <f t="shared" ref="AH105:AH107" si="696">K105*$D105</f>
        <v>0</v>
      </c>
      <c r="AI105" s="434">
        <f t="shared" ref="AI105:AI107" si="697">L105*$D105</f>
        <v>0</v>
      </c>
      <c r="AJ105" s="435">
        <f t="shared" ref="AJ105:AJ107" si="698">M105*$D105</f>
        <v>0</v>
      </c>
      <c r="AK105" s="434">
        <f t="shared" ref="AK105:AK107" si="699">N105*$D105</f>
        <v>0</v>
      </c>
      <c r="AL105" s="434">
        <f t="shared" ref="AL105:AL107" si="700">O105*$D105</f>
        <v>0</v>
      </c>
      <c r="AM105" s="441">
        <f t="shared" ref="AM105:AM107" si="701">P105*$D105</f>
        <v>0</v>
      </c>
      <c r="AN105" s="441">
        <f t="shared" ref="AN105:AN107" si="702">Q105*$D105</f>
        <v>0</v>
      </c>
      <c r="AO105" s="441">
        <f t="shared" ref="AO105:AO107" si="703">R105*$D105</f>
        <v>0</v>
      </c>
      <c r="AP105" s="434">
        <f t="shared" ref="AP105:AP107" si="704">S105*$D105</f>
        <v>4526.63</v>
      </c>
      <c r="AQ105" s="441">
        <f t="shared" ref="AQ105:AQ107" si="705">T105*$D105</f>
        <v>3614.2799999999997</v>
      </c>
      <c r="AR105" s="441">
        <f t="shared" ref="AR105:AR107" si="706">U105*$D105</f>
        <v>132.47</v>
      </c>
      <c r="AS105" s="487">
        <f t="shared" ref="AS105:AS107" si="707">V105*$D105</f>
        <v>6000</v>
      </c>
      <c r="AT105" s="441">
        <f t="shared" ref="AT105:AT107" si="708">W105*$D105</f>
        <v>5726.62</v>
      </c>
      <c r="AU105" s="441">
        <f t="shared" ref="AU105:AU107" si="709">X105*$D105</f>
        <v>0</v>
      </c>
      <c r="AV105" s="434"/>
      <c r="AW105" s="434"/>
      <c r="AX105" s="434">
        <f t="shared" ref="AX105:BN126" si="710">IF(AX$3=$E105,$D105,0)</f>
        <v>0</v>
      </c>
      <c r="AY105" s="434">
        <f t="shared" si="710"/>
        <v>0</v>
      </c>
      <c r="AZ105" s="434">
        <f t="shared" si="710"/>
        <v>0</v>
      </c>
      <c r="BA105" s="434">
        <f t="shared" si="710"/>
        <v>0</v>
      </c>
      <c r="BB105" s="434">
        <f t="shared" si="710"/>
        <v>0</v>
      </c>
      <c r="BC105" s="434">
        <f t="shared" si="710"/>
        <v>0</v>
      </c>
      <c r="BD105" s="434">
        <f t="shared" si="710"/>
        <v>0</v>
      </c>
      <c r="BE105" s="434">
        <f t="shared" si="710"/>
        <v>0</v>
      </c>
      <c r="BF105" s="434">
        <f t="shared" si="710"/>
        <v>0</v>
      </c>
      <c r="BG105" s="434">
        <f t="shared" si="710"/>
        <v>0</v>
      </c>
      <c r="BH105" s="434">
        <f t="shared" si="710"/>
        <v>0</v>
      </c>
      <c r="BI105" s="434">
        <f t="shared" si="710"/>
        <v>0</v>
      </c>
      <c r="BJ105" s="434">
        <f t="shared" si="710"/>
        <v>20000</v>
      </c>
      <c r="BK105" s="441">
        <f t="shared" si="710"/>
        <v>0</v>
      </c>
      <c r="BL105" s="434">
        <f t="shared" si="710"/>
        <v>0</v>
      </c>
      <c r="BM105" s="434">
        <f t="shared" si="710"/>
        <v>0</v>
      </c>
      <c r="BN105" s="434">
        <f t="shared" si="710"/>
        <v>0</v>
      </c>
      <c r="BO105" s="434">
        <f t="shared" si="625"/>
        <v>0</v>
      </c>
      <c r="BP105" s="434">
        <f t="shared" si="625"/>
        <v>0</v>
      </c>
      <c r="BQ105" s="434">
        <f t="shared" si="625"/>
        <v>0</v>
      </c>
      <c r="BR105" s="440">
        <f t="shared" si="575"/>
        <v>0</v>
      </c>
      <c r="BS105" s="450">
        <f t="shared" si="578"/>
        <v>0</v>
      </c>
      <c r="BT105" s="450">
        <f t="shared" si="579"/>
        <v>0</v>
      </c>
    </row>
    <row r="106" spans="1:72" s="235" customFormat="1" ht="14.45" hidden="1" customHeight="1" x14ac:dyDescent="0.25">
      <c r="A106" s="235" t="s">
        <v>138</v>
      </c>
      <c r="B106" s="422" t="str">
        <f>VLOOKUP(A106,'DFP-Com'!$A$16:$B$50,2,1)</f>
        <v xml:space="preserve">     3.1 d Other</v>
      </c>
      <c r="C106" s="344" t="s">
        <v>396</v>
      </c>
      <c r="D106" s="415">
        <v>6000</v>
      </c>
      <c r="E106" s="344" t="s">
        <v>326</v>
      </c>
      <c r="F106" s="417"/>
      <c r="G106" s="417"/>
      <c r="H106" s="417"/>
      <c r="I106" s="417"/>
      <c r="J106" s="417"/>
      <c r="K106" s="345"/>
      <c r="L106" s="345">
        <v>0</v>
      </c>
      <c r="M106" s="345">
        <v>0</v>
      </c>
      <c r="N106" s="345">
        <v>0</v>
      </c>
      <c r="O106" s="345">
        <v>0</v>
      </c>
      <c r="P106" s="345">
        <v>0</v>
      </c>
      <c r="Q106" s="345">
        <v>0</v>
      </c>
      <c r="R106" s="345">
        <v>0</v>
      </c>
      <c r="S106" s="345">
        <v>0</v>
      </c>
      <c r="T106" s="345">
        <v>0</v>
      </c>
      <c r="U106" s="345">
        <v>0</v>
      </c>
      <c r="V106" s="345">
        <v>0</v>
      </c>
      <c r="W106" s="345">
        <v>0</v>
      </c>
      <c r="X106" s="345">
        <v>1</v>
      </c>
      <c r="Y106" s="345"/>
      <c r="Z106" s="416">
        <f t="shared" ref="Z106" si="711">SUM(F106:X106)</f>
        <v>1</v>
      </c>
      <c r="AA106" s="344"/>
      <c r="AB106" s="344"/>
      <c r="AC106" s="346">
        <f t="shared" ref="AC106" si="712">F106*$D106</f>
        <v>0</v>
      </c>
      <c r="AD106" s="346">
        <f t="shared" ref="AD106" si="713">G106*$D106</f>
        <v>0</v>
      </c>
      <c r="AE106" s="346">
        <f t="shared" ref="AE106" si="714">H106*$D106</f>
        <v>0</v>
      </c>
      <c r="AF106" s="346">
        <f t="shared" ref="AF106" si="715">I106*$D106</f>
        <v>0</v>
      </c>
      <c r="AG106" s="346">
        <f t="shared" ref="AG106" si="716">J106*$D106</f>
        <v>0</v>
      </c>
      <c r="AH106" s="415">
        <f t="shared" ref="AH106" si="717">K106*$D106</f>
        <v>0</v>
      </c>
      <c r="AI106" s="346">
        <f t="shared" ref="AI106" si="718">L106*$D106</f>
        <v>0</v>
      </c>
      <c r="AJ106" s="415">
        <f t="shared" ref="AJ106" si="719">M106*$D106</f>
        <v>0</v>
      </c>
      <c r="AK106" s="346">
        <f t="shared" ref="AK106" si="720">N106*$D106</f>
        <v>0</v>
      </c>
      <c r="AL106" s="346">
        <f t="shared" ref="AL106" si="721">O106*$D106</f>
        <v>0</v>
      </c>
      <c r="AM106" s="333">
        <f t="shared" ref="AM106" si="722">P106*$D106</f>
        <v>0</v>
      </c>
      <c r="AN106" s="333">
        <f t="shared" ref="AN106" si="723">Q106*$D106</f>
        <v>0</v>
      </c>
      <c r="AO106" s="333">
        <f t="shared" ref="AO106" si="724">R106*$D106</f>
        <v>0</v>
      </c>
      <c r="AP106" s="346">
        <f t="shared" ref="AP106" si="725">S106*$D106</f>
        <v>0</v>
      </c>
      <c r="AQ106" s="333">
        <f t="shared" ref="AQ106" si="726">T106*$D106</f>
        <v>0</v>
      </c>
      <c r="AR106" s="333">
        <f t="shared" ref="AR106" si="727">U106*$D106</f>
        <v>0</v>
      </c>
      <c r="AS106" s="333">
        <f t="shared" ref="AS106" si="728">V106*$D106</f>
        <v>0</v>
      </c>
      <c r="AT106" s="333">
        <f t="shared" ref="AT106" si="729">W106*$D106</f>
        <v>0</v>
      </c>
      <c r="AU106" s="333">
        <f t="shared" ref="AU106" si="730">X106*$D106</f>
        <v>6000</v>
      </c>
      <c r="AV106" s="346"/>
      <c r="AW106" s="346"/>
      <c r="AX106" s="346">
        <f t="shared" si="710"/>
        <v>0</v>
      </c>
      <c r="AY106" s="346">
        <f t="shared" si="710"/>
        <v>0</v>
      </c>
      <c r="AZ106" s="346">
        <f t="shared" si="710"/>
        <v>0</v>
      </c>
      <c r="BA106" s="346">
        <f t="shared" si="710"/>
        <v>0</v>
      </c>
      <c r="BB106" s="346">
        <f t="shared" si="710"/>
        <v>0</v>
      </c>
      <c r="BC106" s="346">
        <f t="shared" si="710"/>
        <v>0</v>
      </c>
      <c r="BD106" s="346">
        <f t="shared" si="710"/>
        <v>0</v>
      </c>
      <c r="BE106" s="346">
        <f t="shared" si="710"/>
        <v>0</v>
      </c>
      <c r="BF106" s="346">
        <f t="shared" si="710"/>
        <v>0</v>
      </c>
      <c r="BG106" s="346">
        <f t="shared" si="710"/>
        <v>0</v>
      </c>
      <c r="BH106" s="346">
        <f t="shared" si="710"/>
        <v>0</v>
      </c>
      <c r="BI106" s="346">
        <f t="shared" si="710"/>
        <v>0</v>
      </c>
      <c r="BJ106" s="346">
        <f t="shared" si="710"/>
        <v>0</v>
      </c>
      <c r="BK106" s="333">
        <f t="shared" si="710"/>
        <v>0</v>
      </c>
      <c r="BL106" s="346">
        <f t="shared" si="710"/>
        <v>0</v>
      </c>
      <c r="BM106" s="346">
        <f t="shared" si="710"/>
        <v>0</v>
      </c>
      <c r="BN106" s="346">
        <f t="shared" si="710"/>
        <v>0</v>
      </c>
      <c r="BO106" s="346">
        <f t="shared" si="625"/>
        <v>6000</v>
      </c>
      <c r="BP106" s="346">
        <f t="shared" si="625"/>
        <v>0</v>
      </c>
      <c r="BQ106" s="346">
        <f t="shared" si="625"/>
        <v>0</v>
      </c>
      <c r="BR106" s="370">
        <f t="shared" ref="BR106" si="731">SUM(AC106:AV106)-SUM(AX106:BQ106)</f>
        <v>0</v>
      </c>
      <c r="BS106" s="402">
        <f t="shared" si="578"/>
        <v>0</v>
      </c>
      <c r="BT106" s="402">
        <f t="shared" si="579"/>
        <v>0</v>
      </c>
    </row>
    <row r="107" spans="1:72" s="235" customFormat="1" ht="14.45" hidden="1" customHeight="1" x14ac:dyDescent="0.25">
      <c r="A107" s="442" t="s">
        <v>138</v>
      </c>
      <c r="B107" s="448" t="str">
        <f>VLOOKUP(A107,'DFP-Com'!$A$16:$B$50,2,1)</f>
        <v xml:space="preserve">     3.1 d Other</v>
      </c>
      <c r="C107" s="443" t="s">
        <v>397</v>
      </c>
      <c r="D107" s="435">
        <v>2500</v>
      </c>
      <c r="E107" s="443" t="s">
        <v>325</v>
      </c>
      <c r="F107" s="446"/>
      <c r="G107" s="446"/>
      <c r="H107" s="446"/>
      <c r="I107" s="446"/>
      <c r="J107" s="446"/>
      <c r="K107" s="444"/>
      <c r="L107" s="444">
        <v>0</v>
      </c>
      <c r="M107" s="444">
        <v>0</v>
      </c>
      <c r="N107" s="444">
        <v>0</v>
      </c>
      <c r="O107" s="444">
        <v>0</v>
      </c>
      <c r="P107" s="444">
        <v>0</v>
      </c>
      <c r="Q107" s="444">
        <v>0</v>
      </c>
      <c r="R107" s="444">
        <v>0</v>
      </c>
      <c r="S107" s="444">
        <v>0</v>
      </c>
      <c r="T107" s="444">
        <v>0</v>
      </c>
      <c r="U107" s="444">
        <v>0</v>
      </c>
      <c r="V107" s="444">
        <v>1</v>
      </c>
      <c r="W107" s="444">
        <v>0</v>
      </c>
      <c r="X107" s="444">
        <v>0</v>
      </c>
      <c r="Y107" s="444"/>
      <c r="Z107" s="445">
        <f t="shared" si="690"/>
        <v>1</v>
      </c>
      <c r="AA107" s="443"/>
      <c r="AB107" s="443"/>
      <c r="AC107" s="434">
        <f t="shared" si="691"/>
        <v>0</v>
      </c>
      <c r="AD107" s="434">
        <f t="shared" si="692"/>
        <v>0</v>
      </c>
      <c r="AE107" s="434">
        <f t="shared" si="693"/>
        <v>0</v>
      </c>
      <c r="AF107" s="434">
        <f t="shared" si="694"/>
        <v>0</v>
      </c>
      <c r="AG107" s="434">
        <f t="shared" si="695"/>
        <v>0</v>
      </c>
      <c r="AH107" s="435">
        <f t="shared" si="696"/>
        <v>0</v>
      </c>
      <c r="AI107" s="434">
        <f t="shared" si="697"/>
        <v>0</v>
      </c>
      <c r="AJ107" s="435">
        <f t="shared" si="698"/>
        <v>0</v>
      </c>
      <c r="AK107" s="434">
        <f t="shared" si="699"/>
        <v>0</v>
      </c>
      <c r="AL107" s="434">
        <f t="shared" si="700"/>
        <v>0</v>
      </c>
      <c r="AM107" s="441">
        <f t="shared" si="701"/>
        <v>0</v>
      </c>
      <c r="AN107" s="441">
        <f t="shared" si="702"/>
        <v>0</v>
      </c>
      <c r="AO107" s="441">
        <f t="shared" si="703"/>
        <v>0</v>
      </c>
      <c r="AP107" s="434">
        <f t="shared" si="704"/>
        <v>0</v>
      </c>
      <c r="AQ107" s="441">
        <f t="shared" si="705"/>
        <v>0</v>
      </c>
      <c r="AR107" s="441">
        <f t="shared" si="706"/>
        <v>0</v>
      </c>
      <c r="AS107" s="487">
        <f t="shared" si="707"/>
        <v>2500</v>
      </c>
      <c r="AT107" s="441">
        <f t="shared" si="708"/>
        <v>0</v>
      </c>
      <c r="AU107" s="441">
        <f t="shared" si="709"/>
        <v>0</v>
      </c>
      <c r="AV107" s="434"/>
      <c r="AW107" s="434"/>
      <c r="AX107" s="434">
        <f t="shared" si="710"/>
        <v>0</v>
      </c>
      <c r="AY107" s="434">
        <f t="shared" si="710"/>
        <v>0</v>
      </c>
      <c r="AZ107" s="434">
        <f t="shared" si="710"/>
        <v>0</v>
      </c>
      <c r="BA107" s="434">
        <f t="shared" si="710"/>
        <v>0</v>
      </c>
      <c r="BB107" s="434">
        <f t="shared" si="710"/>
        <v>0</v>
      </c>
      <c r="BC107" s="434">
        <f t="shared" si="710"/>
        <v>0</v>
      </c>
      <c r="BD107" s="434">
        <f t="shared" si="710"/>
        <v>0</v>
      </c>
      <c r="BE107" s="434">
        <f t="shared" si="710"/>
        <v>0</v>
      </c>
      <c r="BF107" s="434">
        <f t="shared" si="710"/>
        <v>0</v>
      </c>
      <c r="BG107" s="434">
        <f t="shared" si="710"/>
        <v>0</v>
      </c>
      <c r="BH107" s="434">
        <f t="shared" si="710"/>
        <v>0</v>
      </c>
      <c r="BI107" s="434">
        <f t="shared" si="710"/>
        <v>0</v>
      </c>
      <c r="BJ107" s="434">
        <f t="shared" si="710"/>
        <v>0</v>
      </c>
      <c r="BK107" s="441">
        <f t="shared" si="710"/>
        <v>0</v>
      </c>
      <c r="BL107" s="434">
        <f t="shared" si="710"/>
        <v>0</v>
      </c>
      <c r="BM107" s="434">
        <f t="shared" si="710"/>
        <v>0</v>
      </c>
      <c r="BN107" s="434">
        <f t="shared" si="710"/>
        <v>2500</v>
      </c>
      <c r="BO107" s="434">
        <f t="shared" si="625"/>
        <v>0</v>
      </c>
      <c r="BP107" s="434">
        <f t="shared" si="625"/>
        <v>0</v>
      </c>
      <c r="BQ107" s="434">
        <f t="shared" si="625"/>
        <v>0</v>
      </c>
      <c r="BR107" s="440">
        <f t="shared" si="575"/>
        <v>0</v>
      </c>
      <c r="BS107" s="450">
        <f t="shared" si="578"/>
        <v>0</v>
      </c>
      <c r="BT107" s="450">
        <f t="shared" si="579"/>
        <v>0</v>
      </c>
    </row>
    <row r="108" spans="1:72" s="235" customFormat="1" ht="14.45" hidden="1" customHeight="1" x14ac:dyDescent="0.25">
      <c r="A108" s="442" t="s">
        <v>138</v>
      </c>
      <c r="B108" s="448" t="str">
        <f>VLOOKUP(A108,'DFP-Com'!$A$16:$B$50,2,1)</f>
        <v xml:space="preserve">     3.1 d Other</v>
      </c>
      <c r="C108" s="443" t="s">
        <v>405</v>
      </c>
      <c r="D108" s="435">
        <v>2500</v>
      </c>
      <c r="E108" s="443" t="s">
        <v>326</v>
      </c>
      <c r="F108" s="446"/>
      <c r="G108" s="446"/>
      <c r="H108" s="446"/>
      <c r="I108" s="446"/>
      <c r="J108" s="446"/>
      <c r="K108" s="444"/>
      <c r="L108" s="444">
        <v>0</v>
      </c>
      <c r="M108" s="444">
        <v>0</v>
      </c>
      <c r="N108" s="444">
        <v>0</v>
      </c>
      <c r="O108" s="444">
        <v>0</v>
      </c>
      <c r="P108" s="444">
        <v>0</v>
      </c>
      <c r="Q108" s="444">
        <v>0</v>
      </c>
      <c r="R108" s="444">
        <v>0</v>
      </c>
      <c r="S108" s="444">
        <v>0</v>
      </c>
      <c r="T108" s="444">
        <v>0</v>
      </c>
      <c r="U108" s="444">
        <v>0</v>
      </c>
      <c r="V108" s="444">
        <v>0</v>
      </c>
      <c r="W108" s="444">
        <v>1</v>
      </c>
      <c r="X108" s="444">
        <v>0</v>
      </c>
      <c r="Y108" s="444"/>
      <c r="Z108" s="445">
        <f t="shared" ref="Z108" si="732">SUM(F108:X108)</f>
        <v>1</v>
      </c>
      <c r="AA108" s="443"/>
      <c r="AB108" s="443"/>
      <c r="AC108" s="434">
        <f t="shared" ref="AC108" si="733">F108*$D108</f>
        <v>0</v>
      </c>
      <c r="AD108" s="434">
        <f t="shared" ref="AD108" si="734">G108*$D108</f>
        <v>0</v>
      </c>
      <c r="AE108" s="434">
        <f t="shared" ref="AE108" si="735">H108*$D108</f>
        <v>0</v>
      </c>
      <c r="AF108" s="434">
        <f t="shared" ref="AF108" si="736">I108*$D108</f>
        <v>0</v>
      </c>
      <c r="AG108" s="434">
        <f t="shared" ref="AG108" si="737">J108*$D108</f>
        <v>0</v>
      </c>
      <c r="AH108" s="435">
        <f t="shared" ref="AH108" si="738">K108*$D108</f>
        <v>0</v>
      </c>
      <c r="AI108" s="434">
        <f t="shared" ref="AI108" si="739">L108*$D108</f>
        <v>0</v>
      </c>
      <c r="AJ108" s="435">
        <f t="shared" ref="AJ108" si="740">M108*$D108</f>
        <v>0</v>
      </c>
      <c r="AK108" s="434">
        <f t="shared" ref="AK108" si="741">N108*$D108</f>
        <v>0</v>
      </c>
      <c r="AL108" s="434">
        <f t="shared" ref="AL108" si="742">O108*$D108</f>
        <v>0</v>
      </c>
      <c r="AM108" s="441">
        <f t="shared" ref="AM108" si="743">P108*$D108</f>
        <v>0</v>
      </c>
      <c r="AN108" s="441">
        <f t="shared" ref="AN108" si="744">Q108*$D108</f>
        <v>0</v>
      </c>
      <c r="AO108" s="441">
        <f t="shared" ref="AO108" si="745">R108*$D108</f>
        <v>0</v>
      </c>
      <c r="AP108" s="434">
        <f t="shared" ref="AP108" si="746">S108*$D108</f>
        <v>0</v>
      </c>
      <c r="AQ108" s="441">
        <f t="shared" ref="AQ108" si="747">T108*$D108</f>
        <v>0</v>
      </c>
      <c r="AR108" s="441">
        <f t="shared" ref="AR108" si="748">U108*$D108</f>
        <v>0</v>
      </c>
      <c r="AS108" s="441">
        <f t="shared" ref="AS108" si="749">V108*$D108</f>
        <v>0</v>
      </c>
      <c r="AT108" s="441">
        <f t="shared" ref="AT108" si="750">W108*$D108</f>
        <v>2500</v>
      </c>
      <c r="AU108" s="441">
        <f t="shared" ref="AU108" si="751">X108*$D108</f>
        <v>0</v>
      </c>
      <c r="AV108" s="434"/>
      <c r="AW108" s="434"/>
      <c r="AX108" s="434">
        <f t="shared" si="710"/>
        <v>0</v>
      </c>
      <c r="AY108" s="434">
        <f t="shared" si="710"/>
        <v>0</v>
      </c>
      <c r="AZ108" s="434">
        <f t="shared" si="710"/>
        <v>0</v>
      </c>
      <c r="BA108" s="434">
        <f t="shared" si="710"/>
        <v>0</v>
      </c>
      <c r="BB108" s="434">
        <f t="shared" si="710"/>
        <v>0</v>
      </c>
      <c r="BC108" s="434">
        <f t="shared" si="710"/>
        <v>0</v>
      </c>
      <c r="BD108" s="434">
        <f t="shared" si="710"/>
        <v>0</v>
      </c>
      <c r="BE108" s="434">
        <f t="shared" si="710"/>
        <v>0</v>
      </c>
      <c r="BF108" s="434">
        <f t="shared" si="710"/>
        <v>0</v>
      </c>
      <c r="BG108" s="434">
        <f t="shared" si="710"/>
        <v>0</v>
      </c>
      <c r="BH108" s="434">
        <f t="shared" si="710"/>
        <v>0</v>
      </c>
      <c r="BI108" s="434">
        <f t="shared" si="710"/>
        <v>0</v>
      </c>
      <c r="BJ108" s="434">
        <f t="shared" si="710"/>
        <v>0</v>
      </c>
      <c r="BK108" s="441">
        <f t="shared" si="710"/>
        <v>0</v>
      </c>
      <c r="BL108" s="434">
        <f t="shared" si="710"/>
        <v>0</v>
      </c>
      <c r="BM108" s="434">
        <f t="shared" si="710"/>
        <v>0</v>
      </c>
      <c r="BN108" s="434">
        <f t="shared" si="710"/>
        <v>0</v>
      </c>
      <c r="BO108" s="434">
        <f t="shared" si="625"/>
        <v>2500</v>
      </c>
      <c r="BP108" s="434">
        <f t="shared" si="625"/>
        <v>0</v>
      </c>
      <c r="BQ108" s="434">
        <f t="shared" si="625"/>
        <v>0</v>
      </c>
      <c r="BR108" s="440">
        <f t="shared" ref="BR108" si="752">SUM(AC108:AV108)-SUM(AX108:BQ108)</f>
        <v>0</v>
      </c>
      <c r="BS108" s="450">
        <f t="shared" ref="BS108" si="753">D108-SUM(AX108:BQ108)</f>
        <v>0</v>
      </c>
      <c r="BT108" s="450">
        <f t="shared" ref="BT108" si="754">+D108-SUM(AC108:AV108)</f>
        <v>0</v>
      </c>
    </row>
    <row r="109" spans="1:72" s="235" customFormat="1" ht="14.45" hidden="1" customHeight="1" x14ac:dyDescent="0.25">
      <c r="A109" s="481" t="s">
        <v>138</v>
      </c>
      <c r="B109" s="482" t="str">
        <f>VLOOKUP(A109,'DFP-Com'!$A$16:$B$50,2,1)</f>
        <v xml:space="preserve">     3.1 d Other</v>
      </c>
      <c r="C109" s="405" t="s">
        <v>398</v>
      </c>
      <c r="D109" s="404">
        <v>80000</v>
      </c>
      <c r="E109" s="405" t="s">
        <v>326</v>
      </c>
      <c r="F109" s="483"/>
      <c r="G109" s="483"/>
      <c r="H109" s="483"/>
      <c r="I109" s="483"/>
      <c r="J109" s="483"/>
      <c r="K109" s="484"/>
      <c r="L109" s="484">
        <v>0</v>
      </c>
      <c r="M109" s="484">
        <v>0</v>
      </c>
      <c r="N109" s="484">
        <v>0</v>
      </c>
      <c r="O109" s="484">
        <v>0</v>
      </c>
      <c r="P109" s="484">
        <v>0</v>
      </c>
      <c r="Q109" s="484">
        <v>0</v>
      </c>
      <c r="R109" s="484">
        <v>0</v>
      </c>
      <c r="S109" s="484">
        <v>0</v>
      </c>
      <c r="T109" s="484">
        <v>0</v>
      </c>
      <c r="U109" s="484">
        <v>0</v>
      </c>
      <c r="V109" s="484">
        <v>0</v>
      </c>
      <c r="W109" s="484">
        <v>1</v>
      </c>
      <c r="X109" s="484"/>
      <c r="Y109" s="484"/>
      <c r="Z109" s="485">
        <f t="shared" si="21"/>
        <v>1</v>
      </c>
      <c r="AA109" s="405"/>
      <c r="AB109" s="405"/>
      <c r="AC109" s="403">
        <f t="shared" ref="AC109" si="755">F109*$D109</f>
        <v>0</v>
      </c>
      <c r="AD109" s="403">
        <f t="shared" ref="AD109" si="756">G109*$D109</f>
        <v>0</v>
      </c>
      <c r="AE109" s="403">
        <f t="shared" ref="AE109" si="757">H109*$D109</f>
        <v>0</v>
      </c>
      <c r="AF109" s="403">
        <f t="shared" ref="AF109" si="758">I109*$D109</f>
        <v>0</v>
      </c>
      <c r="AG109" s="403">
        <f t="shared" ref="AG109" si="759">J109*$D109</f>
        <v>0</v>
      </c>
      <c r="AH109" s="404">
        <f t="shared" ref="AH109" si="760">K109*$D109</f>
        <v>0</v>
      </c>
      <c r="AI109" s="403">
        <f t="shared" ref="AI109" si="761">L109*$D109</f>
        <v>0</v>
      </c>
      <c r="AJ109" s="404">
        <f t="shared" ref="AJ109" si="762">M109*$D109</f>
        <v>0</v>
      </c>
      <c r="AK109" s="403">
        <f t="shared" ref="AK109" si="763">N109*$D109</f>
        <v>0</v>
      </c>
      <c r="AL109" s="403">
        <f t="shared" ref="AL109" si="764">O109*$D109</f>
        <v>0</v>
      </c>
      <c r="AM109" s="404">
        <f t="shared" ref="AM109" si="765">P109*$D109</f>
        <v>0</v>
      </c>
      <c r="AN109" s="449">
        <f t="shared" ref="AN109" si="766">Q109*$D109</f>
        <v>0</v>
      </c>
      <c r="AO109" s="449">
        <f t="shared" ref="AO109" si="767">R109*$D109</f>
        <v>0</v>
      </c>
      <c r="AP109" s="403">
        <f t="shared" ref="AP109" si="768">S109*$D109</f>
        <v>0</v>
      </c>
      <c r="AQ109" s="449">
        <f t="shared" ref="AQ109" si="769">T109*$D109</f>
        <v>0</v>
      </c>
      <c r="AR109" s="449">
        <f t="shared" ref="AR109" si="770">U109*$D109</f>
        <v>0</v>
      </c>
      <c r="AS109" s="449">
        <f t="shared" ref="AS109" si="771">V109*$D109</f>
        <v>0</v>
      </c>
      <c r="AT109" s="449">
        <f t="shared" ref="AT109" si="772">W109*$D109</f>
        <v>80000</v>
      </c>
      <c r="AU109" s="333">
        <f t="shared" ref="AU109" si="773">X109*$D109</f>
        <v>0</v>
      </c>
      <c r="AV109" s="346"/>
      <c r="AW109" s="346"/>
      <c r="AX109" s="346">
        <f t="shared" si="710"/>
        <v>0</v>
      </c>
      <c r="AY109" s="346">
        <f t="shared" si="710"/>
        <v>0</v>
      </c>
      <c r="AZ109" s="346">
        <f t="shared" si="710"/>
        <v>0</v>
      </c>
      <c r="BA109" s="346">
        <f t="shared" si="710"/>
        <v>0</v>
      </c>
      <c r="BB109" s="346">
        <f t="shared" si="710"/>
        <v>0</v>
      </c>
      <c r="BC109" s="346">
        <f t="shared" si="710"/>
        <v>0</v>
      </c>
      <c r="BD109" s="346">
        <f t="shared" si="710"/>
        <v>0</v>
      </c>
      <c r="BE109" s="346">
        <f t="shared" si="710"/>
        <v>0</v>
      </c>
      <c r="BF109" s="346">
        <f t="shared" si="710"/>
        <v>0</v>
      </c>
      <c r="BG109" s="346">
        <f t="shared" si="710"/>
        <v>0</v>
      </c>
      <c r="BH109" s="346">
        <f t="shared" si="710"/>
        <v>0</v>
      </c>
      <c r="BI109" s="346">
        <f t="shared" si="710"/>
        <v>0</v>
      </c>
      <c r="BJ109" s="346">
        <f t="shared" si="710"/>
        <v>0</v>
      </c>
      <c r="BK109" s="333">
        <f t="shared" si="710"/>
        <v>0</v>
      </c>
      <c r="BL109" s="346">
        <f t="shared" si="710"/>
        <v>0</v>
      </c>
      <c r="BM109" s="346">
        <f t="shared" si="710"/>
        <v>0</v>
      </c>
      <c r="BN109" s="346">
        <f t="shared" si="625"/>
        <v>0</v>
      </c>
      <c r="BO109" s="346">
        <f t="shared" si="625"/>
        <v>80000</v>
      </c>
      <c r="BP109" s="346">
        <f t="shared" si="625"/>
        <v>0</v>
      </c>
      <c r="BQ109" s="346">
        <f t="shared" si="625"/>
        <v>0</v>
      </c>
      <c r="BR109" s="370">
        <f t="shared" si="575"/>
        <v>0</v>
      </c>
      <c r="BS109" s="402">
        <f t="shared" si="578"/>
        <v>0</v>
      </c>
      <c r="BT109" s="402">
        <f t="shared" si="579"/>
        <v>0</v>
      </c>
    </row>
    <row r="110" spans="1:72" s="235" customFormat="1" ht="14.45" hidden="1" customHeight="1" x14ac:dyDescent="0.25">
      <c r="A110" s="481" t="s">
        <v>138</v>
      </c>
      <c r="B110" s="482" t="str">
        <f>VLOOKUP(A110,'DFP-Com'!$A$16:$B$50,2,1)</f>
        <v xml:space="preserve">     3.1 d Other</v>
      </c>
      <c r="C110" s="405" t="s">
        <v>399</v>
      </c>
      <c r="D110" s="404">
        <v>69795.009999999995</v>
      </c>
      <c r="E110" s="405" t="s">
        <v>326</v>
      </c>
      <c r="F110" s="483"/>
      <c r="G110" s="483"/>
      <c r="H110" s="483"/>
      <c r="I110" s="483"/>
      <c r="J110" s="483"/>
      <c r="K110" s="484"/>
      <c r="L110" s="484">
        <v>0</v>
      </c>
      <c r="M110" s="484">
        <v>0</v>
      </c>
      <c r="N110" s="484">
        <v>0</v>
      </c>
      <c r="O110" s="484">
        <v>0</v>
      </c>
      <c r="P110" s="484">
        <v>0</v>
      </c>
      <c r="Q110" s="484">
        <v>0</v>
      </c>
      <c r="R110" s="484">
        <v>0</v>
      </c>
      <c r="S110" s="484">
        <v>0</v>
      </c>
      <c r="T110" s="484">
        <v>0</v>
      </c>
      <c r="U110" s="484">
        <v>0</v>
      </c>
      <c r="V110" s="484">
        <v>0</v>
      </c>
      <c r="W110" s="484">
        <v>1</v>
      </c>
      <c r="X110" s="484"/>
      <c r="Y110" s="484"/>
      <c r="Z110" s="485">
        <f t="shared" ref="Z110:Z126" si="774">SUM(F110:X110)</f>
        <v>1</v>
      </c>
      <c r="AA110" s="405"/>
      <c r="AB110" s="405"/>
      <c r="AC110" s="403">
        <f t="shared" ref="AC110:AC126" si="775">F110*$D110</f>
        <v>0</v>
      </c>
      <c r="AD110" s="403">
        <f t="shared" ref="AD110:AD126" si="776">G110*$D110</f>
        <v>0</v>
      </c>
      <c r="AE110" s="403">
        <f t="shared" ref="AE110:AE126" si="777">H110*$D110</f>
        <v>0</v>
      </c>
      <c r="AF110" s="403">
        <f t="shared" ref="AF110:AF126" si="778">I110*$D110</f>
        <v>0</v>
      </c>
      <c r="AG110" s="403">
        <f t="shared" ref="AG110:AG126" si="779">J110*$D110</f>
        <v>0</v>
      </c>
      <c r="AH110" s="404">
        <f t="shared" ref="AH110:AH126" si="780">K110*$D110</f>
        <v>0</v>
      </c>
      <c r="AI110" s="403">
        <f t="shared" ref="AI110:AI126" si="781">L110*$D110</f>
        <v>0</v>
      </c>
      <c r="AJ110" s="404">
        <f t="shared" ref="AJ110:AJ126" si="782">M110*$D110</f>
        <v>0</v>
      </c>
      <c r="AK110" s="403">
        <f t="shared" ref="AK110:AK126" si="783">N110*$D110</f>
        <v>0</v>
      </c>
      <c r="AL110" s="403">
        <f t="shared" ref="AL110:AL126" si="784">O110*$D110</f>
        <v>0</v>
      </c>
      <c r="AM110" s="404">
        <f t="shared" ref="AM110:AM126" si="785">P110*$D110</f>
        <v>0</v>
      </c>
      <c r="AN110" s="449">
        <f t="shared" ref="AN110:AN126" si="786">Q110*$D110</f>
        <v>0</v>
      </c>
      <c r="AO110" s="449">
        <f t="shared" ref="AO110:AO126" si="787">R110*$D110</f>
        <v>0</v>
      </c>
      <c r="AP110" s="403">
        <f t="shared" ref="AP110:AP126" si="788">S110*$D110</f>
        <v>0</v>
      </c>
      <c r="AQ110" s="449">
        <f t="shared" ref="AQ110:AQ126" si="789">T110*$D110</f>
        <v>0</v>
      </c>
      <c r="AR110" s="449">
        <f t="shared" ref="AR110:AR126" si="790">U110*$D110</f>
        <v>0</v>
      </c>
      <c r="AS110" s="449">
        <f t="shared" ref="AS110:AS126" si="791">V110*$D110</f>
        <v>0</v>
      </c>
      <c r="AT110" s="449">
        <f t="shared" ref="AT110:AT126" si="792">W110*$D110</f>
        <v>69795.009999999995</v>
      </c>
      <c r="AU110" s="333">
        <f t="shared" ref="AU110:AU126" si="793">X110*$D110</f>
        <v>0</v>
      </c>
      <c r="AV110" s="346"/>
      <c r="AW110" s="346"/>
      <c r="AX110" s="346">
        <f t="shared" si="710"/>
        <v>0</v>
      </c>
      <c r="AY110" s="346">
        <f t="shared" si="710"/>
        <v>0</v>
      </c>
      <c r="AZ110" s="346">
        <f t="shared" si="710"/>
        <v>0</v>
      </c>
      <c r="BA110" s="346">
        <f t="shared" si="710"/>
        <v>0</v>
      </c>
      <c r="BB110" s="346">
        <f t="shared" si="710"/>
        <v>0</v>
      </c>
      <c r="BC110" s="346">
        <f t="shared" si="710"/>
        <v>0</v>
      </c>
      <c r="BD110" s="346">
        <f t="shared" si="710"/>
        <v>0</v>
      </c>
      <c r="BE110" s="346">
        <f t="shared" si="710"/>
        <v>0</v>
      </c>
      <c r="BF110" s="346">
        <f t="shared" si="710"/>
        <v>0</v>
      </c>
      <c r="BG110" s="346">
        <f t="shared" si="710"/>
        <v>0</v>
      </c>
      <c r="BH110" s="346">
        <f t="shared" si="710"/>
        <v>0</v>
      </c>
      <c r="BI110" s="346">
        <f t="shared" si="710"/>
        <v>0</v>
      </c>
      <c r="BJ110" s="346">
        <f t="shared" si="710"/>
        <v>0</v>
      </c>
      <c r="BK110" s="333">
        <f t="shared" si="710"/>
        <v>0</v>
      </c>
      <c r="BL110" s="346">
        <f t="shared" si="710"/>
        <v>0</v>
      </c>
      <c r="BM110" s="346">
        <f t="shared" si="710"/>
        <v>0</v>
      </c>
      <c r="BN110" s="346">
        <f t="shared" si="625"/>
        <v>0</v>
      </c>
      <c r="BO110" s="346">
        <f t="shared" si="625"/>
        <v>69795.009999999995</v>
      </c>
      <c r="BP110" s="346">
        <f t="shared" si="625"/>
        <v>0</v>
      </c>
      <c r="BQ110" s="346">
        <f t="shared" si="625"/>
        <v>0</v>
      </c>
      <c r="BR110" s="370">
        <f t="shared" si="575"/>
        <v>0</v>
      </c>
      <c r="BS110" s="402">
        <f t="shared" si="578"/>
        <v>0</v>
      </c>
      <c r="BT110" s="402">
        <f t="shared" si="579"/>
        <v>0</v>
      </c>
    </row>
    <row r="111" spans="1:72" s="235" customFormat="1" ht="14.45" hidden="1" customHeight="1" x14ac:dyDescent="0.25">
      <c r="A111" s="235" t="s">
        <v>138</v>
      </c>
      <c r="B111" s="422" t="str">
        <f>VLOOKUP(A111,'DFP-Com'!$A$16:$B$50,2,1)</f>
        <v xml:space="preserve">     3.1 d Other</v>
      </c>
      <c r="C111" s="344" t="s">
        <v>400</v>
      </c>
      <c r="D111" s="415">
        <v>0</v>
      </c>
      <c r="E111" s="344" t="s">
        <v>326</v>
      </c>
      <c r="F111" s="417"/>
      <c r="G111" s="417"/>
      <c r="H111" s="417"/>
      <c r="I111" s="417"/>
      <c r="J111" s="417"/>
      <c r="K111" s="345"/>
      <c r="L111" s="345">
        <v>0</v>
      </c>
      <c r="M111" s="345">
        <v>0</v>
      </c>
      <c r="N111" s="345">
        <v>0</v>
      </c>
      <c r="O111" s="345">
        <v>0</v>
      </c>
      <c r="P111" s="345">
        <v>0</v>
      </c>
      <c r="Q111" s="345">
        <v>0</v>
      </c>
      <c r="R111" s="345">
        <v>0</v>
      </c>
      <c r="S111" s="345">
        <v>0</v>
      </c>
      <c r="T111" s="345">
        <v>0</v>
      </c>
      <c r="U111" s="345">
        <v>0</v>
      </c>
      <c r="V111" s="345">
        <v>0</v>
      </c>
      <c r="W111" s="345">
        <v>1</v>
      </c>
      <c r="X111" s="345">
        <v>0</v>
      </c>
      <c r="Y111" s="345">
        <v>0</v>
      </c>
      <c r="Z111" s="416">
        <f>SUM(F111:Y111)</f>
        <v>1</v>
      </c>
      <c r="AA111" s="344"/>
      <c r="AB111" s="344"/>
      <c r="AC111" s="346">
        <f t="shared" ref="AC111" si="794">F111*$D111</f>
        <v>0</v>
      </c>
      <c r="AD111" s="346">
        <f t="shared" ref="AD111" si="795">G111*$D111</f>
        <v>0</v>
      </c>
      <c r="AE111" s="346">
        <f t="shared" ref="AE111" si="796">H111*$D111</f>
        <v>0</v>
      </c>
      <c r="AF111" s="346">
        <f t="shared" ref="AF111" si="797">I111*$D111</f>
        <v>0</v>
      </c>
      <c r="AG111" s="346">
        <f t="shared" ref="AG111" si="798">J111*$D111</f>
        <v>0</v>
      </c>
      <c r="AH111" s="415">
        <f t="shared" ref="AH111" si="799">K111*$D111</f>
        <v>0</v>
      </c>
      <c r="AI111" s="346">
        <f t="shared" ref="AI111" si="800">L111*$D111</f>
        <v>0</v>
      </c>
      <c r="AJ111" s="415">
        <f t="shared" ref="AJ111" si="801">M111*$D111</f>
        <v>0</v>
      </c>
      <c r="AK111" s="346">
        <f t="shared" ref="AK111" si="802">N111*$D111</f>
        <v>0</v>
      </c>
      <c r="AL111" s="346">
        <f t="shared" ref="AL111" si="803">O111*$D111</f>
        <v>0</v>
      </c>
      <c r="AM111" s="415">
        <f t="shared" ref="AM111" si="804">P111*$D111</f>
        <v>0</v>
      </c>
      <c r="AN111" s="333">
        <f t="shared" ref="AN111" si="805">Q111*$D111</f>
        <v>0</v>
      </c>
      <c r="AO111" s="333">
        <f t="shared" ref="AO111" si="806">R111*$D111</f>
        <v>0</v>
      </c>
      <c r="AP111" s="346">
        <f t="shared" ref="AP111" si="807">S111*$D111</f>
        <v>0</v>
      </c>
      <c r="AQ111" s="333">
        <f t="shared" ref="AQ111" si="808">T111*$D111</f>
        <v>0</v>
      </c>
      <c r="AR111" s="333">
        <f t="shared" ref="AR111" si="809">U111*$D111</f>
        <v>0</v>
      </c>
      <c r="AS111" s="333">
        <f t="shared" ref="AS111" si="810">V111*$D111</f>
        <v>0</v>
      </c>
      <c r="AT111" s="333">
        <f t="shared" ref="AT111" si="811">W111*$D111</f>
        <v>0</v>
      </c>
      <c r="AU111" s="333">
        <f t="shared" ref="AU111" si="812">X111*$D111</f>
        <v>0</v>
      </c>
      <c r="AV111" s="346"/>
      <c r="AW111" s="346"/>
      <c r="AX111" s="346">
        <f t="shared" si="710"/>
        <v>0</v>
      </c>
      <c r="AY111" s="346">
        <f t="shared" si="710"/>
        <v>0</v>
      </c>
      <c r="AZ111" s="346">
        <f t="shared" si="710"/>
        <v>0</v>
      </c>
      <c r="BA111" s="346">
        <f t="shared" si="710"/>
        <v>0</v>
      </c>
      <c r="BB111" s="346">
        <f t="shared" si="710"/>
        <v>0</v>
      </c>
      <c r="BC111" s="346">
        <f t="shared" si="710"/>
        <v>0</v>
      </c>
      <c r="BD111" s="346">
        <f t="shared" si="710"/>
        <v>0</v>
      </c>
      <c r="BE111" s="346">
        <f t="shared" si="710"/>
        <v>0</v>
      </c>
      <c r="BF111" s="346">
        <f t="shared" si="710"/>
        <v>0</v>
      </c>
      <c r="BG111" s="346">
        <f t="shared" si="710"/>
        <v>0</v>
      </c>
      <c r="BH111" s="346">
        <f t="shared" ref="BH111:BM112" si="813">IF(BH$3=$E111,$D111,0)</f>
        <v>0</v>
      </c>
      <c r="BI111" s="346">
        <f t="shared" si="813"/>
        <v>0</v>
      </c>
      <c r="BJ111" s="346">
        <f t="shared" si="813"/>
        <v>0</v>
      </c>
      <c r="BK111" s="333">
        <f t="shared" si="813"/>
        <v>0</v>
      </c>
      <c r="BL111" s="346">
        <f t="shared" si="813"/>
        <v>0</v>
      </c>
      <c r="BM111" s="346">
        <f t="shared" si="813"/>
        <v>0</v>
      </c>
      <c r="BN111" s="346">
        <f t="shared" si="625"/>
        <v>0</v>
      </c>
      <c r="BO111" s="346">
        <f t="shared" si="625"/>
        <v>0</v>
      </c>
      <c r="BP111" s="346">
        <f t="shared" si="625"/>
        <v>0</v>
      </c>
      <c r="BQ111" s="346">
        <f t="shared" si="625"/>
        <v>0</v>
      </c>
      <c r="BR111" s="370">
        <f t="shared" ref="BR111" si="814">SUM(AC111:AV111)-SUM(AX111:BQ111)</f>
        <v>0</v>
      </c>
      <c r="BS111" s="402">
        <f t="shared" si="578"/>
        <v>0</v>
      </c>
      <c r="BT111" s="402">
        <f t="shared" si="579"/>
        <v>0</v>
      </c>
    </row>
    <row r="112" spans="1:72" s="235" customFormat="1" ht="14.45" hidden="1" customHeight="1" x14ac:dyDescent="0.25">
      <c r="A112" s="442" t="s">
        <v>138</v>
      </c>
      <c r="B112" s="448" t="str">
        <f>VLOOKUP(A112,'DFP-Com'!$A$16:$B$50,2,1)</f>
        <v xml:space="preserve">     3.1 d Other</v>
      </c>
      <c r="C112" s="443" t="s">
        <v>390</v>
      </c>
      <c r="D112" s="435">
        <v>5000</v>
      </c>
      <c r="E112" s="443" t="s">
        <v>325</v>
      </c>
      <c r="F112" s="446"/>
      <c r="G112" s="446"/>
      <c r="H112" s="446"/>
      <c r="I112" s="446"/>
      <c r="J112" s="446"/>
      <c r="K112" s="444"/>
      <c r="L112" s="444">
        <v>0</v>
      </c>
      <c r="M112" s="444">
        <v>0</v>
      </c>
      <c r="N112" s="444">
        <v>0</v>
      </c>
      <c r="O112" s="444">
        <v>0</v>
      </c>
      <c r="P112" s="444">
        <v>0</v>
      </c>
      <c r="Q112" s="444">
        <v>0</v>
      </c>
      <c r="R112" s="444">
        <v>0</v>
      </c>
      <c r="S112" s="444">
        <v>0</v>
      </c>
      <c r="T112" s="444">
        <v>0</v>
      </c>
      <c r="U112" s="444">
        <v>0</v>
      </c>
      <c r="V112" s="444">
        <v>1</v>
      </c>
      <c r="W112" s="444">
        <v>0</v>
      </c>
      <c r="X112" s="444">
        <v>0</v>
      </c>
      <c r="Y112" s="444">
        <v>0</v>
      </c>
      <c r="Z112" s="445">
        <f>SUM(F112:Y112)</f>
        <v>1</v>
      </c>
      <c r="AA112" s="443"/>
      <c r="AB112" s="443"/>
      <c r="AC112" s="434">
        <f t="shared" ref="AC112" si="815">F112*$D112</f>
        <v>0</v>
      </c>
      <c r="AD112" s="434">
        <f t="shared" ref="AD112" si="816">G112*$D112</f>
        <v>0</v>
      </c>
      <c r="AE112" s="434">
        <f t="shared" ref="AE112" si="817">H112*$D112</f>
        <v>0</v>
      </c>
      <c r="AF112" s="434">
        <f t="shared" ref="AF112" si="818">I112*$D112</f>
        <v>0</v>
      </c>
      <c r="AG112" s="434">
        <f t="shared" ref="AG112" si="819">J112*$D112</f>
        <v>0</v>
      </c>
      <c r="AH112" s="435">
        <f t="shared" ref="AH112" si="820">K112*$D112</f>
        <v>0</v>
      </c>
      <c r="AI112" s="434">
        <f t="shared" ref="AI112" si="821">L112*$D112</f>
        <v>0</v>
      </c>
      <c r="AJ112" s="435">
        <f t="shared" ref="AJ112" si="822">M112*$D112</f>
        <v>0</v>
      </c>
      <c r="AK112" s="434">
        <f t="shared" ref="AK112" si="823">N112*$D112</f>
        <v>0</v>
      </c>
      <c r="AL112" s="434">
        <f t="shared" ref="AL112" si="824">O112*$D112</f>
        <v>0</v>
      </c>
      <c r="AM112" s="435">
        <f t="shared" ref="AM112" si="825">P112*$D112</f>
        <v>0</v>
      </c>
      <c r="AN112" s="441">
        <f t="shared" ref="AN112" si="826">Q112*$D112</f>
        <v>0</v>
      </c>
      <c r="AO112" s="441">
        <f t="shared" ref="AO112" si="827">R112*$D112</f>
        <v>0</v>
      </c>
      <c r="AP112" s="434">
        <f t="shared" ref="AP112" si="828">S112*$D112</f>
        <v>0</v>
      </c>
      <c r="AQ112" s="441">
        <f t="shared" ref="AQ112" si="829">T112*$D112</f>
        <v>0</v>
      </c>
      <c r="AR112" s="441">
        <f t="shared" ref="AR112" si="830">U112*$D112</f>
        <v>0</v>
      </c>
      <c r="AS112" s="487">
        <f t="shared" ref="AS112:AT114" si="831">V112*$D112</f>
        <v>5000</v>
      </c>
      <c r="AT112" s="441">
        <f t="shared" ref="AT112:AT113" si="832">W112*$D112</f>
        <v>0</v>
      </c>
      <c r="AU112" s="441">
        <f t="shared" ref="AU112" si="833">X112*$D112</f>
        <v>0</v>
      </c>
      <c r="AV112" s="434"/>
      <c r="AW112" s="434"/>
      <c r="AX112" s="434">
        <f t="shared" ref="AX112:BG112" si="834">IF(AX$3=$E112,$D112,0)</f>
        <v>0</v>
      </c>
      <c r="AY112" s="434">
        <f t="shared" si="834"/>
        <v>0</v>
      </c>
      <c r="AZ112" s="434">
        <f t="shared" si="834"/>
        <v>0</v>
      </c>
      <c r="BA112" s="434">
        <f t="shared" si="834"/>
        <v>0</v>
      </c>
      <c r="BB112" s="434">
        <f t="shared" si="834"/>
        <v>0</v>
      </c>
      <c r="BC112" s="434">
        <f t="shared" si="834"/>
        <v>0</v>
      </c>
      <c r="BD112" s="434">
        <f t="shared" si="834"/>
        <v>0</v>
      </c>
      <c r="BE112" s="434">
        <f t="shared" si="834"/>
        <v>0</v>
      </c>
      <c r="BF112" s="434">
        <f t="shared" si="834"/>
        <v>0</v>
      </c>
      <c r="BG112" s="434">
        <f t="shared" si="834"/>
        <v>0</v>
      </c>
      <c r="BH112" s="434">
        <f t="shared" si="813"/>
        <v>0</v>
      </c>
      <c r="BI112" s="434">
        <f t="shared" si="813"/>
        <v>0</v>
      </c>
      <c r="BJ112" s="434">
        <f t="shared" si="813"/>
        <v>0</v>
      </c>
      <c r="BK112" s="441">
        <f t="shared" si="813"/>
        <v>0</v>
      </c>
      <c r="BL112" s="434">
        <f t="shared" si="813"/>
        <v>0</v>
      </c>
      <c r="BM112" s="434">
        <f t="shared" si="813"/>
        <v>0</v>
      </c>
      <c r="BN112" s="434">
        <f t="shared" si="625"/>
        <v>5000</v>
      </c>
      <c r="BO112" s="434">
        <f t="shared" si="625"/>
        <v>0</v>
      </c>
      <c r="BP112" s="434">
        <f t="shared" si="625"/>
        <v>0</v>
      </c>
      <c r="BQ112" s="434">
        <f t="shared" si="625"/>
        <v>0</v>
      </c>
      <c r="BR112" s="440">
        <f t="shared" ref="BR112" si="835">SUM(AC112:AV112)-SUM(AX112:BQ112)</f>
        <v>0</v>
      </c>
      <c r="BS112" s="450">
        <f t="shared" si="578"/>
        <v>0</v>
      </c>
      <c r="BT112" s="450">
        <f t="shared" si="579"/>
        <v>0</v>
      </c>
    </row>
    <row r="113" spans="1:72" s="235" customFormat="1" ht="14.45" hidden="1" customHeight="1" x14ac:dyDescent="0.25">
      <c r="A113" s="235" t="s">
        <v>138</v>
      </c>
      <c r="B113" s="422" t="s">
        <v>109</v>
      </c>
      <c r="C113" s="344" t="s">
        <v>401</v>
      </c>
      <c r="D113" s="415">
        <v>10000</v>
      </c>
      <c r="E113" s="344" t="s">
        <v>326</v>
      </c>
      <c r="F113" s="417"/>
      <c r="G113" s="417"/>
      <c r="H113" s="417"/>
      <c r="I113" s="417"/>
      <c r="J113" s="417"/>
      <c r="K113" s="345"/>
      <c r="L113" s="345">
        <v>0</v>
      </c>
      <c r="M113" s="345">
        <v>0</v>
      </c>
      <c r="N113" s="345">
        <v>0</v>
      </c>
      <c r="O113" s="345">
        <v>0</v>
      </c>
      <c r="P113" s="345">
        <v>0</v>
      </c>
      <c r="Q113" s="345">
        <v>0</v>
      </c>
      <c r="R113" s="345">
        <v>0</v>
      </c>
      <c r="S113" s="345">
        <v>0</v>
      </c>
      <c r="T113" s="345">
        <v>0</v>
      </c>
      <c r="U113" s="345">
        <v>0</v>
      </c>
      <c r="V113" s="345">
        <v>0</v>
      </c>
      <c r="W113" s="345">
        <v>1</v>
      </c>
      <c r="X113" s="345"/>
      <c r="Y113" s="345"/>
      <c r="Z113" s="416">
        <v>1</v>
      </c>
      <c r="AA113" s="344"/>
      <c r="AB113" s="344"/>
      <c r="AC113" s="346">
        <v>0</v>
      </c>
      <c r="AD113" s="346">
        <v>0</v>
      </c>
      <c r="AE113" s="346">
        <v>0</v>
      </c>
      <c r="AF113" s="346">
        <v>0</v>
      </c>
      <c r="AG113" s="346">
        <v>0</v>
      </c>
      <c r="AH113" s="415">
        <v>0</v>
      </c>
      <c r="AI113" s="346">
        <v>0</v>
      </c>
      <c r="AJ113" s="415">
        <v>0</v>
      </c>
      <c r="AK113" s="346">
        <v>0</v>
      </c>
      <c r="AL113" s="346">
        <v>0</v>
      </c>
      <c r="AM113" s="415">
        <v>0</v>
      </c>
      <c r="AN113" s="333">
        <v>0</v>
      </c>
      <c r="AO113" s="333">
        <v>0</v>
      </c>
      <c r="AP113" s="346">
        <v>0</v>
      </c>
      <c r="AQ113" s="333">
        <v>0</v>
      </c>
      <c r="AR113" s="333">
        <v>0</v>
      </c>
      <c r="AS113" s="333">
        <f t="shared" si="831"/>
        <v>0</v>
      </c>
      <c r="AT113" s="333">
        <f t="shared" si="832"/>
        <v>10000</v>
      </c>
      <c r="AU113" s="333">
        <v>0</v>
      </c>
      <c r="AV113" s="346"/>
      <c r="AW113" s="346"/>
      <c r="AX113" s="346">
        <v>0</v>
      </c>
      <c r="AY113" s="346">
        <v>0</v>
      </c>
      <c r="AZ113" s="346">
        <v>0</v>
      </c>
      <c r="BA113" s="346">
        <v>0</v>
      </c>
      <c r="BB113" s="346">
        <v>0</v>
      </c>
      <c r="BC113" s="346">
        <v>0</v>
      </c>
      <c r="BD113" s="346">
        <v>0</v>
      </c>
      <c r="BE113" s="346">
        <v>0</v>
      </c>
      <c r="BF113" s="346">
        <v>0</v>
      </c>
      <c r="BG113" s="346">
        <v>0</v>
      </c>
      <c r="BH113" s="346">
        <v>0</v>
      </c>
      <c r="BI113" s="346">
        <v>0</v>
      </c>
      <c r="BJ113" s="346">
        <v>0</v>
      </c>
      <c r="BK113" s="333">
        <v>0</v>
      </c>
      <c r="BL113" s="346">
        <v>0</v>
      </c>
      <c r="BM113" s="346">
        <v>0</v>
      </c>
      <c r="BN113" s="346">
        <f t="shared" si="625"/>
        <v>0</v>
      </c>
      <c r="BO113" s="346">
        <f t="shared" si="625"/>
        <v>10000</v>
      </c>
      <c r="BP113" s="346">
        <v>0</v>
      </c>
      <c r="BQ113" s="346">
        <v>0</v>
      </c>
      <c r="BR113" s="370">
        <v>0</v>
      </c>
      <c r="BS113" s="402">
        <f t="shared" si="578"/>
        <v>0</v>
      </c>
      <c r="BT113" s="402">
        <f t="shared" si="579"/>
        <v>0</v>
      </c>
    </row>
    <row r="114" spans="1:72" s="235" customFormat="1" ht="14.45" hidden="1" customHeight="1" x14ac:dyDescent="0.25">
      <c r="A114" s="235" t="s">
        <v>138</v>
      </c>
      <c r="B114" s="422" t="s">
        <v>109</v>
      </c>
      <c r="C114" s="344" t="s">
        <v>402</v>
      </c>
      <c r="D114" s="415">
        <v>25000</v>
      </c>
      <c r="E114" s="344" t="s">
        <v>326</v>
      </c>
      <c r="F114" s="417"/>
      <c r="G114" s="417"/>
      <c r="H114" s="417"/>
      <c r="I114" s="417"/>
      <c r="J114" s="417"/>
      <c r="K114" s="345"/>
      <c r="L114" s="345">
        <v>0</v>
      </c>
      <c r="M114" s="345">
        <v>0</v>
      </c>
      <c r="N114" s="345">
        <v>0</v>
      </c>
      <c r="O114" s="345">
        <v>0</v>
      </c>
      <c r="P114" s="345">
        <v>0</v>
      </c>
      <c r="Q114" s="345">
        <v>0</v>
      </c>
      <c r="R114" s="345">
        <v>0</v>
      </c>
      <c r="S114" s="345">
        <v>0</v>
      </c>
      <c r="T114" s="345">
        <v>0</v>
      </c>
      <c r="U114" s="345">
        <v>0</v>
      </c>
      <c r="V114" s="345">
        <v>0</v>
      </c>
      <c r="W114" s="345">
        <v>1</v>
      </c>
      <c r="X114" s="345"/>
      <c r="Y114" s="345"/>
      <c r="Z114" s="416">
        <v>1</v>
      </c>
      <c r="AA114" s="344"/>
      <c r="AB114" s="344"/>
      <c r="AC114" s="346">
        <v>0</v>
      </c>
      <c r="AD114" s="346">
        <v>0</v>
      </c>
      <c r="AE114" s="346">
        <v>0</v>
      </c>
      <c r="AF114" s="346">
        <v>0</v>
      </c>
      <c r="AG114" s="346">
        <v>0</v>
      </c>
      <c r="AH114" s="415">
        <v>0</v>
      </c>
      <c r="AI114" s="346">
        <v>0</v>
      </c>
      <c r="AJ114" s="415">
        <v>0</v>
      </c>
      <c r="AK114" s="346">
        <v>0</v>
      </c>
      <c r="AL114" s="346">
        <v>0</v>
      </c>
      <c r="AM114" s="415">
        <v>0</v>
      </c>
      <c r="AN114" s="333">
        <v>0</v>
      </c>
      <c r="AO114" s="333">
        <v>0</v>
      </c>
      <c r="AP114" s="346">
        <v>0</v>
      </c>
      <c r="AQ114" s="333">
        <v>0</v>
      </c>
      <c r="AR114" s="333">
        <v>0</v>
      </c>
      <c r="AS114" s="333">
        <f t="shared" si="831"/>
        <v>0</v>
      </c>
      <c r="AT114" s="333">
        <f t="shared" si="831"/>
        <v>25000</v>
      </c>
      <c r="AU114" s="333">
        <v>0</v>
      </c>
      <c r="AV114" s="346"/>
      <c r="AW114" s="346"/>
      <c r="AX114" s="346">
        <v>0</v>
      </c>
      <c r="AY114" s="346">
        <v>0</v>
      </c>
      <c r="AZ114" s="346">
        <v>0</v>
      </c>
      <c r="BA114" s="346">
        <v>0</v>
      </c>
      <c r="BB114" s="346">
        <v>0</v>
      </c>
      <c r="BC114" s="346">
        <v>0</v>
      </c>
      <c r="BD114" s="346">
        <v>0</v>
      </c>
      <c r="BE114" s="346">
        <v>0</v>
      </c>
      <c r="BF114" s="346">
        <v>0</v>
      </c>
      <c r="BG114" s="346">
        <v>0</v>
      </c>
      <c r="BH114" s="346">
        <v>0</v>
      </c>
      <c r="BI114" s="346">
        <v>0</v>
      </c>
      <c r="BJ114" s="346">
        <v>0</v>
      </c>
      <c r="BK114" s="333">
        <v>0</v>
      </c>
      <c r="BL114" s="346">
        <v>0</v>
      </c>
      <c r="BM114" s="346">
        <v>0</v>
      </c>
      <c r="BN114" s="346">
        <f t="shared" si="625"/>
        <v>0</v>
      </c>
      <c r="BO114" s="346">
        <f t="shared" si="625"/>
        <v>25000</v>
      </c>
      <c r="BP114" s="346">
        <v>0</v>
      </c>
      <c r="BQ114" s="346">
        <v>0</v>
      </c>
      <c r="BR114" s="370">
        <v>0</v>
      </c>
      <c r="BS114" s="402">
        <f t="shared" si="578"/>
        <v>0</v>
      </c>
      <c r="BT114" s="402">
        <f t="shared" si="579"/>
        <v>0</v>
      </c>
    </row>
    <row r="115" spans="1:72" s="235" customFormat="1" ht="14.45" hidden="1" customHeight="1" x14ac:dyDescent="0.25">
      <c r="A115" s="235" t="s">
        <v>138</v>
      </c>
      <c r="B115" s="422" t="str">
        <f>VLOOKUP(A115,'DFP-Com'!$A$16:$B$50,2,1)</f>
        <v xml:space="preserve">     3.1 d Other</v>
      </c>
      <c r="C115" s="344" t="s">
        <v>391</v>
      </c>
      <c r="D115" s="415">
        <v>6500</v>
      </c>
      <c r="E115" s="344" t="s">
        <v>326</v>
      </c>
      <c r="F115" s="417"/>
      <c r="G115" s="417"/>
      <c r="H115" s="417"/>
      <c r="I115" s="417"/>
      <c r="J115" s="417"/>
      <c r="K115" s="345"/>
      <c r="L115" s="345">
        <v>0</v>
      </c>
      <c r="M115" s="345">
        <v>0</v>
      </c>
      <c r="N115" s="345">
        <v>0</v>
      </c>
      <c r="O115" s="345">
        <v>0</v>
      </c>
      <c r="P115" s="345">
        <v>0</v>
      </c>
      <c r="Q115" s="345">
        <v>0</v>
      </c>
      <c r="R115" s="345">
        <v>0</v>
      </c>
      <c r="S115" s="345">
        <v>0</v>
      </c>
      <c r="T115" s="345">
        <v>0</v>
      </c>
      <c r="U115" s="345">
        <v>0</v>
      </c>
      <c r="V115" s="345">
        <v>0</v>
      </c>
      <c r="W115" s="345">
        <v>1</v>
      </c>
      <c r="X115" s="345"/>
      <c r="Y115" s="345"/>
      <c r="Z115" s="416">
        <f t="shared" si="774"/>
        <v>1</v>
      </c>
      <c r="AA115" s="344"/>
      <c r="AB115" s="344"/>
      <c r="AC115" s="346">
        <f t="shared" si="775"/>
        <v>0</v>
      </c>
      <c r="AD115" s="346">
        <f t="shared" si="776"/>
        <v>0</v>
      </c>
      <c r="AE115" s="346">
        <f t="shared" si="777"/>
        <v>0</v>
      </c>
      <c r="AF115" s="346">
        <f t="shared" si="778"/>
        <v>0</v>
      </c>
      <c r="AG115" s="346">
        <f t="shared" si="779"/>
        <v>0</v>
      </c>
      <c r="AH115" s="415">
        <f t="shared" si="780"/>
        <v>0</v>
      </c>
      <c r="AI115" s="346">
        <f t="shared" si="781"/>
        <v>0</v>
      </c>
      <c r="AJ115" s="415">
        <f t="shared" si="782"/>
        <v>0</v>
      </c>
      <c r="AK115" s="346">
        <f t="shared" si="783"/>
        <v>0</v>
      </c>
      <c r="AL115" s="346">
        <f t="shared" si="784"/>
        <v>0</v>
      </c>
      <c r="AM115" s="415">
        <f t="shared" si="785"/>
        <v>0</v>
      </c>
      <c r="AN115" s="333">
        <f t="shared" si="786"/>
        <v>0</v>
      </c>
      <c r="AO115" s="333">
        <f t="shared" si="787"/>
        <v>0</v>
      </c>
      <c r="AP115" s="346">
        <f t="shared" si="788"/>
        <v>0</v>
      </c>
      <c r="AQ115" s="333">
        <f t="shared" si="789"/>
        <v>0</v>
      </c>
      <c r="AR115" s="333">
        <f t="shared" si="790"/>
        <v>0</v>
      </c>
      <c r="AS115" s="333">
        <f t="shared" si="791"/>
        <v>0</v>
      </c>
      <c r="AT115" s="333">
        <f t="shared" si="792"/>
        <v>6500</v>
      </c>
      <c r="AU115" s="333">
        <f t="shared" si="793"/>
        <v>0</v>
      </c>
      <c r="AV115" s="346"/>
      <c r="AW115" s="346"/>
      <c r="AX115" s="346">
        <f t="shared" si="710"/>
        <v>0</v>
      </c>
      <c r="AY115" s="346">
        <f t="shared" si="710"/>
        <v>0</v>
      </c>
      <c r="AZ115" s="346">
        <f t="shared" si="710"/>
        <v>0</v>
      </c>
      <c r="BA115" s="346">
        <f t="shared" si="710"/>
        <v>0</v>
      </c>
      <c r="BB115" s="346">
        <f t="shared" si="710"/>
        <v>0</v>
      </c>
      <c r="BC115" s="346">
        <f t="shared" si="710"/>
        <v>0</v>
      </c>
      <c r="BD115" s="346">
        <f t="shared" si="710"/>
        <v>0</v>
      </c>
      <c r="BE115" s="346">
        <f t="shared" si="710"/>
        <v>0</v>
      </c>
      <c r="BF115" s="346">
        <f t="shared" si="710"/>
        <v>0</v>
      </c>
      <c r="BG115" s="346">
        <f t="shared" si="710"/>
        <v>0</v>
      </c>
      <c r="BH115" s="346">
        <f t="shared" si="710"/>
        <v>0</v>
      </c>
      <c r="BI115" s="346">
        <f t="shared" si="710"/>
        <v>0</v>
      </c>
      <c r="BJ115" s="346">
        <f t="shared" si="710"/>
        <v>0</v>
      </c>
      <c r="BK115" s="333">
        <f t="shared" si="710"/>
        <v>0</v>
      </c>
      <c r="BL115" s="346">
        <f t="shared" si="710"/>
        <v>0</v>
      </c>
      <c r="BM115" s="346">
        <f t="shared" si="710"/>
        <v>0</v>
      </c>
      <c r="BN115" s="346">
        <f t="shared" si="625"/>
        <v>0</v>
      </c>
      <c r="BO115" s="346">
        <f t="shared" si="625"/>
        <v>6500</v>
      </c>
      <c r="BP115" s="346">
        <f t="shared" si="625"/>
        <v>0</v>
      </c>
      <c r="BQ115" s="346">
        <f t="shared" si="625"/>
        <v>0</v>
      </c>
      <c r="BR115" s="370">
        <f t="shared" si="575"/>
        <v>0</v>
      </c>
      <c r="BS115" s="402">
        <f t="shared" si="578"/>
        <v>0</v>
      </c>
      <c r="BT115" s="402">
        <f t="shared" si="579"/>
        <v>0</v>
      </c>
    </row>
    <row r="116" spans="1:72" s="235" customFormat="1" ht="14.25" hidden="1" customHeight="1" x14ac:dyDescent="0.25">
      <c r="A116" s="235" t="s">
        <v>138</v>
      </c>
      <c r="B116" s="422" t="str">
        <f>VLOOKUP(A116,'DFP-Com'!$A$16:$B$50,2,1)</f>
        <v xml:space="preserve">     3.1 d Other</v>
      </c>
      <c r="C116" s="344" t="s">
        <v>388</v>
      </c>
      <c r="D116" s="415">
        <v>4000</v>
      </c>
      <c r="E116" s="344" t="s">
        <v>326</v>
      </c>
      <c r="F116" s="417"/>
      <c r="G116" s="417"/>
      <c r="H116" s="417"/>
      <c r="I116" s="417"/>
      <c r="J116" s="417"/>
      <c r="K116" s="345"/>
      <c r="L116" s="345">
        <v>0</v>
      </c>
      <c r="M116" s="345">
        <v>0</v>
      </c>
      <c r="N116" s="345">
        <v>0</v>
      </c>
      <c r="O116" s="345">
        <v>0</v>
      </c>
      <c r="P116" s="345">
        <v>0</v>
      </c>
      <c r="Q116" s="345">
        <v>0</v>
      </c>
      <c r="R116" s="345">
        <v>0</v>
      </c>
      <c r="S116" s="345">
        <v>0</v>
      </c>
      <c r="T116" s="345">
        <v>0</v>
      </c>
      <c r="U116" s="345">
        <v>0</v>
      </c>
      <c r="V116" s="345">
        <v>0</v>
      </c>
      <c r="W116" s="345">
        <v>1</v>
      </c>
      <c r="X116" s="345"/>
      <c r="Y116" s="345"/>
      <c r="Z116" s="416">
        <f t="shared" ref="Z116" si="836">SUM(F116:X116)</f>
        <v>1</v>
      </c>
      <c r="AA116" s="344"/>
      <c r="AB116" s="344"/>
      <c r="AC116" s="346">
        <f t="shared" ref="AC116" si="837">F116*$D116</f>
        <v>0</v>
      </c>
      <c r="AD116" s="346">
        <f t="shared" ref="AD116" si="838">G116*$D116</f>
        <v>0</v>
      </c>
      <c r="AE116" s="346">
        <f t="shared" ref="AE116" si="839">H116*$D116</f>
        <v>0</v>
      </c>
      <c r="AF116" s="346">
        <f t="shared" ref="AF116" si="840">I116*$D116</f>
        <v>0</v>
      </c>
      <c r="AG116" s="346">
        <f t="shared" ref="AG116" si="841">J116*$D116</f>
        <v>0</v>
      </c>
      <c r="AH116" s="415">
        <f t="shared" ref="AH116" si="842">K116*$D116</f>
        <v>0</v>
      </c>
      <c r="AI116" s="346">
        <f t="shared" ref="AI116" si="843">L116*$D116</f>
        <v>0</v>
      </c>
      <c r="AJ116" s="415">
        <f t="shared" ref="AJ116" si="844">M116*$D116</f>
        <v>0</v>
      </c>
      <c r="AK116" s="346">
        <f t="shared" ref="AK116" si="845">N116*$D116</f>
        <v>0</v>
      </c>
      <c r="AL116" s="346">
        <f t="shared" ref="AL116" si="846">O116*$D116</f>
        <v>0</v>
      </c>
      <c r="AM116" s="415">
        <f t="shared" ref="AM116" si="847">P116*$D116</f>
        <v>0</v>
      </c>
      <c r="AN116" s="333">
        <f t="shared" ref="AN116" si="848">Q116*$D116</f>
        <v>0</v>
      </c>
      <c r="AO116" s="333">
        <f t="shared" ref="AO116" si="849">R116*$D116</f>
        <v>0</v>
      </c>
      <c r="AP116" s="346">
        <f t="shared" ref="AP116" si="850">S116*$D116</f>
        <v>0</v>
      </c>
      <c r="AQ116" s="333">
        <f t="shared" ref="AQ116" si="851">T116*$D116</f>
        <v>0</v>
      </c>
      <c r="AR116" s="333">
        <f t="shared" ref="AR116" si="852">U116*$D116</f>
        <v>0</v>
      </c>
      <c r="AS116" s="333">
        <f t="shared" ref="AS116" si="853">V116*$D116</f>
        <v>0</v>
      </c>
      <c r="AT116" s="333">
        <f t="shared" ref="AT116" si="854">W116*$D116</f>
        <v>4000</v>
      </c>
      <c r="AU116" s="333">
        <f t="shared" ref="AU116" si="855">X116*$D116</f>
        <v>0</v>
      </c>
      <c r="AV116" s="346"/>
      <c r="AW116" s="346"/>
      <c r="AX116" s="346">
        <f t="shared" ref="AX116:BM116" si="856">IF(AX$3=$E116,$D116,0)</f>
        <v>0</v>
      </c>
      <c r="AY116" s="346">
        <f t="shared" si="856"/>
        <v>0</v>
      </c>
      <c r="AZ116" s="346">
        <f t="shared" si="856"/>
        <v>0</v>
      </c>
      <c r="BA116" s="346">
        <f t="shared" si="856"/>
        <v>0</v>
      </c>
      <c r="BB116" s="346">
        <f t="shared" si="856"/>
        <v>0</v>
      </c>
      <c r="BC116" s="346">
        <f t="shared" si="856"/>
        <v>0</v>
      </c>
      <c r="BD116" s="346">
        <f t="shared" si="856"/>
        <v>0</v>
      </c>
      <c r="BE116" s="346">
        <f t="shared" si="856"/>
        <v>0</v>
      </c>
      <c r="BF116" s="346">
        <f t="shared" si="856"/>
        <v>0</v>
      </c>
      <c r="BG116" s="346">
        <f t="shared" si="856"/>
        <v>0</v>
      </c>
      <c r="BH116" s="346">
        <f t="shared" si="856"/>
        <v>0</v>
      </c>
      <c r="BI116" s="346">
        <f t="shared" si="856"/>
        <v>0</v>
      </c>
      <c r="BJ116" s="346">
        <f t="shared" si="856"/>
        <v>0</v>
      </c>
      <c r="BK116" s="333">
        <f t="shared" si="856"/>
        <v>0</v>
      </c>
      <c r="BL116" s="346">
        <f t="shared" si="856"/>
        <v>0</v>
      </c>
      <c r="BM116" s="346">
        <f t="shared" si="856"/>
        <v>0</v>
      </c>
      <c r="BN116" s="346">
        <f t="shared" si="625"/>
        <v>0</v>
      </c>
      <c r="BO116" s="346">
        <f t="shared" si="625"/>
        <v>4000</v>
      </c>
      <c r="BP116" s="346">
        <f t="shared" si="625"/>
        <v>0</v>
      </c>
      <c r="BQ116" s="346">
        <f t="shared" si="625"/>
        <v>0</v>
      </c>
      <c r="BR116" s="370">
        <f t="shared" ref="BR116" si="857">SUM(AC116:AV116)-SUM(AX116:BQ116)</f>
        <v>0</v>
      </c>
      <c r="BS116" s="402">
        <f t="shared" si="578"/>
        <v>0</v>
      </c>
      <c r="BT116" s="402">
        <f t="shared" si="579"/>
        <v>0</v>
      </c>
    </row>
    <row r="117" spans="1:72" s="235" customFormat="1" ht="15" hidden="1" customHeight="1" x14ac:dyDescent="0.25">
      <c r="A117" s="442" t="s">
        <v>135</v>
      </c>
      <c r="B117" s="448" t="str">
        <f>VLOOKUP(A117,'DFP-Com'!$A$16:$B$50,2,1)</f>
        <v xml:space="preserve">     3.1.a  Student Assessment</v>
      </c>
      <c r="C117" s="443" t="s">
        <v>368</v>
      </c>
      <c r="D117" s="435">
        <v>6600</v>
      </c>
      <c r="E117" s="443" t="s">
        <v>204</v>
      </c>
      <c r="F117" s="444"/>
      <c r="G117" s="444"/>
      <c r="H117" s="444"/>
      <c r="I117" s="444">
        <v>0</v>
      </c>
      <c r="J117" s="444">
        <v>0</v>
      </c>
      <c r="K117" s="444">
        <v>0</v>
      </c>
      <c r="L117" s="446">
        <v>0</v>
      </c>
      <c r="M117" s="446">
        <v>0</v>
      </c>
      <c r="N117" s="446">
        <v>0</v>
      </c>
      <c r="O117" s="446">
        <v>0</v>
      </c>
      <c r="P117" s="446">
        <v>0</v>
      </c>
      <c r="Q117" s="444">
        <v>0</v>
      </c>
      <c r="R117" s="444">
        <v>0</v>
      </c>
      <c r="S117" s="444">
        <v>0</v>
      </c>
      <c r="T117" s="444">
        <v>0.16666666666666666</v>
      </c>
      <c r="U117" s="444">
        <v>0.33333333333333331</v>
      </c>
      <c r="V117" s="444">
        <v>0.33333333333333331</v>
      </c>
      <c r="W117" s="444">
        <v>0.16666666666666666</v>
      </c>
      <c r="X117" s="444"/>
      <c r="Y117" s="444"/>
      <c r="Z117" s="445">
        <f>SUM(F117:Y117)</f>
        <v>0.99999999999999989</v>
      </c>
      <c r="AA117" s="443"/>
      <c r="AB117" s="443"/>
      <c r="AC117" s="434">
        <f t="shared" ref="AC117:AC125" si="858">F117*$D117</f>
        <v>0</v>
      </c>
      <c r="AD117" s="434">
        <f t="shared" ref="AD117:AD125" si="859">G117*$D117</f>
        <v>0</v>
      </c>
      <c r="AE117" s="434">
        <f t="shared" ref="AE117:AE125" si="860">H117*$D117</f>
        <v>0</v>
      </c>
      <c r="AF117" s="434">
        <f t="shared" ref="AF117:AF125" si="861">I117*$D117</f>
        <v>0</v>
      </c>
      <c r="AG117" s="434">
        <f t="shared" ref="AG117:AG125" si="862">J117*$D117</f>
        <v>0</v>
      </c>
      <c r="AH117" s="435">
        <f t="shared" ref="AH117:AH125" si="863">K117*$D117</f>
        <v>0</v>
      </c>
      <c r="AI117" s="434">
        <f t="shared" ref="AI117:AI125" si="864">L117*$D117</f>
        <v>0</v>
      </c>
      <c r="AJ117" s="435">
        <f t="shared" ref="AJ117:AJ125" si="865">M117*$D117</f>
        <v>0</v>
      </c>
      <c r="AK117" s="435">
        <f t="shared" ref="AK117:AK125" si="866">N117*$D117</f>
        <v>0</v>
      </c>
      <c r="AL117" s="434">
        <f t="shared" ref="AL117:AL125" si="867">O117*$D117</f>
        <v>0</v>
      </c>
      <c r="AM117" s="435">
        <f t="shared" ref="AM117:AM125" si="868">P117*$D117</f>
        <v>0</v>
      </c>
      <c r="AN117" s="441">
        <f t="shared" ref="AN117:AN125" si="869">Q117*$D117</f>
        <v>0</v>
      </c>
      <c r="AO117" s="441">
        <f t="shared" ref="AO117:AO125" si="870">R117*$D117</f>
        <v>0</v>
      </c>
      <c r="AP117" s="434">
        <f t="shared" ref="AP117:AQ125" si="871">S117*$D117</f>
        <v>0</v>
      </c>
      <c r="AQ117" s="441">
        <f t="shared" si="871"/>
        <v>1100</v>
      </c>
      <c r="AR117" s="441">
        <f t="shared" ref="AR117:AR125" si="872">U117*$D117</f>
        <v>2200</v>
      </c>
      <c r="AS117" s="487">
        <f t="shared" ref="AS117:AS125" si="873">V117*$D117</f>
        <v>2200</v>
      </c>
      <c r="AT117" s="441">
        <f t="shared" ref="AT117:AT125" si="874">W117*$D117</f>
        <v>1100</v>
      </c>
      <c r="AU117" s="441">
        <f t="shared" ref="AU117:AU125" si="875">X117*$D117</f>
        <v>0</v>
      </c>
      <c r="AV117" s="434"/>
      <c r="AW117" s="434"/>
      <c r="AX117" s="434">
        <f t="shared" si="710"/>
        <v>0</v>
      </c>
      <c r="AY117" s="434">
        <f t="shared" si="710"/>
        <v>0</v>
      </c>
      <c r="AZ117" s="434">
        <f t="shared" si="710"/>
        <v>0</v>
      </c>
      <c r="BA117" s="434">
        <f t="shared" si="710"/>
        <v>0</v>
      </c>
      <c r="BB117" s="434">
        <f t="shared" si="710"/>
        <v>0</v>
      </c>
      <c r="BC117" s="434">
        <f t="shared" si="710"/>
        <v>0</v>
      </c>
      <c r="BD117" s="434">
        <f t="shared" si="710"/>
        <v>0</v>
      </c>
      <c r="BE117" s="434">
        <f t="shared" si="710"/>
        <v>0</v>
      </c>
      <c r="BF117" s="435">
        <f t="shared" si="710"/>
        <v>0</v>
      </c>
      <c r="BG117" s="434">
        <f t="shared" si="710"/>
        <v>0</v>
      </c>
      <c r="BH117" s="434">
        <f t="shared" si="710"/>
        <v>0</v>
      </c>
      <c r="BI117" s="434">
        <f t="shared" si="710"/>
        <v>0</v>
      </c>
      <c r="BJ117" s="434">
        <f t="shared" si="710"/>
        <v>0</v>
      </c>
      <c r="BK117" s="441">
        <f t="shared" si="710"/>
        <v>0</v>
      </c>
      <c r="BL117" s="434">
        <f t="shared" si="710"/>
        <v>6600</v>
      </c>
      <c r="BM117" s="434">
        <f t="shared" si="710"/>
        <v>0</v>
      </c>
      <c r="BN117" s="434">
        <f t="shared" si="710"/>
        <v>0</v>
      </c>
      <c r="BO117" s="434">
        <f t="shared" si="625"/>
        <v>0</v>
      </c>
      <c r="BP117" s="434">
        <f t="shared" si="625"/>
        <v>0</v>
      </c>
      <c r="BQ117" s="434">
        <f t="shared" si="625"/>
        <v>0</v>
      </c>
      <c r="BR117" s="440">
        <f t="shared" ref="BR117" si="876">SUM(AC117:AV117)-SUM(AX117:BQ117)</f>
        <v>0</v>
      </c>
      <c r="BS117" s="450">
        <f t="shared" si="578"/>
        <v>0</v>
      </c>
      <c r="BT117" s="450">
        <f t="shared" si="579"/>
        <v>0</v>
      </c>
    </row>
    <row r="118" spans="1:72" s="235" customFormat="1" ht="15" hidden="1" customHeight="1" x14ac:dyDescent="0.25">
      <c r="A118" s="442" t="s">
        <v>135</v>
      </c>
      <c r="B118" s="448" t="str">
        <f>VLOOKUP(A118,'DFP-Com'!$A$16:$B$50,2,1)</f>
        <v xml:space="preserve">     3.1.a  Student Assessment</v>
      </c>
      <c r="C118" s="443" t="s">
        <v>336</v>
      </c>
      <c r="D118" s="435">
        <v>26400</v>
      </c>
      <c r="E118" s="443" t="s">
        <v>350</v>
      </c>
      <c r="F118" s="444"/>
      <c r="G118" s="444"/>
      <c r="H118" s="444"/>
      <c r="I118" s="444">
        <v>0</v>
      </c>
      <c r="J118" s="444">
        <v>0</v>
      </c>
      <c r="K118" s="444">
        <v>0</v>
      </c>
      <c r="L118" s="446">
        <v>0</v>
      </c>
      <c r="M118" s="446">
        <v>0</v>
      </c>
      <c r="N118" s="446">
        <v>0</v>
      </c>
      <c r="O118" s="446">
        <v>0</v>
      </c>
      <c r="P118" s="446">
        <v>0</v>
      </c>
      <c r="Q118" s="444">
        <v>0</v>
      </c>
      <c r="R118" s="444">
        <v>0</v>
      </c>
      <c r="S118" s="444">
        <v>0</v>
      </c>
      <c r="T118" s="444">
        <v>0</v>
      </c>
      <c r="U118" s="444">
        <v>0</v>
      </c>
      <c r="V118" s="444">
        <v>0.5</v>
      </c>
      <c r="W118" s="444">
        <v>0.5</v>
      </c>
      <c r="X118" s="444"/>
      <c r="Y118" s="444"/>
      <c r="Z118" s="445">
        <f>SUM(F118:Y118)</f>
        <v>1</v>
      </c>
      <c r="AA118" s="443"/>
      <c r="AB118" s="443"/>
      <c r="AC118" s="434">
        <f t="shared" ref="AC118" si="877">F118*$D118</f>
        <v>0</v>
      </c>
      <c r="AD118" s="434">
        <f t="shared" ref="AD118" si="878">G118*$D118</f>
        <v>0</v>
      </c>
      <c r="AE118" s="434">
        <f t="shared" ref="AE118" si="879">H118*$D118</f>
        <v>0</v>
      </c>
      <c r="AF118" s="434">
        <f t="shared" ref="AF118" si="880">I118*$D118</f>
        <v>0</v>
      </c>
      <c r="AG118" s="434">
        <f t="shared" ref="AG118" si="881">J118*$D118</f>
        <v>0</v>
      </c>
      <c r="AH118" s="435">
        <f t="shared" ref="AH118" si="882">K118*$D118</f>
        <v>0</v>
      </c>
      <c r="AI118" s="434">
        <f t="shared" ref="AI118" si="883">L118*$D118</f>
        <v>0</v>
      </c>
      <c r="AJ118" s="435">
        <f t="shared" ref="AJ118" si="884">M118*$D118</f>
        <v>0</v>
      </c>
      <c r="AK118" s="435">
        <f t="shared" ref="AK118" si="885">N118*$D118</f>
        <v>0</v>
      </c>
      <c r="AL118" s="434">
        <f t="shared" ref="AL118" si="886">O118*$D118</f>
        <v>0</v>
      </c>
      <c r="AM118" s="435">
        <f t="shared" ref="AM118" si="887">P118*$D118</f>
        <v>0</v>
      </c>
      <c r="AN118" s="441">
        <f t="shared" ref="AN118" si="888">Q118*$D118</f>
        <v>0</v>
      </c>
      <c r="AO118" s="441">
        <f t="shared" ref="AO118" si="889">R118*$D118</f>
        <v>0</v>
      </c>
      <c r="AP118" s="434">
        <f t="shared" ref="AP118" si="890">S118*$D118</f>
        <v>0</v>
      </c>
      <c r="AQ118" s="441">
        <f t="shared" ref="AQ118" si="891">T118*$D118</f>
        <v>0</v>
      </c>
      <c r="AR118" s="441">
        <f t="shared" ref="AR118" si="892">U118*$D118</f>
        <v>0</v>
      </c>
      <c r="AS118" s="487">
        <f t="shared" ref="AS118" si="893">V118*$D118</f>
        <v>13200</v>
      </c>
      <c r="AT118" s="441">
        <f t="shared" ref="AT118" si="894">W118*$D118</f>
        <v>13200</v>
      </c>
      <c r="AU118" s="441">
        <f t="shared" ref="AU118" si="895">X118*$D118</f>
        <v>0</v>
      </c>
      <c r="AV118" s="434"/>
      <c r="AW118" s="434"/>
      <c r="AX118" s="434">
        <f t="shared" ref="AX118:BN118" si="896">IF(AX$3=$E118,$D118,0)</f>
        <v>0</v>
      </c>
      <c r="AY118" s="434">
        <f t="shared" si="896"/>
        <v>0</v>
      </c>
      <c r="AZ118" s="434">
        <f t="shared" si="896"/>
        <v>0</v>
      </c>
      <c r="BA118" s="434">
        <f t="shared" si="896"/>
        <v>0</v>
      </c>
      <c r="BB118" s="434">
        <f t="shared" si="896"/>
        <v>0</v>
      </c>
      <c r="BC118" s="434">
        <f t="shared" si="896"/>
        <v>0</v>
      </c>
      <c r="BD118" s="434">
        <f t="shared" si="896"/>
        <v>0</v>
      </c>
      <c r="BE118" s="434">
        <f t="shared" si="896"/>
        <v>0</v>
      </c>
      <c r="BF118" s="435">
        <f t="shared" si="896"/>
        <v>0</v>
      </c>
      <c r="BG118" s="434">
        <f t="shared" si="896"/>
        <v>0</v>
      </c>
      <c r="BH118" s="434">
        <f t="shared" si="896"/>
        <v>0</v>
      </c>
      <c r="BI118" s="434">
        <f t="shared" si="896"/>
        <v>0</v>
      </c>
      <c r="BJ118" s="434">
        <f t="shared" si="896"/>
        <v>0</v>
      </c>
      <c r="BK118" s="441">
        <f t="shared" si="896"/>
        <v>0</v>
      </c>
      <c r="BL118" s="434">
        <f t="shared" si="896"/>
        <v>0</v>
      </c>
      <c r="BM118" s="434">
        <f t="shared" si="896"/>
        <v>26400</v>
      </c>
      <c r="BN118" s="434">
        <f t="shared" si="896"/>
        <v>0</v>
      </c>
      <c r="BO118" s="434">
        <f t="shared" si="625"/>
        <v>0</v>
      </c>
      <c r="BP118" s="434">
        <f t="shared" si="625"/>
        <v>0</v>
      </c>
      <c r="BQ118" s="434">
        <f t="shared" si="625"/>
        <v>0</v>
      </c>
      <c r="BR118" s="440">
        <f t="shared" ref="BR118" si="897">SUM(AC118:AV118)-SUM(AX118:BQ118)</f>
        <v>0</v>
      </c>
      <c r="BS118" s="450">
        <f t="shared" si="578"/>
        <v>0</v>
      </c>
      <c r="BT118" s="450">
        <f t="shared" si="579"/>
        <v>0</v>
      </c>
    </row>
    <row r="119" spans="1:72" s="235" customFormat="1" ht="14.45" hidden="1" customHeight="1" x14ac:dyDescent="0.25">
      <c r="A119" s="442" t="s">
        <v>135</v>
      </c>
      <c r="B119" s="448" t="str">
        <f>VLOOKUP(A119,'DFP-Com'!$A$16:$B$50,2,1)</f>
        <v xml:space="preserve">     3.1.a  Student Assessment</v>
      </c>
      <c r="C119" s="443" t="s">
        <v>392</v>
      </c>
      <c r="D119" s="435">
        <v>20000</v>
      </c>
      <c r="E119" s="443" t="s">
        <v>325</v>
      </c>
      <c r="F119" s="446"/>
      <c r="G119" s="446"/>
      <c r="H119" s="446"/>
      <c r="I119" s="446"/>
      <c r="J119" s="446"/>
      <c r="K119" s="444"/>
      <c r="L119" s="444">
        <v>0</v>
      </c>
      <c r="M119" s="444">
        <v>0</v>
      </c>
      <c r="N119" s="444">
        <v>0</v>
      </c>
      <c r="O119" s="444">
        <v>0</v>
      </c>
      <c r="P119" s="444">
        <v>0</v>
      </c>
      <c r="Q119" s="444">
        <v>0</v>
      </c>
      <c r="R119" s="444">
        <v>0</v>
      </c>
      <c r="S119" s="444">
        <v>0</v>
      </c>
      <c r="T119" s="444">
        <v>0</v>
      </c>
      <c r="U119" s="444">
        <v>0</v>
      </c>
      <c r="V119" s="444">
        <v>0</v>
      </c>
      <c r="W119" s="444">
        <v>1</v>
      </c>
      <c r="X119" s="444"/>
      <c r="Y119" s="444"/>
      <c r="Z119" s="445">
        <f t="shared" ref="Z119:Z125" si="898">SUM(F119:X119)</f>
        <v>1</v>
      </c>
      <c r="AA119" s="443"/>
      <c r="AB119" s="443"/>
      <c r="AC119" s="434">
        <f t="shared" si="858"/>
        <v>0</v>
      </c>
      <c r="AD119" s="434">
        <f t="shared" si="859"/>
        <v>0</v>
      </c>
      <c r="AE119" s="434">
        <f t="shared" si="860"/>
        <v>0</v>
      </c>
      <c r="AF119" s="434">
        <f t="shared" si="861"/>
        <v>0</v>
      </c>
      <c r="AG119" s="434">
        <f t="shared" si="862"/>
        <v>0</v>
      </c>
      <c r="AH119" s="435">
        <f t="shared" si="863"/>
        <v>0</v>
      </c>
      <c r="AI119" s="434">
        <f t="shared" si="864"/>
        <v>0</v>
      </c>
      <c r="AJ119" s="435">
        <f t="shared" si="865"/>
        <v>0</v>
      </c>
      <c r="AK119" s="434">
        <f t="shared" si="866"/>
        <v>0</v>
      </c>
      <c r="AL119" s="434">
        <f t="shared" si="867"/>
        <v>0</v>
      </c>
      <c r="AM119" s="435">
        <f t="shared" si="868"/>
        <v>0</v>
      </c>
      <c r="AN119" s="441">
        <f t="shared" si="869"/>
        <v>0</v>
      </c>
      <c r="AO119" s="441">
        <f t="shared" si="870"/>
        <v>0</v>
      </c>
      <c r="AP119" s="434">
        <f t="shared" si="871"/>
        <v>0</v>
      </c>
      <c r="AQ119" s="441">
        <f t="shared" si="871"/>
        <v>0</v>
      </c>
      <c r="AR119" s="441">
        <f t="shared" si="872"/>
        <v>0</v>
      </c>
      <c r="AS119" s="441">
        <f t="shared" si="873"/>
        <v>0</v>
      </c>
      <c r="AT119" s="441">
        <f t="shared" si="874"/>
        <v>20000</v>
      </c>
      <c r="AU119" s="441">
        <f t="shared" si="875"/>
        <v>0</v>
      </c>
      <c r="AV119" s="434"/>
      <c r="AW119" s="434"/>
      <c r="AX119" s="434">
        <f t="shared" si="710"/>
        <v>0</v>
      </c>
      <c r="AY119" s="434">
        <f t="shared" si="710"/>
        <v>0</v>
      </c>
      <c r="AZ119" s="434">
        <f t="shared" si="710"/>
        <v>0</v>
      </c>
      <c r="BA119" s="434">
        <f t="shared" si="710"/>
        <v>0</v>
      </c>
      <c r="BB119" s="434">
        <f t="shared" si="710"/>
        <v>0</v>
      </c>
      <c r="BC119" s="434">
        <f t="shared" si="710"/>
        <v>0</v>
      </c>
      <c r="BD119" s="434">
        <f t="shared" si="710"/>
        <v>0</v>
      </c>
      <c r="BE119" s="434">
        <f t="shared" si="710"/>
        <v>0</v>
      </c>
      <c r="BF119" s="434">
        <f t="shared" si="710"/>
        <v>0</v>
      </c>
      <c r="BG119" s="434">
        <f t="shared" si="710"/>
        <v>0</v>
      </c>
      <c r="BH119" s="434">
        <f t="shared" si="710"/>
        <v>0</v>
      </c>
      <c r="BI119" s="434">
        <f t="shared" si="710"/>
        <v>0</v>
      </c>
      <c r="BJ119" s="434">
        <f t="shared" si="710"/>
        <v>0</v>
      </c>
      <c r="BK119" s="441">
        <f t="shared" si="710"/>
        <v>0</v>
      </c>
      <c r="BL119" s="434">
        <f t="shared" si="710"/>
        <v>0</v>
      </c>
      <c r="BM119" s="434">
        <f t="shared" si="710"/>
        <v>0</v>
      </c>
      <c r="BN119" s="434">
        <f t="shared" si="625"/>
        <v>20000</v>
      </c>
      <c r="BO119" s="434">
        <f t="shared" si="625"/>
        <v>0</v>
      </c>
      <c r="BP119" s="434">
        <f t="shared" si="625"/>
        <v>0</v>
      </c>
      <c r="BQ119" s="434">
        <f t="shared" si="625"/>
        <v>0</v>
      </c>
      <c r="BR119" s="440">
        <f t="shared" ref="BR119:BR124" si="899">SUM(AC119:AV119)-SUM(AX119:BQ119)</f>
        <v>0</v>
      </c>
      <c r="BS119" s="450">
        <f t="shared" si="578"/>
        <v>0</v>
      </c>
      <c r="BT119" s="450">
        <f t="shared" si="579"/>
        <v>0</v>
      </c>
    </row>
    <row r="120" spans="1:72" s="235" customFormat="1" ht="14.45" hidden="1" customHeight="1" x14ac:dyDescent="0.25">
      <c r="A120" s="235" t="s">
        <v>138</v>
      </c>
      <c r="B120" s="422" t="str">
        <f>VLOOKUP(A120,'DFP-Com'!$A$16:$B$50,2,1)</f>
        <v xml:space="preserve">     3.1 d Other</v>
      </c>
      <c r="C120" s="344" t="s">
        <v>403</v>
      </c>
      <c r="D120" s="415">
        <v>6000</v>
      </c>
      <c r="E120" s="344" t="s">
        <v>326</v>
      </c>
      <c r="F120" s="417"/>
      <c r="G120" s="417"/>
      <c r="H120" s="417"/>
      <c r="I120" s="417"/>
      <c r="J120" s="417"/>
      <c r="K120" s="345"/>
      <c r="L120" s="345">
        <v>0</v>
      </c>
      <c r="M120" s="345">
        <v>0</v>
      </c>
      <c r="N120" s="345">
        <v>0</v>
      </c>
      <c r="O120" s="345">
        <v>0</v>
      </c>
      <c r="P120" s="345">
        <v>0</v>
      </c>
      <c r="Q120" s="345">
        <v>0</v>
      </c>
      <c r="R120" s="345">
        <v>0</v>
      </c>
      <c r="S120" s="345">
        <v>0</v>
      </c>
      <c r="T120" s="345">
        <v>0</v>
      </c>
      <c r="U120" s="345"/>
      <c r="V120" s="345">
        <v>0</v>
      </c>
      <c r="W120" s="345">
        <v>1</v>
      </c>
      <c r="X120" s="345"/>
      <c r="Y120" s="345"/>
      <c r="Z120" s="416">
        <f t="shared" si="898"/>
        <v>1</v>
      </c>
      <c r="AA120" s="344"/>
      <c r="AB120" s="344"/>
      <c r="AC120" s="346">
        <f t="shared" si="858"/>
        <v>0</v>
      </c>
      <c r="AD120" s="346">
        <f t="shared" si="859"/>
        <v>0</v>
      </c>
      <c r="AE120" s="346">
        <f t="shared" si="860"/>
        <v>0</v>
      </c>
      <c r="AF120" s="346">
        <f t="shared" si="861"/>
        <v>0</v>
      </c>
      <c r="AG120" s="346">
        <f t="shared" si="862"/>
        <v>0</v>
      </c>
      <c r="AH120" s="415">
        <f t="shared" si="863"/>
        <v>0</v>
      </c>
      <c r="AI120" s="346">
        <f t="shared" si="864"/>
        <v>0</v>
      </c>
      <c r="AJ120" s="415">
        <f t="shared" si="865"/>
        <v>0</v>
      </c>
      <c r="AK120" s="346">
        <f t="shared" si="866"/>
        <v>0</v>
      </c>
      <c r="AL120" s="346">
        <f t="shared" si="867"/>
        <v>0</v>
      </c>
      <c r="AM120" s="415">
        <f t="shared" si="868"/>
        <v>0</v>
      </c>
      <c r="AN120" s="333">
        <f t="shared" si="869"/>
        <v>0</v>
      </c>
      <c r="AO120" s="333">
        <f t="shared" si="870"/>
        <v>0</v>
      </c>
      <c r="AP120" s="346">
        <f t="shared" si="871"/>
        <v>0</v>
      </c>
      <c r="AQ120" s="333">
        <f t="shared" si="871"/>
        <v>0</v>
      </c>
      <c r="AR120" s="333">
        <f t="shared" si="872"/>
        <v>0</v>
      </c>
      <c r="AS120" s="333">
        <f t="shared" si="873"/>
        <v>0</v>
      </c>
      <c r="AT120" s="333">
        <f t="shared" si="874"/>
        <v>6000</v>
      </c>
      <c r="AU120" s="333">
        <f t="shared" si="875"/>
        <v>0</v>
      </c>
      <c r="AV120" s="346"/>
      <c r="AW120" s="346"/>
      <c r="AX120" s="346">
        <f t="shared" si="710"/>
        <v>0</v>
      </c>
      <c r="AY120" s="346">
        <f t="shared" si="710"/>
        <v>0</v>
      </c>
      <c r="AZ120" s="346">
        <f t="shared" si="710"/>
        <v>0</v>
      </c>
      <c r="BA120" s="346">
        <f t="shared" si="710"/>
        <v>0</v>
      </c>
      <c r="BB120" s="346">
        <f t="shared" si="710"/>
        <v>0</v>
      </c>
      <c r="BC120" s="346">
        <f t="shared" si="710"/>
        <v>0</v>
      </c>
      <c r="BD120" s="346">
        <f t="shared" si="710"/>
        <v>0</v>
      </c>
      <c r="BE120" s="346">
        <f t="shared" si="710"/>
        <v>0</v>
      </c>
      <c r="BF120" s="346">
        <f t="shared" si="710"/>
        <v>0</v>
      </c>
      <c r="BG120" s="346">
        <f t="shared" si="710"/>
        <v>0</v>
      </c>
      <c r="BH120" s="346">
        <f t="shared" si="710"/>
        <v>0</v>
      </c>
      <c r="BI120" s="346">
        <f t="shared" si="710"/>
        <v>0</v>
      </c>
      <c r="BJ120" s="346">
        <f t="shared" si="710"/>
        <v>0</v>
      </c>
      <c r="BK120" s="333">
        <f t="shared" si="710"/>
        <v>0</v>
      </c>
      <c r="BL120" s="346">
        <f t="shared" si="710"/>
        <v>0</v>
      </c>
      <c r="BM120" s="346">
        <f t="shared" si="710"/>
        <v>0</v>
      </c>
      <c r="BN120" s="346">
        <f t="shared" si="625"/>
        <v>0</v>
      </c>
      <c r="BO120" s="346">
        <f t="shared" si="625"/>
        <v>6000</v>
      </c>
      <c r="BP120" s="346">
        <f t="shared" si="625"/>
        <v>0</v>
      </c>
      <c r="BQ120" s="346">
        <f t="shared" si="625"/>
        <v>0</v>
      </c>
      <c r="BR120" s="370">
        <f t="shared" si="899"/>
        <v>0</v>
      </c>
      <c r="BS120" s="402">
        <f t="shared" si="578"/>
        <v>0</v>
      </c>
      <c r="BT120" s="402">
        <f t="shared" si="579"/>
        <v>0</v>
      </c>
    </row>
    <row r="121" spans="1:72" s="235" customFormat="1" ht="14.45" hidden="1" customHeight="1" x14ac:dyDescent="0.25">
      <c r="A121" s="235" t="s">
        <v>138</v>
      </c>
      <c r="B121" s="422" t="str">
        <f>VLOOKUP(A121,'DFP-Com'!$A$16:$B$50,2,1)</f>
        <v xml:space="preserve">     3.1 d Other</v>
      </c>
      <c r="C121" s="344" t="s">
        <v>349</v>
      </c>
      <c r="D121" s="415">
        <v>14722.43</v>
      </c>
      <c r="E121" s="344" t="s">
        <v>204</v>
      </c>
      <c r="F121" s="417"/>
      <c r="G121" s="417"/>
      <c r="H121" s="417"/>
      <c r="I121" s="417"/>
      <c r="J121" s="417"/>
      <c r="K121" s="345"/>
      <c r="L121" s="345">
        <v>0</v>
      </c>
      <c r="M121" s="345">
        <v>0</v>
      </c>
      <c r="N121" s="345">
        <v>0</v>
      </c>
      <c r="O121" s="345">
        <v>0</v>
      </c>
      <c r="P121" s="345">
        <v>0</v>
      </c>
      <c r="Q121" s="345">
        <v>0</v>
      </c>
      <c r="R121" s="345">
        <v>0</v>
      </c>
      <c r="S121" s="345">
        <v>0</v>
      </c>
      <c r="T121" s="345">
        <v>1</v>
      </c>
      <c r="U121" s="345"/>
      <c r="V121" s="345">
        <v>0</v>
      </c>
      <c r="W121" s="345">
        <v>0</v>
      </c>
      <c r="X121" s="345"/>
      <c r="Y121" s="345"/>
      <c r="Z121" s="416">
        <f t="shared" ref="Z121" si="900">SUM(F121:X121)</f>
        <v>1</v>
      </c>
      <c r="AA121" s="344"/>
      <c r="AB121" s="344"/>
      <c r="AC121" s="346">
        <f t="shared" ref="AC121" si="901">F121*$D121</f>
        <v>0</v>
      </c>
      <c r="AD121" s="346">
        <f t="shared" ref="AD121" si="902">G121*$D121</f>
        <v>0</v>
      </c>
      <c r="AE121" s="346">
        <f t="shared" ref="AE121" si="903">H121*$D121</f>
        <v>0</v>
      </c>
      <c r="AF121" s="346">
        <f t="shared" ref="AF121" si="904">I121*$D121</f>
        <v>0</v>
      </c>
      <c r="AG121" s="346">
        <f t="shared" ref="AG121" si="905">J121*$D121</f>
        <v>0</v>
      </c>
      <c r="AH121" s="415">
        <f t="shared" ref="AH121" si="906">K121*$D121</f>
        <v>0</v>
      </c>
      <c r="AI121" s="346">
        <f t="shared" ref="AI121" si="907">L121*$D121</f>
        <v>0</v>
      </c>
      <c r="AJ121" s="415">
        <f t="shared" ref="AJ121" si="908">M121*$D121</f>
        <v>0</v>
      </c>
      <c r="AK121" s="346">
        <f t="shared" ref="AK121" si="909">N121*$D121</f>
        <v>0</v>
      </c>
      <c r="AL121" s="346">
        <f t="shared" ref="AL121" si="910">O121*$D121</f>
        <v>0</v>
      </c>
      <c r="AM121" s="415">
        <f t="shared" ref="AM121" si="911">P121*$D121</f>
        <v>0</v>
      </c>
      <c r="AN121" s="333">
        <f t="shared" ref="AN121" si="912">Q121*$D121</f>
        <v>0</v>
      </c>
      <c r="AO121" s="333">
        <f t="shared" ref="AO121" si="913">R121*$D121</f>
        <v>0</v>
      </c>
      <c r="AP121" s="346">
        <f t="shared" ref="AP121" si="914">S121*$D121</f>
        <v>0</v>
      </c>
      <c r="AQ121" s="333">
        <f t="shared" ref="AQ121" si="915">T121*$D121</f>
        <v>14722.43</v>
      </c>
      <c r="AR121" s="333">
        <f t="shared" ref="AR121" si="916">U121*$D121</f>
        <v>0</v>
      </c>
      <c r="AS121" s="333">
        <f t="shared" ref="AS121" si="917">V121*$D121</f>
        <v>0</v>
      </c>
      <c r="AT121" s="333">
        <f t="shared" ref="AT121" si="918">W121*$D121</f>
        <v>0</v>
      </c>
      <c r="AU121" s="333">
        <f t="shared" ref="AU121" si="919">X121*$D121</f>
        <v>0</v>
      </c>
      <c r="AV121" s="346"/>
      <c r="AW121" s="346"/>
      <c r="AX121" s="346">
        <f t="shared" ref="AX121:BM121" si="920">IF(AX$3=$E121,$D121,0)</f>
        <v>0</v>
      </c>
      <c r="AY121" s="346">
        <f t="shared" si="920"/>
        <v>0</v>
      </c>
      <c r="AZ121" s="346">
        <f t="shared" si="920"/>
        <v>0</v>
      </c>
      <c r="BA121" s="346">
        <f t="shared" si="920"/>
        <v>0</v>
      </c>
      <c r="BB121" s="346">
        <f t="shared" si="920"/>
        <v>0</v>
      </c>
      <c r="BC121" s="346">
        <f t="shared" si="920"/>
        <v>0</v>
      </c>
      <c r="BD121" s="346">
        <f t="shared" si="920"/>
        <v>0</v>
      </c>
      <c r="BE121" s="346">
        <f t="shared" si="920"/>
        <v>0</v>
      </c>
      <c r="BF121" s="346">
        <f t="shared" si="920"/>
        <v>0</v>
      </c>
      <c r="BG121" s="346">
        <f t="shared" si="920"/>
        <v>0</v>
      </c>
      <c r="BH121" s="346">
        <f t="shared" si="920"/>
        <v>0</v>
      </c>
      <c r="BI121" s="346">
        <f t="shared" si="920"/>
        <v>0</v>
      </c>
      <c r="BJ121" s="346">
        <f t="shared" si="920"/>
        <v>0</v>
      </c>
      <c r="BK121" s="333">
        <f t="shared" si="920"/>
        <v>0</v>
      </c>
      <c r="BL121" s="346">
        <f t="shared" si="920"/>
        <v>14722.43</v>
      </c>
      <c r="BM121" s="346">
        <f t="shared" si="920"/>
        <v>0</v>
      </c>
      <c r="BN121" s="346">
        <f t="shared" si="625"/>
        <v>0</v>
      </c>
      <c r="BO121" s="346">
        <f t="shared" si="625"/>
        <v>0</v>
      </c>
      <c r="BP121" s="346">
        <f t="shared" si="625"/>
        <v>0</v>
      </c>
      <c r="BQ121" s="346">
        <f t="shared" si="625"/>
        <v>0</v>
      </c>
      <c r="BR121" s="370">
        <f t="shared" ref="BR121" si="921">SUM(AC121:AV121)-SUM(AX121:BQ121)</f>
        <v>0</v>
      </c>
      <c r="BS121" s="402">
        <f t="shared" si="578"/>
        <v>0</v>
      </c>
      <c r="BT121" s="402">
        <f t="shared" si="579"/>
        <v>0</v>
      </c>
    </row>
    <row r="122" spans="1:72" s="235" customFormat="1" ht="14.45" hidden="1" customHeight="1" x14ac:dyDescent="0.25">
      <c r="A122" s="235" t="s">
        <v>135</v>
      </c>
      <c r="B122" s="422" t="str">
        <f>VLOOKUP(A122,'DFP-Com'!$A$16:$B$50,2,1)</f>
        <v xml:space="preserve">     3.1.a  Student Assessment</v>
      </c>
      <c r="C122" s="344" t="s">
        <v>393</v>
      </c>
      <c r="D122" s="415">
        <v>170000</v>
      </c>
      <c r="E122" s="344" t="s">
        <v>326</v>
      </c>
      <c r="F122" s="417"/>
      <c r="G122" s="417"/>
      <c r="H122" s="417"/>
      <c r="I122" s="417"/>
      <c r="J122" s="417"/>
      <c r="K122" s="345"/>
      <c r="L122" s="345">
        <v>0</v>
      </c>
      <c r="M122" s="345">
        <v>0</v>
      </c>
      <c r="N122" s="345">
        <v>0</v>
      </c>
      <c r="O122" s="345">
        <v>0</v>
      </c>
      <c r="P122" s="345">
        <v>0</v>
      </c>
      <c r="Q122" s="345">
        <v>0</v>
      </c>
      <c r="R122" s="345">
        <v>0</v>
      </c>
      <c r="S122" s="345">
        <v>0</v>
      </c>
      <c r="T122" s="345">
        <v>0</v>
      </c>
      <c r="U122" s="345"/>
      <c r="V122" s="345"/>
      <c r="W122" s="345">
        <v>1</v>
      </c>
      <c r="X122" s="345"/>
      <c r="Y122" s="345"/>
      <c r="Z122" s="416">
        <f t="shared" si="898"/>
        <v>1</v>
      </c>
      <c r="AA122" s="344"/>
      <c r="AB122" s="344"/>
      <c r="AC122" s="346">
        <f t="shared" si="858"/>
        <v>0</v>
      </c>
      <c r="AD122" s="346">
        <f t="shared" si="859"/>
        <v>0</v>
      </c>
      <c r="AE122" s="346">
        <f t="shared" si="860"/>
        <v>0</v>
      </c>
      <c r="AF122" s="346">
        <f t="shared" si="861"/>
        <v>0</v>
      </c>
      <c r="AG122" s="346">
        <f t="shared" si="862"/>
        <v>0</v>
      </c>
      <c r="AH122" s="415">
        <f t="shared" si="863"/>
        <v>0</v>
      </c>
      <c r="AI122" s="346">
        <f t="shared" si="864"/>
        <v>0</v>
      </c>
      <c r="AJ122" s="415">
        <f t="shared" si="865"/>
        <v>0</v>
      </c>
      <c r="AK122" s="346">
        <f t="shared" si="866"/>
        <v>0</v>
      </c>
      <c r="AL122" s="346">
        <f t="shared" si="867"/>
        <v>0</v>
      </c>
      <c r="AM122" s="415">
        <f t="shared" si="868"/>
        <v>0</v>
      </c>
      <c r="AN122" s="333">
        <f t="shared" si="869"/>
        <v>0</v>
      </c>
      <c r="AO122" s="333">
        <f t="shared" si="870"/>
        <v>0</v>
      </c>
      <c r="AP122" s="346">
        <f t="shared" si="871"/>
        <v>0</v>
      </c>
      <c r="AQ122" s="333">
        <f t="shared" si="871"/>
        <v>0</v>
      </c>
      <c r="AR122" s="333">
        <f t="shared" si="872"/>
        <v>0</v>
      </c>
      <c r="AS122" s="333">
        <f t="shared" si="873"/>
        <v>0</v>
      </c>
      <c r="AT122" s="333">
        <f t="shared" si="874"/>
        <v>170000</v>
      </c>
      <c r="AU122" s="333">
        <f t="shared" si="875"/>
        <v>0</v>
      </c>
      <c r="AV122" s="346"/>
      <c r="AW122" s="346"/>
      <c r="AX122" s="346">
        <f t="shared" si="710"/>
        <v>0</v>
      </c>
      <c r="AY122" s="346">
        <f t="shared" si="710"/>
        <v>0</v>
      </c>
      <c r="AZ122" s="346">
        <f t="shared" si="710"/>
        <v>0</v>
      </c>
      <c r="BA122" s="346">
        <f t="shared" si="710"/>
        <v>0</v>
      </c>
      <c r="BB122" s="346">
        <f t="shared" si="710"/>
        <v>0</v>
      </c>
      <c r="BC122" s="346">
        <f t="shared" si="710"/>
        <v>0</v>
      </c>
      <c r="BD122" s="346">
        <f t="shared" si="710"/>
        <v>0</v>
      </c>
      <c r="BE122" s="346">
        <f t="shared" si="710"/>
        <v>0</v>
      </c>
      <c r="BF122" s="346">
        <f t="shared" si="710"/>
        <v>0</v>
      </c>
      <c r="BG122" s="346">
        <f t="shared" si="710"/>
        <v>0</v>
      </c>
      <c r="BH122" s="346">
        <f t="shared" si="710"/>
        <v>0</v>
      </c>
      <c r="BI122" s="346">
        <f t="shared" si="710"/>
        <v>0</v>
      </c>
      <c r="BJ122" s="346">
        <f t="shared" si="710"/>
        <v>0</v>
      </c>
      <c r="BK122" s="333">
        <f t="shared" si="710"/>
        <v>0</v>
      </c>
      <c r="BL122" s="346">
        <f t="shared" si="710"/>
        <v>0</v>
      </c>
      <c r="BM122" s="346">
        <f t="shared" si="710"/>
        <v>0</v>
      </c>
      <c r="BN122" s="346">
        <f t="shared" si="625"/>
        <v>0</v>
      </c>
      <c r="BO122" s="346">
        <f t="shared" si="625"/>
        <v>170000</v>
      </c>
      <c r="BP122" s="346">
        <f t="shared" si="625"/>
        <v>0</v>
      </c>
      <c r="BQ122" s="346">
        <f t="shared" si="625"/>
        <v>0</v>
      </c>
      <c r="BR122" s="370">
        <f t="shared" si="899"/>
        <v>0</v>
      </c>
      <c r="BS122" s="402">
        <f t="shared" si="578"/>
        <v>0</v>
      </c>
      <c r="BT122" s="402">
        <f t="shared" si="579"/>
        <v>0</v>
      </c>
    </row>
    <row r="123" spans="1:72" s="235" customFormat="1" ht="14.45" hidden="1" customHeight="1" x14ac:dyDescent="0.25">
      <c r="A123" s="235" t="s">
        <v>135</v>
      </c>
      <c r="B123" s="422" t="str">
        <f>VLOOKUP(A123,'DFP-Com'!$A$16:$B$50,2,1)</f>
        <v xml:space="preserve">     3.1.a  Student Assessment</v>
      </c>
      <c r="C123" s="344" t="s">
        <v>394</v>
      </c>
      <c r="D123" s="415">
        <v>25000</v>
      </c>
      <c r="E123" s="344" t="s">
        <v>326</v>
      </c>
      <c r="F123" s="417"/>
      <c r="G123" s="417"/>
      <c r="H123" s="417"/>
      <c r="I123" s="417"/>
      <c r="J123" s="417"/>
      <c r="K123" s="345"/>
      <c r="L123" s="345">
        <v>0</v>
      </c>
      <c r="M123" s="345">
        <v>0</v>
      </c>
      <c r="N123" s="345">
        <v>0</v>
      </c>
      <c r="O123" s="345">
        <v>0</v>
      </c>
      <c r="P123" s="345">
        <v>0</v>
      </c>
      <c r="Q123" s="345">
        <v>0</v>
      </c>
      <c r="R123" s="345">
        <v>0</v>
      </c>
      <c r="S123" s="345">
        <v>0</v>
      </c>
      <c r="T123" s="345">
        <v>0</v>
      </c>
      <c r="U123" s="345"/>
      <c r="V123" s="345"/>
      <c r="W123" s="345">
        <v>1</v>
      </c>
      <c r="X123" s="345"/>
      <c r="Y123" s="345"/>
      <c r="Z123" s="416">
        <f t="shared" si="898"/>
        <v>1</v>
      </c>
      <c r="AA123" s="344"/>
      <c r="AB123" s="344"/>
      <c r="AC123" s="346">
        <f t="shared" si="858"/>
        <v>0</v>
      </c>
      <c r="AD123" s="346">
        <f t="shared" si="859"/>
        <v>0</v>
      </c>
      <c r="AE123" s="346">
        <f t="shared" si="860"/>
        <v>0</v>
      </c>
      <c r="AF123" s="346">
        <f t="shared" si="861"/>
        <v>0</v>
      </c>
      <c r="AG123" s="346">
        <f t="shared" si="862"/>
        <v>0</v>
      </c>
      <c r="AH123" s="415">
        <f t="shared" si="863"/>
        <v>0</v>
      </c>
      <c r="AI123" s="346">
        <f t="shared" si="864"/>
        <v>0</v>
      </c>
      <c r="AJ123" s="415">
        <f t="shared" si="865"/>
        <v>0</v>
      </c>
      <c r="AK123" s="346">
        <f t="shared" si="866"/>
        <v>0</v>
      </c>
      <c r="AL123" s="346">
        <f t="shared" si="867"/>
        <v>0</v>
      </c>
      <c r="AM123" s="415">
        <f t="shared" si="868"/>
        <v>0</v>
      </c>
      <c r="AN123" s="333">
        <f t="shared" si="869"/>
        <v>0</v>
      </c>
      <c r="AO123" s="333">
        <f t="shared" si="870"/>
        <v>0</v>
      </c>
      <c r="AP123" s="333">
        <f t="shared" si="871"/>
        <v>0</v>
      </c>
      <c r="AQ123" s="333">
        <f t="shared" si="871"/>
        <v>0</v>
      </c>
      <c r="AR123" s="333">
        <f t="shared" si="872"/>
        <v>0</v>
      </c>
      <c r="AS123" s="333">
        <f t="shared" si="873"/>
        <v>0</v>
      </c>
      <c r="AT123" s="333">
        <f t="shared" si="874"/>
        <v>25000</v>
      </c>
      <c r="AU123" s="333">
        <f t="shared" si="875"/>
        <v>0</v>
      </c>
      <c r="AV123" s="346"/>
      <c r="AW123" s="346"/>
      <c r="AX123" s="346">
        <f t="shared" si="710"/>
        <v>0</v>
      </c>
      <c r="AY123" s="346">
        <f t="shared" si="710"/>
        <v>0</v>
      </c>
      <c r="AZ123" s="346">
        <f t="shared" si="710"/>
        <v>0</v>
      </c>
      <c r="BA123" s="346">
        <f t="shared" si="710"/>
        <v>0</v>
      </c>
      <c r="BB123" s="346">
        <f t="shared" si="710"/>
        <v>0</v>
      </c>
      <c r="BC123" s="346">
        <f t="shared" si="710"/>
        <v>0</v>
      </c>
      <c r="BD123" s="346">
        <f t="shared" si="710"/>
        <v>0</v>
      </c>
      <c r="BE123" s="346">
        <f t="shared" si="710"/>
        <v>0</v>
      </c>
      <c r="BF123" s="346">
        <f t="shared" si="710"/>
        <v>0</v>
      </c>
      <c r="BG123" s="346">
        <f t="shared" si="710"/>
        <v>0</v>
      </c>
      <c r="BH123" s="346">
        <f t="shared" si="710"/>
        <v>0</v>
      </c>
      <c r="BI123" s="346">
        <f t="shared" si="710"/>
        <v>0</v>
      </c>
      <c r="BJ123" s="346">
        <f t="shared" si="710"/>
        <v>0</v>
      </c>
      <c r="BK123" s="333">
        <f t="shared" si="710"/>
        <v>0</v>
      </c>
      <c r="BL123" s="346">
        <f t="shared" si="710"/>
        <v>0</v>
      </c>
      <c r="BM123" s="346">
        <f t="shared" si="710"/>
        <v>0</v>
      </c>
      <c r="BN123" s="346">
        <f t="shared" si="625"/>
        <v>0</v>
      </c>
      <c r="BO123" s="346">
        <f t="shared" si="625"/>
        <v>25000</v>
      </c>
      <c r="BP123" s="346">
        <f t="shared" si="625"/>
        <v>0</v>
      </c>
      <c r="BQ123" s="346">
        <f t="shared" si="625"/>
        <v>0</v>
      </c>
      <c r="BR123" s="370">
        <f t="shared" si="899"/>
        <v>0</v>
      </c>
      <c r="BS123" s="402">
        <f t="shared" si="578"/>
        <v>0</v>
      </c>
      <c r="BT123" s="402">
        <f t="shared" si="579"/>
        <v>0</v>
      </c>
    </row>
    <row r="124" spans="1:72" s="235" customFormat="1" ht="14.45" hidden="1" customHeight="1" x14ac:dyDescent="0.25">
      <c r="A124" s="235" t="s">
        <v>135</v>
      </c>
      <c r="B124" s="422" t="str">
        <f>VLOOKUP(A124,'DFP-Com'!$A$16:$B$50,2,1)</f>
        <v xml:space="preserve">     3.1.a  Student Assessment</v>
      </c>
      <c r="C124" s="344" t="s">
        <v>395</v>
      </c>
      <c r="D124" s="415">
        <v>40000</v>
      </c>
      <c r="E124" s="344" t="s">
        <v>326</v>
      </c>
      <c r="F124" s="417"/>
      <c r="G124" s="417"/>
      <c r="H124" s="417"/>
      <c r="I124" s="417"/>
      <c r="J124" s="417"/>
      <c r="K124" s="345"/>
      <c r="L124" s="345">
        <v>0</v>
      </c>
      <c r="M124" s="345">
        <v>0</v>
      </c>
      <c r="N124" s="345">
        <v>0</v>
      </c>
      <c r="O124" s="345">
        <v>0</v>
      </c>
      <c r="P124" s="345">
        <v>0</v>
      </c>
      <c r="Q124" s="345">
        <v>0</v>
      </c>
      <c r="R124" s="345">
        <v>0</v>
      </c>
      <c r="S124" s="345">
        <v>0</v>
      </c>
      <c r="T124" s="345">
        <v>0</v>
      </c>
      <c r="U124" s="345"/>
      <c r="V124" s="345"/>
      <c r="W124" s="345">
        <v>1</v>
      </c>
      <c r="X124" s="345"/>
      <c r="Y124" s="345"/>
      <c r="Z124" s="416">
        <f t="shared" si="898"/>
        <v>1</v>
      </c>
      <c r="AA124" s="344"/>
      <c r="AB124" s="344"/>
      <c r="AC124" s="346">
        <f t="shared" si="858"/>
        <v>0</v>
      </c>
      <c r="AD124" s="346">
        <f t="shared" si="859"/>
        <v>0</v>
      </c>
      <c r="AE124" s="346">
        <f t="shared" si="860"/>
        <v>0</v>
      </c>
      <c r="AF124" s="346">
        <f t="shared" si="861"/>
        <v>0</v>
      </c>
      <c r="AG124" s="346">
        <f t="shared" si="862"/>
        <v>0</v>
      </c>
      <c r="AH124" s="415">
        <f t="shared" si="863"/>
        <v>0</v>
      </c>
      <c r="AI124" s="346">
        <f t="shared" si="864"/>
        <v>0</v>
      </c>
      <c r="AJ124" s="415">
        <f t="shared" si="865"/>
        <v>0</v>
      </c>
      <c r="AK124" s="346">
        <f t="shared" si="866"/>
        <v>0</v>
      </c>
      <c r="AL124" s="346">
        <f t="shared" si="867"/>
        <v>0</v>
      </c>
      <c r="AM124" s="415">
        <f t="shared" si="868"/>
        <v>0</v>
      </c>
      <c r="AN124" s="333">
        <f t="shared" si="869"/>
        <v>0</v>
      </c>
      <c r="AO124" s="333">
        <f t="shared" si="870"/>
        <v>0</v>
      </c>
      <c r="AP124" s="333">
        <f t="shared" si="871"/>
        <v>0</v>
      </c>
      <c r="AQ124" s="333">
        <f t="shared" si="871"/>
        <v>0</v>
      </c>
      <c r="AR124" s="333">
        <f t="shared" si="872"/>
        <v>0</v>
      </c>
      <c r="AS124" s="333">
        <f t="shared" si="873"/>
        <v>0</v>
      </c>
      <c r="AT124" s="333">
        <f t="shared" si="874"/>
        <v>40000</v>
      </c>
      <c r="AU124" s="333">
        <f t="shared" si="875"/>
        <v>0</v>
      </c>
      <c r="AV124" s="346"/>
      <c r="AW124" s="346"/>
      <c r="AX124" s="346">
        <f t="shared" si="710"/>
        <v>0</v>
      </c>
      <c r="AY124" s="346">
        <f t="shared" si="710"/>
        <v>0</v>
      </c>
      <c r="AZ124" s="346">
        <f t="shared" si="710"/>
        <v>0</v>
      </c>
      <c r="BA124" s="346">
        <f t="shared" si="710"/>
        <v>0</v>
      </c>
      <c r="BB124" s="346">
        <f t="shared" si="710"/>
        <v>0</v>
      </c>
      <c r="BC124" s="346">
        <f t="shared" si="710"/>
        <v>0</v>
      </c>
      <c r="BD124" s="346">
        <f t="shared" si="710"/>
        <v>0</v>
      </c>
      <c r="BE124" s="346">
        <f t="shared" si="710"/>
        <v>0</v>
      </c>
      <c r="BF124" s="346">
        <f t="shared" si="710"/>
        <v>0</v>
      </c>
      <c r="BG124" s="346">
        <f t="shared" si="710"/>
        <v>0</v>
      </c>
      <c r="BH124" s="346">
        <f t="shared" si="710"/>
        <v>0</v>
      </c>
      <c r="BI124" s="346">
        <f t="shared" si="710"/>
        <v>0</v>
      </c>
      <c r="BJ124" s="346">
        <f t="shared" si="710"/>
        <v>0</v>
      </c>
      <c r="BK124" s="333">
        <f t="shared" si="710"/>
        <v>0</v>
      </c>
      <c r="BL124" s="346">
        <f t="shared" si="710"/>
        <v>0</v>
      </c>
      <c r="BM124" s="346">
        <f t="shared" si="710"/>
        <v>0</v>
      </c>
      <c r="BN124" s="346">
        <f t="shared" si="625"/>
        <v>0</v>
      </c>
      <c r="BO124" s="346">
        <f t="shared" si="625"/>
        <v>40000</v>
      </c>
      <c r="BP124" s="346">
        <f t="shared" si="625"/>
        <v>0</v>
      </c>
      <c r="BQ124" s="346">
        <f t="shared" si="625"/>
        <v>0</v>
      </c>
      <c r="BR124" s="370">
        <f t="shared" si="899"/>
        <v>0</v>
      </c>
      <c r="BS124" s="402">
        <f t="shared" si="578"/>
        <v>0</v>
      </c>
      <c r="BT124" s="402">
        <f t="shared" si="579"/>
        <v>0</v>
      </c>
    </row>
    <row r="125" spans="1:72" s="235" customFormat="1" ht="14.45" hidden="1" customHeight="1" x14ac:dyDescent="0.25">
      <c r="A125" s="235" t="s">
        <v>138</v>
      </c>
      <c r="B125" s="422" t="str">
        <f>VLOOKUP(A125,'DFP-Com'!$A$16:$B$50,2,1)</f>
        <v xml:space="preserve">     3.1 d Other</v>
      </c>
      <c r="C125" s="344" t="s">
        <v>348</v>
      </c>
      <c r="D125" s="415">
        <v>1873.22</v>
      </c>
      <c r="E125" s="344" t="s">
        <v>295</v>
      </c>
      <c r="F125" s="417"/>
      <c r="G125" s="417"/>
      <c r="H125" s="417"/>
      <c r="I125" s="417"/>
      <c r="J125" s="417"/>
      <c r="K125" s="345"/>
      <c r="L125" s="345">
        <v>0</v>
      </c>
      <c r="M125" s="345">
        <v>0</v>
      </c>
      <c r="N125" s="345">
        <v>0</v>
      </c>
      <c r="O125" s="345">
        <v>0</v>
      </c>
      <c r="P125" s="345">
        <v>0</v>
      </c>
      <c r="Q125" s="345">
        <v>0</v>
      </c>
      <c r="R125" s="345">
        <v>0</v>
      </c>
      <c r="S125" s="345">
        <v>1</v>
      </c>
      <c r="T125" s="345">
        <v>0</v>
      </c>
      <c r="U125" s="345"/>
      <c r="V125" s="345"/>
      <c r="W125" s="345"/>
      <c r="X125" s="345">
        <v>0</v>
      </c>
      <c r="Y125" s="345"/>
      <c r="Z125" s="416">
        <f t="shared" si="898"/>
        <v>1</v>
      </c>
      <c r="AA125" s="344"/>
      <c r="AB125" s="344"/>
      <c r="AC125" s="346">
        <f t="shared" si="858"/>
        <v>0</v>
      </c>
      <c r="AD125" s="346">
        <f t="shared" si="859"/>
        <v>0</v>
      </c>
      <c r="AE125" s="346">
        <f t="shared" si="860"/>
        <v>0</v>
      </c>
      <c r="AF125" s="346">
        <f t="shared" si="861"/>
        <v>0</v>
      </c>
      <c r="AG125" s="346">
        <f t="shared" si="862"/>
        <v>0</v>
      </c>
      <c r="AH125" s="415">
        <f t="shared" si="863"/>
        <v>0</v>
      </c>
      <c r="AI125" s="346">
        <f t="shared" si="864"/>
        <v>0</v>
      </c>
      <c r="AJ125" s="415">
        <f t="shared" si="865"/>
        <v>0</v>
      </c>
      <c r="AK125" s="346">
        <f t="shared" si="866"/>
        <v>0</v>
      </c>
      <c r="AL125" s="346">
        <f t="shared" si="867"/>
        <v>0</v>
      </c>
      <c r="AM125" s="415">
        <f t="shared" si="868"/>
        <v>0</v>
      </c>
      <c r="AN125" s="333">
        <f t="shared" si="869"/>
        <v>0</v>
      </c>
      <c r="AO125" s="333">
        <f t="shared" si="870"/>
        <v>0</v>
      </c>
      <c r="AP125" s="333">
        <f t="shared" si="871"/>
        <v>1873.22</v>
      </c>
      <c r="AQ125" s="333">
        <f t="shared" si="871"/>
        <v>0</v>
      </c>
      <c r="AR125" s="333">
        <f t="shared" si="872"/>
        <v>0</v>
      </c>
      <c r="AS125" s="333">
        <f t="shared" si="873"/>
        <v>0</v>
      </c>
      <c r="AT125" s="333">
        <f t="shared" si="874"/>
        <v>0</v>
      </c>
      <c r="AU125" s="333">
        <f t="shared" si="875"/>
        <v>0</v>
      </c>
      <c r="AV125" s="346"/>
      <c r="AW125" s="346"/>
      <c r="AX125" s="346">
        <f t="shared" ref="AX125:BM125" si="922">IF(AX$3=$E125,$D125,0)</f>
        <v>0</v>
      </c>
      <c r="AY125" s="346">
        <f t="shared" si="922"/>
        <v>0</v>
      </c>
      <c r="AZ125" s="346">
        <f t="shared" si="922"/>
        <v>0</v>
      </c>
      <c r="BA125" s="346">
        <f t="shared" si="922"/>
        <v>0</v>
      </c>
      <c r="BB125" s="346">
        <f t="shared" si="922"/>
        <v>0</v>
      </c>
      <c r="BC125" s="346">
        <f t="shared" si="922"/>
        <v>0</v>
      </c>
      <c r="BD125" s="346">
        <f t="shared" si="922"/>
        <v>0</v>
      </c>
      <c r="BE125" s="346">
        <f t="shared" si="922"/>
        <v>0</v>
      </c>
      <c r="BF125" s="346">
        <f t="shared" si="922"/>
        <v>0</v>
      </c>
      <c r="BG125" s="346">
        <f t="shared" si="922"/>
        <v>0</v>
      </c>
      <c r="BH125" s="346">
        <f t="shared" si="922"/>
        <v>0</v>
      </c>
      <c r="BI125" s="346">
        <f t="shared" si="922"/>
        <v>0</v>
      </c>
      <c r="BJ125" s="346">
        <f t="shared" si="922"/>
        <v>0</v>
      </c>
      <c r="BK125" s="333">
        <f t="shared" si="922"/>
        <v>1873.22</v>
      </c>
      <c r="BL125" s="346">
        <f t="shared" si="922"/>
        <v>0</v>
      </c>
      <c r="BM125" s="346">
        <f t="shared" si="922"/>
        <v>0</v>
      </c>
      <c r="BN125" s="346">
        <f t="shared" si="625"/>
        <v>0</v>
      </c>
      <c r="BO125" s="346">
        <f t="shared" si="625"/>
        <v>0</v>
      </c>
      <c r="BP125" s="346">
        <f t="shared" si="625"/>
        <v>0</v>
      </c>
      <c r="BQ125" s="346">
        <f t="shared" si="625"/>
        <v>0</v>
      </c>
      <c r="BR125" s="370">
        <f t="shared" ref="BR125" si="923">SUM(AC125:AV125)-SUM(AX125:BQ125)</f>
        <v>0</v>
      </c>
      <c r="BS125" s="402">
        <f t="shared" si="578"/>
        <v>0</v>
      </c>
      <c r="BT125" s="402">
        <f t="shared" si="579"/>
        <v>0</v>
      </c>
    </row>
    <row r="126" spans="1:72" s="235" customFormat="1" ht="14.45" hidden="1" customHeight="1" x14ac:dyDescent="0.25">
      <c r="A126" s="235" t="s">
        <v>138</v>
      </c>
      <c r="B126" s="422" t="str">
        <f>VLOOKUP(A126,'DFP-Com'!$A$16:$B$50,2,1)</f>
        <v xml:space="preserve">     3.1 d Other</v>
      </c>
      <c r="C126" s="344" t="s">
        <v>389</v>
      </c>
      <c r="D126" s="415">
        <v>0</v>
      </c>
      <c r="E126" s="344" t="s">
        <v>337</v>
      </c>
      <c r="F126" s="417"/>
      <c r="G126" s="417"/>
      <c r="H126" s="417"/>
      <c r="I126" s="417"/>
      <c r="J126" s="417"/>
      <c r="K126" s="345"/>
      <c r="L126" s="345">
        <v>0</v>
      </c>
      <c r="M126" s="345">
        <v>0</v>
      </c>
      <c r="N126" s="345">
        <v>0</v>
      </c>
      <c r="O126" s="345">
        <v>0</v>
      </c>
      <c r="P126" s="345">
        <v>0</v>
      </c>
      <c r="Q126" s="345">
        <v>0</v>
      </c>
      <c r="R126" s="345">
        <v>0</v>
      </c>
      <c r="S126" s="345">
        <v>0</v>
      </c>
      <c r="T126" s="345">
        <v>0</v>
      </c>
      <c r="U126" s="345"/>
      <c r="V126" s="345"/>
      <c r="W126" s="345"/>
      <c r="X126" s="345">
        <v>1</v>
      </c>
      <c r="Y126" s="345"/>
      <c r="Z126" s="416">
        <f t="shared" si="774"/>
        <v>1</v>
      </c>
      <c r="AA126" s="344"/>
      <c r="AB126" s="344"/>
      <c r="AC126" s="346">
        <f t="shared" si="775"/>
        <v>0</v>
      </c>
      <c r="AD126" s="346">
        <f t="shared" si="776"/>
        <v>0</v>
      </c>
      <c r="AE126" s="346">
        <f t="shared" si="777"/>
        <v>0</v>
      </c>
      <c r="AF126" s="346">
        <f t="shared" si="778"/>
        <v>0</v>
      </c>
      <c r="AG126" s="346">
        <f t="shared" si="779"/>
        <v>0</v>
      </c>
      <c r="AH126" s="415">
        <f t="shared" si="780"/>
        <v>0</v>
      </c>
      <c r="AI126" s="346">
        <f t="shared" si="781"/>
        <v>0</v>
      </c>
      <c r="AJ126" s="415">
        <f t="shared" si="782"/>
        <v>0</v>
      </c>
      <c r="AK126" s="346">
        <f t="shared" si="783"/>
        <v>0</v>
      </c>
      <c r="AL126" s="346">
        <f t="shared" si="784"/>
        <v>0</v>
      </c>
      <c r="AM126" s="415">
        <f t="shared" si="785"/>
        <v>0</v>
      </c>
      <c r="AN126" s="333">
        <f t="shared" si="786"/>
        <v>0</v>
      </c>
      <c r="AO126" s="333">
        <f t="shared" si="787"/>
        <v>0</v>
      </c>
      <c r="AP126" s="333">
        <f t="shared" si="788"/>
        <v>0</v>
      </c>
      <c r="AQ126" s="333">
        <f t="shared" si="789"/>
        <v>0</v>
      </c>
      <c r="AR126" s="333">
        <f t="shared" si="790"/>
        <v>0</v>
      </c>
      <c r="AS126" s="333">
        <f t="shared" si="791"/>
        <v>0</v>
      </c>
      <c r="AT126" s="333">
        <f t="shared" si="792"/>
        <v>0</v>
      </c>
      <c r="AU126" s="333">
        <f t="shared" si="793"/>
        <v>0</v>
      </c>
      <c r="AV126" s="346"/>
      <c r="AW126" s="346"/>
      <c r="AX126" s="346">
        <f t="shared" si="710"/>
        <v>0</v>
      </c>
      <c r="AY126" s="346">
        <f t="shared" si="710"/>
        <v>0</v>
      </c>
      <c r="AZ126" s="346">
        <f t="shared" si="710"/>
        <v>0</v>
      </c>
      <c r="BA126" s="346">
        <f t="shared" si="710"/>
        <v>0</v>
      </c>
      <c r="BB126" s="346">
        <f t="shared" si="710"/>
        <v>0</v>
      </c>
      <c r="BC126" s="346">
        <f t="shared" si="710"/>
        <v>0</v>
      </c>
      <c r="BD126" s="346">
        <f t="shared" si="710"/>
        <v>0</v>
      </c>
      <c r="BE126" s="346">
        <f t="shared" si="710"/>
        <v>0</v>
      </c>
      <c r="BF126" s="346">
        <f t="shared" si="710"/>
        <v>0</v>
      </c>
      <c r="BG126" s="346">
        <f t="shared" si="710"/>
        <v>0</v>
      </c>
      <c r="BH126" s="346">
        <f t="shared" si="710"/>
        <v>0</v>
      </c>
      <c r="BI126" s="346">
        <f t="shared" si="710"/>
        <v>0</v>
      </c>
      <c r="BJ126" s="346">
        <f t="shared" si="710"/>
        <v>0</v>
      </c>
      <c r="BK126" s="333">
        <f t="shared" si="710"/>
        <v>0</v>
      </c>
      <c r="BL126" s="346">
        <f t="shared" si="710"/>
        <v>0</v>
      </c>
      <c r="BM126" s="346">
        <f t="shared" si="710"/>
        <v>0</v>
      </c>
      <c r="BN126" s="346">
        <f t="shared" si="625"/>
        <v>0</v>
      </c>
      <c r="BO126" s="346">
        <f t="shared" si="625"/>
        <v>0</v>
      </c>
      <c r="BP126" s="346">
        <f t="shared" si="625"/>
        <v>0</v>
      </c>
      <c r="BQ126" s="346">
        <f t="shared" si="625"/>
        <v>0</v>
      </c>
      <c r="BR126" s="370">
        <f t="shared" si="575"/>
        <v>0</v>
      </c>
      <c r="BS126" s="402">
        <f t="shared" si="578"/>
        <v>0</v>
      </c>
      <c r="BT126" s="402">
        <f t="shared" si="579"/>
        <v>0</v>
      </c>
    </row>
    <row r="127" spans="1:72" s="235" customFormat="1" ht="14.45" hidden="1" customHeight="1" x14ac:dyDescent="0.25">
      <c r="A127" s="235" t="s">
        <v>141</v>
      </c>
      <c r="B127" s="422" t="str">
        <f>VLOOKUP(A127,'DFP-Com'!$A$16:$B$50,2,1)</f>
        <v xml:space="preserve">     4.1.c  Audit</v>
      </c>
      <c r="C127" s="344" t="s">
        <v>179</v>
      </c>
      <c r="D127" s="346">
        <v>120000</v>
      </c>
      <c r="E127" s="344" t="s">
        <v>212</v>
      </c>
      <c r="F127" s="417"/>
      <c r="G127" s="417"/>
      <c r="H127" s="417"/>
      <c r="I127" s="417"/>
      <c r="J127" s="417"/>
      <c r="K127" s="424">
        <v>0</v>
      </c>
      <c r="L127" s="424">
        <v>0</v>
      </c>
      <c r="M127" s="424">
        <v>8.3333333333333329E-2</v>
      </c>
      <c r="N127" s="424">
        <v>4.1666666666666664E-2</v>
      </c>
      <c r="O127" s="424">
        <v>4.1666666666666664E-2</v>
      </c>
      <c r="P127" s="424">
        <v>9.166666666666666E-2</v>
      </c>
      <c r="Q127" s="424">
        <v>0.1</v>
      </c>
      <c r="R127" s="418">
        <v>0.05</v>
      </c>
      <c r="S127" s="345">
        <v>0.05</v>
      </c>
      <c r="T127" s="424">
        <v>0.15</v>
      </c>
      <c r="U127" s="418">
        <v>0.05</v>
      </c>
      <c r="V127" s="418">
        <v>0.1</v>
      </c>
      <c r="W127" s="424">
        <v>0.15833333333333299</v>
      </c>
      <c r="X127" s="424">
        <v>8.3333333333333329E-2</v>
      </c>
      <c r="Y127" s="424">
        <v>0</v>
      </c>
      <c r="Z127" s="416">
        <f>SUM(F127:Y127)</f>
        <v>0.99999999999999967</v>
      </c>
      <c r="AA127" s="344"/>
      <c r="AB127" s="344"/>
      <c r="AC127" s="346">
        <f t="shared" si="0"/>
        <v>0</v>
      </c>
      <c r="AD127" s="346">
        <f t="shared" si="1"/>
        <v>0</v>
      </c>
      <c r="AE127" s="346">
        <f t="shared" si="2"/>
        <v>0</v>
      </c>
      <c r="AF127" s="346">
        <f t="shared" si="3"/>
        <v>0</v>
      </c>
      <c r="AG127" s="346">
        <f t="shared" ref="AG127:AG139" si="924">J127*$D127</f>
        <v>0</v>
      </c>
      <c r="AH127" s="346">
        <f t="shared" si="22"/>
        <v>0</v>
      </c>
      <c r="AI127" s="346">
        <f t="shared" si="23"/>
        <v>0</v>
      </c>
      <c r="AJ127" s="346">
        <f t="shared" si="24"/>
        <v>10000</v>
      </c>
      <c r="AK127" s="415">
        <f>N127*$D127</f>
        <v>5000</v>
      </c>
      <c r="AL127" s="346">
        <f t="shared" si="25"/>
        <v>5000</v>
      </c>
      <c r="AM127" s="346">
        <f t="shared" si="8"/>
        <v>11000</v>
      </c>
      <c r="AN127" s="333">
        <f t="shared" si="9"/>
        <v>12000</v>
      </c>
      <c r="AO127" s="346">
        <f t="shared" si="10"/>
        <v>6000</v>
      </c>
      <c r="AP127" s="346">
        <f t="shared" si="11"/>
        <v>6000</v>
      </c>
      <c r="AQ127" s="346">
        <f t="shared" si="12"/>
        <v>18000</v>
      </c>
      <c r="AR127" s="346">
        <f t="shared" si="552"/>
        <v>6000</v>
      </c>
      <c r="AS127" s="346">
        <f t="shared" si="14"/>
        <v>12000</v>
      </c>
      <c r="AT127" s="346">
        <f t="shared" si="15"/>
        <v>18999.99999999996</v>
      </c>
      <c r="AU127" s="346">
        <f t="shared" si="16"/>
        <v>10000</v>
      </c>
      <c r="AV127" s="346">
        <f t="shared" si="16"/>
        <v>0</v>
      </c>
      <c r="AW127" s="346"/>
      <c r="AX127" s="346">
        <f t="shared" si="553"/>
        <v>0</v>
      </c>
      <c r="AY127" s="346">
        <f t="shared" si="553"/>
        <v>0</v>
      </c>
      <c r="AZ127" s="346">
        <f t="shared" si="553"/>
        <v>0</v>
      </c>
      <c r="BA127" s="346">
        <f t="shared" si="553"/>
        <v>0</v>
      </c>
      <c r="BB127" s="346">
        <f t="shared" si="553"/>
        <v>0</v>
      </c>
      <c r="BC127" s="346">
        <f t="shared" si="553"/>
        <v>0</v>
      </c>
      <c r="BD127" s="346">
        <f t="shared" si="553"/>
        <v>0</v>
      </c>
      <c r="BE127" s="346">
        <f t="shared" si="553"/>
        <v>120000</v>
      </c>
      <c r="BF127" s="346">
        <f t="shared" si="553"/>
        <v>0</v>
      </c>
      <c r="BG127" s="346">
        <f t="shared" si="553"/>
        <v>0</v>
      </c>
      <c r="BH127" s="346">
        <f t="shared" si="553"/>
        <v>0</v>
      </c>
      <c r="BI127" s="346">
        <f t="shared" si="553"/>
        <v>0</v>
      </c>
      <c r="BJ127" s="346">
        <f t="shared" si="553"/>
        <v>0</v>
      </c>
      <c r="BK127" s="346">
        <f t="shared" si="553"/>
        <v>0</v>
      </c>
      <c r="BL127" s="346">
        <f t="shared" si="553"/>
        <v>0</v>
      </c>
      <c r="BM127" s="346">
        <f t="shared" si="625"/>
        <v>0</v>
      </c>
      <c r="BN127" s="346">
        <f t="shared" si="625"/>
        <v>0</v>
      </c>
      <c r="BO127" s="346">
        <f t="shared" si="625"/>
        <v>0</v>
      </c>
      <c r="BP127" s="346">
        <f t="shared" si="625"/>
        <v>0</v>
      </c>
      <c r="BQ127" s="346">
        <f t="shared" si="625"/>
        <v>0</v>
      </c>
      <c r="BR127" s="370">
        <f t="shared" si="575"/>
        <v>0</v>
      </c>
      <c r="BS127" s="402">
        <f t="shared" si="578"/>
        <v>0</v>
      </c>
      <c r="BT127" s="402">
        <f t="shared" si="579"/>
        <v>0</v>
      </c>
    </row>
    <row r="128" spans="1:72" s="235" customFormat="1" ht="14.45" hidden="1" customHeight="1" x14ac:dyDescent="0.25">
      <c r="A128" s="235" t="s">
        <v>142</v>
      </c>
      <c r="B128" s="422" t="str">
        <f>VLOOKUP(A128,'DFP-Com'!$A$16:$B$50,2,1)</f>
        <v xml:space="preserve">     4.1.d  Other</v>
      </c>
      <c r="C128" s="344" t="s">
        <v>180</v>
      </c>
      <c r="D128" s="333">
        <v>7666.96</v>
      </c>
      <c r="E128" s="344" t="s">
        <v>191</v>
      </c>
      <c r="F128" s="345"/>
      <c r="G128" s="345">
        <v>1</v>
      </c>
      <c r="H128" s="345">
        <v>0</v>
      </c>
      <c r="I128" s="345">
        <v>0</v>
      </c>
      <c r="J128" s="417"/>
      <c r="K128" s="417"/>
      <c r="L128" s="417"/>
      <c r="M128" s="417"/>
      <c r="N128" s="417"/>
      <c r="O128" s="417"/>
      <c r="P128" s="417"/>
      <c r="Q128" s="417"/>
      <c r="R128" s="417"/>
      <c r="S128" s="417"/>
      <c r="T128" s="417"/>
      <c r="U128" s="417"/>
      <c r="V128" s="417"/>
      <c r="W128" s="417"/>
      <c r="X128" s="417"/>
      <c r="Y128" s="417"/>
      <c r="Z128" s="416">
        <f t="shared" ref="Z128:Z131" si="925">SUM(F128:Y128)</f>
        <v>1</v>
      </c>
      <c r="AA128" s="344"/>
      <c r="AB128" s="344"/>
      <c r="AC128" s="346">
        <f t="shared" si="0"/>
        <v>0</v>
      </c>
      <c r="AD128" s="333">
        <f t="shared" si="1"/>
        <v>7666.96</v>
      </c>
      <c r="AE128" s="346">
        <f t="shared" si="2"/>
        <v>0</v>
      </c>
      <c r="AF128" s="346">
        <f t="shared" si="3"/>
        <v>0</v>
      </c>
      <c r="AG128" s="346">
        <f t="shared" si="924"/>
        <v>0</v>
      </c>
      <c r="AH128" s="346">
        <f t="shared" si="22"/>
        <v>0</v>
      </c>
      <c r="AI128" s="346">
        <f t="shared" si="23"/>
        <v>0</v>
      </c>
      <c r="AJ128" s="346">
        <f t="shared" si="24"/>
        <v>0</v>
      </c>
      <c r="AK128" s="415">
        <f>N128*$D128</f>
        <v>0</v>
      </c>
      <c r="AL128" s="333">
        <f t="shared" si="25"/>
        <v>0</v>
      </c>
      <c r="AM128" s="346">
        <f t="shared" si="8"/>
        <v>0</v>
      </c>
      <c r="AN128" s="333">
        <f t="shared" si="9"/>
        <v>0</v>
      </c>
      <c r="AO128" s="346">
        <f t="shared" si="10"/>
        <v>0</v>
      </c>
      <c r="AP128" s="346">
        <f t="shared" si="11"/>
        <v>0</v>
      </c>
      <c r="AQ128" s="346">
        <f t="shared" si="12"/>
        <v>0</v>
      </c>
      <c r="AR128" s="346">
        <f t="shared" si="552"/>
        <v>0</v>
      </c>
      <c r="AS128" s="346">
        <f t="shared" si="14"/>
        <v>0</v>
      </c>
      <c r="AT128" s="346">
        <f t="shared" si="15"/>
        <v>0</v>
      </c>
      <c r="AU128" s="346">
        <f t="shared" si="16"/>
        <v>0</v>
      </c>
      <c r="AV128" s="346">
        <f t="shared" si="16"/>
        <v>0</v>
      </c>
      <c r="AW128" s="346"/>
      <c r="AX128" s="346">
        <f t="shared" si="553"/>
        <v>0</v>
      </c>
      <c r="AY128" s="346">
        <f t="shared" si="553"/>
        <v>7666.96</v>
      </c>
      <c r="AZ128" s="346">
        <f t="shared" si="553"/>
        <v>0</v>
      </c>
      <c r="BA128" s="346">
        <f t="shared" si="553"/>
        <v>0</v>
      </c>
      <c r="BB128" s="346">
        <f t="shared" si="553"/>
        <v>0</v>
      </c>
      <c r="BC128" s="346">
        <f t="shared" si="553"/>
        <v>0</v>
      </c>
      <c r="BD128" s="346">
        <f t="shared" si="553"/>
        <v>0</v>
      </c>
      <c r="BE128" s="346">
        <f t="shared" si="553"/>
        <v>0</v>
      </c>
      <c r="BF128" s="346">
        <f t="shared" si="553"/>
        <v>0</v>
      </c>
      <c r="BG128" s="346">
        <f t="shared" si="553"/>
        <v>0</v>
      </c>
      <c r="BH128" s="346">
        <f t="shared" si="553"/>
        <v>0</v>
      </c>
      <c r="BI128" s="346">
        <f t="shared" si="553"/>
        <v>0</v>
      </c>
      <c r="BJ128" s="346">
        <f t="shared" si="553"/>
        <v>0</v>
      </c>
      <c r="BK128" s="346">
        <f t="shared" si="553"/>
        <v>0</v>
      </c>
      <c r="BL128" s="346">
        <f t="shared" si="553"/>
        <v>0</v>
      </c>
      <c r="BM128" s="346">
        <f t="shared" si="625"/>
        <v>0</v>
      </c>
      <c r="BN128" s="346">
        <f t="shared" si="625"/>
        <v>0</v>
      </c>
      <c r="BO128" s="346">
        <f t="shared" si="625"/>
        <v>0</v>
      </c>
      <c r="BP128" s="346">
        <f t="shared" si="625"/>
        <v>0</v>
      </c>
      <c r="BQ128" s="346">
        <f t="shared" si="625"/>
        <v>0</v>
      </c>
      <c r="BR128" s="370">
        <f t="shared" si="575"/>
        <v>0</v>
      </c>
      <c r="BS128" s="402">
        <f t="shared" si="578"/>
        <v>0</v>
      </c>
      <c r="BT128" s="402">
        <f t="shared" si="579"/>
        <v>0</v>
      </c>
    </row>
    <row r="129" spans="1:72" s="235" customFormat="1" ht="14.45" hidden="1" customHeight="1" x14ac:dyDescent="0.25">
      <c r="A129" s="235" t="s">
        <v>142</v>
      </c>
      <c r="B129" s="422" t="str">
        <f>VLOOKUP(A129,'DFP-Com'!$A$16:$B$50,2,1)</f>
        <v xml:space="preserve">     4.1.d  Other</v>
      </c>
      <c r="C129" s="344" t="s">
        <v>180</v>
      </c>
      <c r="D129" s="333">
        <v>1124.3800000000001</v>
      </c>
      <c r="E129" s="344" t="s">
        <v>163</v>
      </c>
      <c r="F129" s="345"/>
      <c r="G129" s="345">
        <v>0</v>
      </c>
      <c r="H129" s="345">
        <v>0</v>
      </c>
      <c r="I129" s="345">
        <v>1</v>
      </c>
      <c r="J129" s="417"/>
      <c r="K129" s="417"/>
      <c r="L129" s="417"/>
      <c r="M129" s="417"/>
      <c r="N129" s="417"/>
      <c r="O129" s="417"/>
      <c r="P129" s="417"/>
      <c r="Q129" s="417"/>
      <c r="R129" s="417"/>
      <c r="S129" s="417"/>
      <c r="T129" s="417"/>
      <c r="U129" s="417"/>
      <c r="V129" s="417"/>
      <c r="W129" s="417"/>
      <c r="X129" s="417"/>
      <c r="Y129" s="417"/>
      <c r="Z129" s="416">
        <f t="shared" si="925"/>
        <v>1</v>
      </c>
      <c r="AA129" s="344"/>
      <c r="AB129" s="344"/>
      <c r="AC129" s="346">
        <f t="shared" ref="AC129" si="926">F129*$D129</f>
        <v>0</v>
      </c>
      <c r="AD129" s="333">
        <f t="shared" ref="AD129" si="927">G129*$D129</f>
        <v>0</v>
      </c>
      <c r="AE129" s="346">
        <f t="shared" ref="AE129" si="928">H129*$D129</f>
        <v>0</v>
      </c>
      <c r="AF129" s="346">
        <f t="shared" ref="AF129" si="929">I129*$D129</f>
        <v>1124.3800000000001</v>
      </c>
      <c r="AG129" s="346">
        <f t="shared" si="924"/>
        <v>0</v>
      </c>
      <c r="AH129" s="346">
        <f t="shared" ref="AH129" si="930">K129*$D129</f>
        <v>0</v>
      </c>
      <c r="AI129" s="346">
        <f t="shared" ref="AI129" si="931">L129*$D129</f>
        <v>0</v>
      </c>
      <c r="AJ129" s="346">
        <f t="shared" ref="AJ129" si="932">M129*$D129</f>
        <v>0</v>
      </c>
      <c r="AK129" s="415">
        <f t="shared" ref="AK129" si="933">N129*$D129</f>
        <v>0</v>
      </c>
      <c r="AL129" s="333">
        <f t="shared" ref="AL129" si="934">O129*$D129</f>
        <v>0</v>
      </c>
      <c r="AM129" s="346">
        <f t="shared" ref="AM129" si="935">P129*$D129</f>
        <v>0</v>
      </c>
      <c r="AN129" s="333">
        <f t="shared" ref="AN129" si="936">Q129*$D129</f>
        <v>0</v>
      </c>
      <c r="AO129" s="346">
        <f t="shared" ref="AO129" si="937">R129*$D129</f>
        <v>0</v>
      </c>
      <c r="AP129" s="346">
        <f t="shared" ref="AP129" si="938">S129*$D129</f>
        <v>0</v>
      </c>
      <c r="AQ129" s="346">
        <f t="shared" ref="AQ129" si="939">T129*$D129</f>
        <v>0</v>
      </c>
      <c r="AR129" s="346">
        <f t="shared" si="552"/>
        <v>0</v>
      </c>
      <c r="AS129" s="346">
        <f t="shared" si="14"/>
        <v>0</v>
      </c>
      <c r="AT129" s="346">
        <f t="shared" si="15"/>
        <v>0</v>
      </c>
      <c r="AU129" s="346">
        <f t="shared" si="16"/>
        <v>0</v>
      </c>
      <c r="AV129" s="346">
        <f t="shared" si="16"/>
        <v>0</v>
      </c>
      <c r="AW129" s="346"/>
      <c r="AX129" s="346">
        <f t="shared" ref="AX129:BL138" si="940">IF(AX$3=$E129,$D129,0)</f>
        <v>0</v>
      </c>
      <c r="AY129" s="346">
        <f t="shared" si="940"/>
        <v>0</v>
      </c>
      <c r="AZ129" s="346">
        <f t="shared" si="940"/>
        <v>1124.3800000000001</v>
      </c>
      <c r="BA129" s="346">
        <f t="shared" si="940"/>
        <v>0</v>
      </c>
      <c r="BB129" s="346">
        <f t="shared" si="940"/>
        <v>0</v>
      </c>
      <c r="BC129" s="346">
        <f t="shared" si="940"/>
        <v>0</v>
      </c>
      <c r="BD129" s="346">
        <f t="shared" si="940"/>
        <v>0</v>
      </c>
      <c r="BE129" s="346">
        <f t="shared" si="940"/>
        <v>0</v>
      </c>
      <c r="BF129" s="346">
        <f t="shared" si="940"/>
        <v>0</v>
      </c>
      <c r="BG129" s="346">
        <f t="shared" si="940"/>
        <v>0</v>
      </c>
      <c r="BH129" s="346">
        <f t="shared" si="940"/>
        <v>0</v>
      </c>
      <c r="BI129" s="346">
        <f t="shared" si="940"/>
        <v>0</v>
      </c>
      <c r="BJ129" s="346">
        <f t="shared" si="940"/>
        <v>0</v>
      </c>
      <c r="BK129" s="346">
        <f t="shared" si="940"/>
        <v>0</v>
      </c>
      <c r="BL129" s="346">
        <f t="shared" si="940"/>
        <v>0</v>
      </c>
      <c r="BM129" s="346">
        <f t="shared" si="625"/>
        <v>0</v>
      </c>
      <c r="BN129" s="346">
        <f t="shared" si="625"/>
        <v>0</v>
      </c>
      <c r="BO129" s="346">
        <f t="shared" si="625"/>
        <v>0</v>
      </c>
      <c r="BP129" s="346">
        <f t="shared" si="625"/>
        <v>0</v>
      </c>
      <c r="BQ129" s="346">
        <f t="shared" si="625"/>
        <v>0</v>
      </c>
      <c r="BR129" s="370">
        <f t="shared" si="575"/>
        <v>0</v>
      </c>
      <c r="BS129" s="402">
        <f t="shared" si="578"/>
        <v>0</v>
      </c>
      <c r="BT129" s="402">
        <f t="shared" si="579"/>
        <v>0</v>
      </c>
    </row>
    <row r="130" spans="1:72" s="235" customFormat="1" ht="14.45" hidden="1" customHeight="1" x14ac:dyDescent="0.25">
      <c r="A130" s="235" t="s">
        <v>142</v>
      </c>
      <c r="B130" s="422" t="str">
        <f>VLOOKUP(A130,'DFP-Com'!$A$16:$B$50,2,1)</f>
        <v xml:space="preserve">     4.1.d  Other</v>
      </c>
      <c r="C130" s="344" t="s">
        <v>180</v>
      </c>
      <c r="D130" s="333">
        <v>2343.7800000000002</v>
      </c>
      <c r="E130" s="344" t="s">
        <v>204</v>
      </c>
      <c r="F130" s="345"/>
      <c r="G130" s="345">
        <v>0</v>
      </c>
      <c r="H130" s="345">
        <v>0</v>
      </c>
      <c r="I130" s="345">
        <v>0</v>
      </c>
      <c r="J130" s="417"/>
      <c r="K130" s="417"/>
      <c r="L130" s="417"/>
      <c r="M130" s="417"/>
      <c r="N130" s="417"/>
      <c r="O130" s="417"/>
      <c r="P130" s="417"/>
      <c r="Q130" s="417"/>
      <c r="R130" s="417"/>
      <c r="S130" s="417"/>
      <c r="T130" s="417">
        <v>0</v>
      </c>
      <c r="U130" s="418">
        <v>1</v>
      </c>
      <c r="V130" s="417">
        <v>0</v>
      </c>
      <c r="W130" s="417"/>
      <c r="X130" s="417"/>
      <c r="Y130" s="417"/>
      <c r="Z130" s="416">
        <f t="shared" ref="Z130" si="941">SUM(F130:Y130)</f>
        <v>1</v>
      </c>
      <c r="AA130" s="344"/>
      <c r="AB130" s="344"/>
      <c r="AC130" s="346">
        <f t="shared" ref="AC130" si="942">F130*$D130</f>
        <v>0</v>
      </c>
      <c r="AD130" s="333">
        <f t="shared" ref="AD130" si="943">G130*$D130</f>
        <v>0</v>
      </c>
      <c r="AE130" s="346">
        <f t="shared" ref="AE130" si="944">H130*$D130</f>
        <v>0</v>
      </c>
      <c r="AF130" s="346">
        <f t="shared" ref="AF130" si="945">I130*$D130</f>
        <v>0</v>
      </c>
      <c r="AG130" s="346">
        <f t="shared" ref="AG130" si="946">J130*$D130</f>
        <v>0</v>
      </c>
      <c r="AH130" s="346">
        <f t="shared" ref="AH130" si="947">K130*$D130</f>
        <v>0</v>
      </c>
      <c r="AI130" s="346">
        <f t="shared" ref="AI130" si="948">L130*$D130</f>
        <v>0</v>
      </c>
      <c r="AJ130" s="346">
        <f t="shared" ref="AJ130" si="949">M130*$D130</f>
        <v>0</v>
      </c>
      <c r="AK130" s="415">
        <f t="shared" ref="AK130" si="950">N130*$D130</f>
        <v>0</v>
      </c>
      <c r="AL130" s="333">
        <f t="shared" ref="AL130" si="951">O130*$D130</f>
        <v>0</v>
      </c>
      <c r="AM130" s="346">
        <f t="shared" ref="AM130" si="952">P130*$D130</f>
        <v>0</v>
      </c>
      <c r="AN130" s="333">
        <f t="shared" ref="AN130" si="953">Q130*$D130</f>
        <v>0</v>
      </c>
      <c r="AO130" s="346">
        <f t="shared" ref="AO130" si="954">R130*$D130</f>
        <v>0</v>
      </c>
      <c r="AP130" s="346">
        <f t="shared" ref="AP130" si="955">S130*$D130</f>
        <v>0</v>
      </c>
      <c r="AQ130" s="346">
        <f t="shared" ref="AQ130" si="956">T130*$D130</f>
        <v>0</v>
      </c>
      <c r="AR130" s="333">
        <f t="shared" ref="AR130" si="957">U130*$D130</f>
        <v>2343.7800000000002</v>
      </c>
      <c r="AS130" s="346">
        <f t="shared" ref="AS130" si="958">V130*$D130</f>
        <v>0</v>
      </c>
      <c r="AT130" s="346">
        <f t="shared" ref="AT130" si="959">W130*$D130</f>
        <v>0</v>
      </c>
      <c r="AU130" s="346">
        <f t="shared" ref="AU130" si="960">X130*$D130</f>
        <v>0</v>
      </c>
      <c r="AV130" s="346">
        <f t="shared" ref="AV130" si="961">Y130*$D130</f>
        <v>0</v>
      </c>
      <c r="AW130" s="346"/>
      <c r="AX130" s="346">
        <f t="shared" si="940"/>
        <v>0</v>
      </c>
      <c r="AY130" s="346">
        <f t="shared" si="940"/>
        <v>0</v>
      </c>
      <c r="AZ130" s="346">
        <f t="shared" si="940"/>
        <v>0</v>
      </c>
      <c r="BA130" s="346">
        <f t="shared" si="940"/>
        <v>0</v>
      </c>
      <c r="BB130" s="346">
        <f t="shared" si="940"/>
        <v>0</v>
      </c>
      <c r="BC130" s="346">
        <f t="shared" si="940"/>
        <v>0</v>
      </c>
      <c r="BD130" s="346">
        <f t="shared" si="940"/>
        <v>0</v>
      </c>
      <c r="BE130" s="346">
        <f t="shared" si="940"/>
        <v>0</v>
      </c>
      <c r="BF130" s="346">
        <f t="shared" si="940"/>
        <v>0</v>
      </c>
      <c r="BG130" s="346">
        <f t="shared" si="940"/>
        <v>0</v>
      </c>
      <c r="BH130" s="346">
        <f t="shared" si="940"/>
        <v>0</v>
      </c>
      <c r="BI130" s="346">
        <f t="shared" si="940"/>
        <v>0</v>
      </c>
      <c r="BJ130" s="346">
        <f t="shared" si="940"/>
        <v>0</v>
      </c>
      <c r="BK130" s="346">
        <f t="shared" si="940"/>
        <v>0</v>
      </c>
      <c r="BL130" s="346">
        <f t="shared" si="940"/>
        <v>2343.7800000000002</v>
      </c>
      <c r="BM130" s="346">
        <f t="shared" si="625"/>
        <v>0</v>
      </c>
      <c r="BN130" s="346">
        <f t="shared" si="625"/>
        <v>0</v>
      </c>
      <c r="BO130" s="346">
        <f t="shared" si="625"/>
        <v>0</v>
      </c>
      <c r="BP130" s="346">
        <f t="shared" si="625"/>
        <v>0</v>
      </c>
      <c r="BQ130" s="346">
        <f t="shared" si="625"/>
        <v>0</v>
      </c>
      <c r="BR130" s="370">
        <f t="shared" ref="BR130" si="962">SUM(AC130:AV130)-SUM(AX130:BQ130)</f>
        <v>0</v>
      </c>
      <c r="BS130" s="402">
        <f t="shared" si="578"/>
        <v>0</v>
      </c>
      <c r="BT130" s="402">
        <f t="shared" si="579"/>
        <v>0</v>
      </c>
    </row>
    <row r="131" spans="1:72" s="235" customFormat="1" ht="14.45" hidden="1" customHeight="1" x14ac:dyDescent="0.25">
      <c r="A131" s="235" t="s">
        <v>142</v>
      </c>
      <c r="B131" s="422" t="str">
        <f>VLOOKUP(A131,'DFP-Com'!$A$16:$B$50,2,1)</f>
        <v xml:space="preserve">     4.1.d  Other</v>
      </c>
      <c r="C131" s="344" t="s">
        <v>262</v>
      </c>
      <c r="D131" s="333">
        <v>982.1</v>
      </c>
      <c r="E131" s="344" t="s">
        <v>163</v>
      </c>
      <c r="F131" s="345"/>
      <c r="G131" s="345">
        <v>0</v>
      </c>
      <c r="H131" s="345">
        <v>0.18181818181818182</v>
      </c>
      <c r="I131" s="345">
        <v>0.27272727272727271</v>
      </c>
      <c r="J131" s="425">
        <v>0.27272727272727271</v>
      </c>
      <c r="K131" s="425">
        <v>0.27272727272727271</v>
      </c>
      <c r="L131" s="417"/>
      <c r="M131" s="417"/>
      <c r="N131" s="417"/>
      <c r="O131" s="417"/>
      <c r="P131" s="417"/>
      <c r="Q131" s="417"/>
      <c r="R131" s="417"/>
      <c r="S131" s="417"/>
      <c r="T131" s="417"/>
      <c r="U131" s="417"/>
      <c r="V131" s="417"/>
      <c r="W131" s="417"/>
      <c r="X131" s="417"/>
      <c r="Y131" s="417"/>
      <c r="Z131" s="416">
        <f t="shared" si="925"/>
        <v>1</v>
      </c>
      <c r="AA131" s="344"/>
      <c r="AB131" s="344"/>
      <c r="AC131" s="346">
        <f t="shared" ref="AC131:AV131" si="963">F131*$D131</f>
        <v>0</v>
      </c>
      <c r="AD131" s="333">
        <f t="shared" si="963"/>
        <v>0</v>
      </c>
      <c r="AE131" s="346">
        <f t="shared" si="963"/>
        <v>178.56363636363636</v>
      </c>
      <c r="AF131" s="346">
        <f t="shared" si="963"/>
        <v>267.84545454545452</v>
      </c>
      <c r="AG131" s="346">
        <f t="shared" si="963"/>
        <v>267.84545454545452</v>
      </c>
      <c r="AH131" s="346">
        <f t="shared" si="963"/>
        <v>267.84545454545452</v>
      </c>
      <c r="AI131" s="346">
        <f t="shared" si="963"/>
        <v>0</v>
      </c>
      <c r="AJ131" s="346">
        <f t="shared" si="963"/>
        <v>0</v>
      </c>
      <c r="AK131" s="415">
        <f t="shared" si="963"/>
        <v>0</v>
      </c>
      <c r="AL131" s="333">
        <f t="shared" si="963"/>
        <v>0</v>
      </c>
      <c r="AM131" s="346">
        <f t="shared" si="963"/>
        <v>0</v>
      </c>
      <c r="AN131" s="333">
        <f t="shared" si="963"/>
        <v>0</v>
      </c>
      <c r="AO131" s="346">
        <f t="shared" si="963"/>
        <v>0</v>
      </c>
      <c r="AP131" s="346">
        <f t="shared" si="963"/>
        <v>0</v>
      </c>
      <c r="AQ131" s="346">
        <f t="shared" si="963"/>
        <v>0</v>
      </c>
      <c r="AR131" s="346">
        <f t="shared" si="963"/>
        <v>0</v>
      </c>
      <c r="AS131" s="346">
        <f t="shared" si="963"/>
        <v>0</v>
      </c>
      <c r="AT131" s="346">
        <f t="shared" si="963"/>
        <v>0</v>
      </c>
      <c r="AU131" s="346">
        <f t="shared" si="963"/>
        <v>0</v>
      </c>
      <c r="AV131" s="346">
        <f t="shared" si="963"/>
        <v>0</v>
      </c>
      <c r="AW131" s="346"/>
      <c r="AX131" s="346">
        <f t="shared" ref="AX131:BQ131" si="964">IF(AX$3=$E131,$D131,0)</f>
        <v>0</v>
      </c>
      <c r="AY131" s="346">
        <f t="shared" si="964"/>
        <v>0</v>
      </c>
      <c r="AZ131" s="346">
        <f t="shared" si="964"/>
        <v>982.1</v>
      </c>
      <c r="BA131" s="346">
        <f t="shared" si="964"/>
        <v>0</v>
      </c>
      <c r="BB131" s="346">
        <f t="shared" si="964"/>
        <v>0</v>
      </c>
      <c r="BC131" s="346">
        <f t="shared" si="964"/>
        <v>0</v>
      </c>
      <c r="BD131" s="346">
        <f t="shared" si="964"/>
        <v>0</v>
      </c>
      <c r="BE131" s="346">
        <f t="shared" si="964"/>
        <v>0</v>
      </c>
      <c r="BF131" s="346">
        <f t="shared" si="964"/>
        <v>0</v>
      </c>
      <c r="BG131" s="346">
        <f t="shared" si="964"/>
        <v>0</v>
      </c>
      <c r="BH131" s="346">
        <f t="shared" si="964"/>
        <v>0</v>
      </c>
      <c r="BI131" s="346">
        <f t="shared" si="964"/>
        <v>0</v>
      </c>
      <c r="BJ131" s="346">
        <f t="shared" si="964"/>
        <v>0</v>
      </c>
      <c r="BK131" s="346">
        <f t="shared" si="964"/>
        <v>0</v>
      </c>
      <c r="BL131" s="346">
        <f t="shared" si="964"/>
        <v>0</v>
      </c>
      <c r="BM131" s="346">
        <f t="shared" si="964"/>
        <v>0</v>
      </c>
      <c r="BN131" s="346">
        <f t="shared" si="964"/>
        <v>0</v>
      </c>
      <c r="BO131" s="346">
        <f t="shared" si="964"/>
        <v>0</v>
      </c>
      <c r="BP131" s="346">
        <f t="shared" si="964"/>
        <v>0</v>
      </c>
      <c r="BQ131" s="346">
        <f t="shared" si="964"/>
        <v>0</v>
      </c>
      <c r="BR131" s="370">
        <f t="shared" si="575"/>
        <v>0</v>
      </c>
      <c r="BS131" s="402">
        <f t="shared" si="578"/>
        <v>0</v>
      </c>
      <c r="BT131" s="402">
        <f t="shared" si="579"/>
        <v>0</v>
      </c>
    </row>
    <row r="132" spans="1:72" s="235" customFormat="1" ht="14.45" hidden="1" customHeight="1" outlineLevel="1" x14ac:dyDescent="0.25">
      <c r="A132" s="235" t="s">
        <v>139</v>
      </c>
      <c r="B132" s="422" t="str">
        <f>VLOOKUP(A132,'DFP-Com'!$A$16:$B$50,2,1)</f>
        <v xml:space="preserve">     4.1.a  Staff Compensation*</v>
      </c>
      <c r="C132" s="344" t="s">
        <v>223</v>
      </c>
      <c r="D132" s="346">
        <f>SUM(F132:X132)</f>
        <v>15389.66</v>
      </c>
      <c r="E132" s="417" t="s">
        <v>163</v>
      </c>
      <c r="F132" s="421"/>
      <c r="G132" s="421">
        <v>0</v>
      </c>
      <c r="H132" s="421">
        <v>375</v>
      </c>
      <c r="I132" s="421">
        <v>4500</v>
      </c>
      <c r="J132" s="421">
        <v>4848.4799999999996</v>
      </c>
      <c r="K132" s="421">
        <v>4771.5200000000004</v>
      </c>
      <c r="L132" s="421">
        <v>894.66</v>
      </c>
      <c r="M132" s="421">
        <v>0</v>
      </c>
      <c r="N132" s="421">
        <v>0</v>
      </c>
      <c r="O132" s="421">
        <v>0</v>
      </c>
      <c r="P132" s="421">
        <v>0</v>
      </c>
      <c r="Q132" s="421">
        <v>0</v>
      </c>
      <c r="R132" s="421">
        <v>0</v>
      </c>
      <c r="S132" s="421">
        <v>0</v>
      </c>
      <c r="T132" s="426">
        <v>0</v>
      </c>
      <c r="U132" s="426">
        <v>0</v>
      </c>
      <c r="V132" s="426">
        <v>0</v>
      </c>
      <c r="W132" s="426">
        <v>0</v>
      </c>
      <c r="X132" s="426">
        <v>0</v>
      </c>
      <c r="Y132" s="426"/>
      <c r="Z132" s="346">
        <f t="shared" ref="Z132:Z137" si="965">SUM(F132:Y132)</f>
        <v>15389.66</v>
      </c>
      <c r="AA132" s="344"/>
      <c r="AB132" s="344"/>
      <c r="AC132" s="346">
        <f t="shared" ref="AC132:AV132" si="966">F132</f>
        <v>0</v>
      </c>
      <c r="AD132" s="346">
        <f t="shared" si="966"/>
        <v>0</v>
      </c>
      <c r="AE132" s="346">
        <f t="shared" si="966"/>
        <v>375</v>
      </c>
      <c r="AF132" s="346">
        <f t="shared" si="966"/>
        <v>4500</v>
      </c>
      <c r="AG132" s="346">
        <f t="shared" si="966"/>
        <v>4848.4799999999996</v>
      </c>
      <c r="AH132" s="346">
        <f t="shared" si="966"/>
        <v>4771.5200000000004</v>
      </c>
      <c r="AI132" s="346">
        <f t="shared" si="966"/>
        <v>894.66</v>
      </c>
      <c r="AJ132" s="346">
        <f t="shared" si="966"/>
        <v>0</v>
      </c>
      <c r="AK132" s="415">
        <f t="shared" si="966"/>
        <v>0</v>
      </c>
      <c r="AL132" s="346">
        <f t="shared" si="966"/>
        <v>0</v>
      </c>
      <c r="AM132" s="346">
        <f t="shared" si="966"/>
        <v>0</v>
      </c>
      <c r="AN132" s="333">
        <f t="shared" si="966"/>
        <v>0</v>
      </c>
      <c r="AO132" s="346">
        <f t="shared" si="966"/>
        <v>0</v>
      </c>
      <c r="AP132" s="346">
        <f t="shared" si="966"/>
        <v>0</v>
      </c>
      <c r="AQ132" s="346">
        <f t="shared" si="966"/>
        <v>0</v>
      </c>
      <c r="AR132" s="346">
        <f t="shared" si="966"/>
        <v>0</v>
      </c>
      <c r="AS132" s="346">
        <f t="shared" si="966"/>
        <v>0</v>
      </c>
      <c r="AT132" s="346">
        <f t="shared" si="966"/>
        <v>0</v>
      </c>
      <c r="AU132" s="346">
        <f t="shared" si="966"/>
        <v>0</v>
      </c>
      <c r="AV132" s="346">
        <f t="shared" si="966"/>
        <v>0</v>
      </c>
      <c r="AW132" s="346"/>
      <c r="AX132" s="346">
        <f>IF(AX$149=$E132,SUM(AC132:AF132),0)</f>
        <v>0</v>
      </c>
      <c r="AY132" s="346">
        <f>IF(AY$149=$E132,SUM(AD132:AG132),0)</f>
        <v>0</v>
      </c>
      <c r="AZ132" s="346">
        <f>IF(AZ$149=$E132,SUM(AE132:AH132),0)</f>
        <v>14495</v>
      </c>
      <c r="BA132" s="346">
        <v>894.66</v>
      </c>
      <c r="BB132" s="346">
        <v>0</v>
      </c>
      <c r="BC132" s="346">
        <f>IF(BC$149=$E132,SUM(AH132:AK132),0)</f>
        <v>0</v>
      </c>
      <c r="BD132" s="346">
        <v>0</v>
      </c>
      <c r="BE132" s="346">
        <f t="shared" ref="BE132:BG133" si="967">IF(BE$149=$E132,SUM(AJ132:AM132),0)</f>
        <v>0</v>
      </c>
      <c r="BF132" s="346">
        <f t="shared" si="967"/>
        <v>0</v>
      </c>
      <c r="BG132" s="346">
        <f t="shared" si="967"/>
        <v>0</v>
      </c>
      <c r="BH132" s="346">
        <v>0</v>
      </c>
      <c r="BI132" s="346">
        <f>IF(BI$149=$E132,SUM(AN132:AQ132),0)</f>
        <v>0</v>
      </c>
      <c r="BJ132" s="346">
        <f>IF(BJ$149=$E132,SUM(AO132:$AQ132),0)</f>
        <v>0</v>
      </c>
      <c r="BK132" s="333">
        <f>IF(BK$149=$E132,SUM(AP132:$AQ132),0)</f>
        <v>0</v>
      </c>
      <c r="BL132" s="346">
        <f>IF(BL$149=$E132,SUM(AQ132:$AQ132),0)</f>
        <v>0</v>
      </c>
      <c r="BM132" s="346">
        <f>IF(BM$149=$E132,SUM($AQ132:AR132),0)</f>
        <v>0</v>
      </c>
      <c r="BN132" s="346">
        <f>IF(BN$149=$E132,SUM($AQ132:AS132),0)</f>
        <v>0</v>
      </c>
      <c r="BO132" s="346">
        <f>IF(BO$149=$E132,SUM($AQ132:AT132),0)</f>
        <v>0</v>
      </c>
      <c r="BP132" s="346">
        <f>IF(BP$149=$E132,SUM($AQ132:AU132),0)</f>
        <v>0</v>
      </c>
      <c r="BQ132" s="346">
        <f>IF(BQ$149=$E132,SUM($AQ132:AV132),0)</f>
        <v>0</v>
      </c>
      <c r="BR132" s="370">
        <f t="shared" si="575"/>
        <v>0</v>
      </c>
      <c r="BS132" s="402">
        <f t="shared" si="578"/>
        <v>0</v>
      </c>
      <c r="BT132" s="402">
        <f t="shared" si="579"/>
        <v>0</v>
      </c>
    </row>
    <row r="133" spans="1:72" s="235" customFormat="1" ht="14.45" hidden="1" customHeight="1" x14ac:dyDescent="0.25">
      <c r="A133" s="235" t="s">
        <v>142</v>
      </c>
      <c r="B133" s="422" t="str">
        <f>VLOOKUP(A133,'DFP-Com'!$A$16:$B$50,2,1)</f>
        <v xml:space="preserve">     4.1.d  Other</v>
      </c>
      <c r="C133" s="344" t="s">
        <v>246</v>
      </c>
      <c r="D133" s="333">
        <v>7222.5</v>
      </c>
      <c r="E133" s="417" t="s">
        <v>163</v>
      </c>
      <c r="F133" s="421"/>
      <c r="G133" s="421"/>
      <c r="H133" s="421"/>
      <c r="I133" s="421" t="s">
        <v>100</v>
      </c>
      <c r="J133" s="421"/>
      <c r="K133" s="421">
        <v>0</v>
      </c>
      <c r="L133" s="421">
        <v>0</v>
      </c>
      <c r="M133" s="421">
        <v>0</v>
      </c>
      <c r="N133" s="421">
        <v>0</v>
      </c>
      <c r="O133" s="421">
        <v>7222.5</v>
      </c>
      <c r="P133" s="421"/>
      <c r="Q133" s="421"/>
      <c r="R133" s="421"/>
      <c r="S133" s="421"/>
      <c r="T133" s="426"/>
      <c r="U133" s="426"/>
      <c r="V133" s="426"/>
      <c r="W133" s="426"/>
      <c r="X133" s="426"/>
      <c r="Y133" s="426"/>
      <c r="Z133" s="346">
        <f t="shared" si="965"/>
        <v>7222.5</v>
      </c>
      <c r="AA133" s="344"/>
      <c r="AB133" s="344"/>
      <c r="AC133" s="346">
        <f t="shared" ref="AC133:AJ133" si="968">F133</f>
        <v>0</v>
      </c>
      <c r="AD133" s="333">
        <f t="shared" si="968"/>
        <v>0</v>
      </c>
      <c r="AE133" s="346">
        <f t="shared" si="968"/>
        <v>0</v>
      </c>
      <c r="AF133" s="346" t="str">
        <f t="shared" si="968"/>
        <v xml:space="preserve"> </v>
      </c>
      <c r="AG133" s="346">
        <f t="shared" si="968"/>
        <v>0</v>
      </c>
      <c r="AH133" s="346">
        <f t="shared" si="968"/>
        <v>0</v>
      </c>
      <c r="AI133" s="346">
        <f t="shared" si="968"/>
        <v>0</v>
      </c>
      <c r="AJ133" s="415">
        <f t="shared" si="968"/>
        <v>0</v>
      </c>
      <c r="AK133" s="415">
        <f t="shared" ref="AK133" si="969">N133</f>
        <v>0</v>
      </c>
      <c r="AL133" s="333">
        <f t="shared" ref="AL133" si="970">O133</f>
        <v>7222.5</v>
      </c>
      <c r="AM133" s="346">
        <f t="shared" ref="AM133" si="971">P133</f>
        <v>0</v>
      </c>
      <c r="AN133" s="333">
        <f t="shared" ref="AN133" si="972">Q133</f>
        <v>0</v>
      </c>
      <c r="AO133" s="346">
        <f t="shared" ref="AO133" si="973">R133</f>
        <v>0</v>
      </c>
      <c r="AP133" s="346">
        <f t="shared" ref="AP133" si="974">S133</f>
        <v>0</v>
      </c>
      <c r="AQ133" s="346">
        <f t="shared" ref="AQ133" si="975">T133</f>
        <v>0</v>
      </c>
      <c r="AR133" s="346">
        <f>U133</f>
        <v>0</v>
      </c>
      <c r="AS133" s="346">
        <f>V133</f>
        <v>0</v>
      </c>
      <c r="AT133" s="346">
        <f>W133</f>
        <v>0</v>
      </c>
      <c r="AU133" s="346">
        <f>X133</f>
        <v>0</v>
      </c>
      <c r="AV133" s="346">
        <f>Y133</f>
        <v>0</v>
      </c>
      <c r="AW133" s="346"/>
      <c r="AX133" s="346">
        <f>IF(AX$149=$E133,SUM(AC133:AF133),0)</f>
        <v>0</v>
      </c>
      <c r="AY133" s="346">
        <f>IF(AY$149=$E133,SUM(AD133:AG133),0)</f>
        <v>0</v>
      </c>
      <c r="AZ133" s="346">
        <v>7222.5</v>
      </c>
      <c r="BA133" s="346">
        <f>IF(BA$149=$E133,SUM(AF133:AI133),0)</f>
        <v>0</v>
      </c>
      <c r="BB133" s="346">
        <f>IF(BB$149=$E133,SUM(AG133:AJ133),0)</f>
        <v>0</v>
      </c>
      <c r="BC133" s="346">
        <f>IF(BC$149=$E133,SUM(AH133:AK133),0)</f>
        <v>0</v>
      </c>
      <c r="BD133" s="346">
        <v>0</v>
      </c>
      <c r="BE133" s="346">
        <f t="shared" si="967"/>
        <v>0</v>
      </c>
      <c r="BF133" s="346">
        <f t="shared" si="967"/>
        <v>0</v>
      </c>
      <c r="BG133" s="346">
        <f t="shared" si="967"/>
        <v>0</v>
      </c>
      <c r="BH133" s="346">
        <f>IF(BH$149=$E133,SUM(AM133:AP133),0)</f>
        <v>0</v>
      </c>
      <c r="BI133" s="346">
        <f>IF(BI$149=$E133,SUM(AN133:AQ133),0)</f>
        <v>0</v>
      </c>
      <c r="BJ133" s="346">
        <f>IF(BJ$149=$E133,SUM(AO133:$AQ133),0)</f>
        <v>0</v>
      </c>
      <c r="BK133" s="346">
        <f>IF(BK$149=$E133,SUM(AP133:$AQ133),0)</f>
        <v>0</v>
      </c>
      <c r="BL133" s="346">
        <f>IF(BL$149=$E133,SUM(AQ133:$AQ133),0)</f>
        <v>0</v>
      </c>
      <c r="BM133" s="346">
        <f>IF(BM$149=$E133,SUM($AQ133:AR133),0)</f>
        <v>0</v>
      </c>
      <c r="BN133" s="346">
        <v>0</v>
      </c>
      <c r="BO133" s="346">
        <v>0</v>
      </c>
      <c r="BP133" s="346">
        <v>0</v>
      </c>
      <c r="BQ133" s="346">
        <v>0</v>
      </c>
      <c r="BR133" s="370">
        <f t="shared" si="575"/>
        <v>0</v>
      </c>
      <c r="BS133" s="402">
        <f t="shared" si="578"/>
        <v>0</v>
      </c>
      <c r="BT133" s="402">
        <f t="shared" si="579"/>
        <v>0</v>
      </c>
    </row>
    <row r="134" spans="1:72" s="235" customFormat="1" ht="14.45" hidden="1" customHeight="1" x14ac:dyDescent="0.25">
      <c r="A134" s="235" t="s">
        <v>142</v>
      </c>
      <c r="B134" s="422" t="str">
        <f>VLOOKUP(A134,'DFP-Com'!$A$16:$B$50,2,1)</f>
        <v xml:space="preserve">     4.1.d  Other</v>
      </c>
      <c r="C134" s="344" t="s">
        <v>263</v>
      </c>
      <c r="D134" s="333">
        <v>505.16</v>
      </c>
      <c r="E134" s="344" t="s">
        <v>195</v>
      </c>
      <c r="F134" s="345"/>
      <c r="G134" s="345">
        <v>0</v>
      </c>
      <c r="H134" s="345">
        <v>0</v>
      </c>
      <c r="I134" s="345">
        <v>1</v>
      </c>
      <c r="J134" s="345">
        <v>0</v>
      </c>
      <c r="K134" s="345">
        <v>0</v>
      </c>
      <c r="L134" s="345">
        <v>0</v>
      </c>
      <c r="M134" s="417"/>
      <c r="N134" s="417"/>
      <c r="O134" s="417"/>
      <c r="P134" s="417"/>
      <c r="Q134" s="417"/>
      <c r="R134" s="417"/>
      <c r="S134" s="417"/>
      <c r="T134" s="417"/>
      <c r="U134" s="417"/>
      <c r="V134" s="417"/>
      <c r="W134" s="417"/>
      <c r="X134" s="417"/>
      <c r="Y134" s="417"/>
      <c r="Z134" s="416">
        <f t="shared" si="965"/>
        <v>1</v>
      </c>
      <c r="AA134" s="344"/>
      <c r="AB134" s="344"/>
      <c r="AC134" s="346">
        <f t="shared" ref="AC134:AV134" si="976">F134*$D134</f>
        <v>0</v>
      </c>
      <c r="AD134" s="333">
        <f t="shared" si="976"/>
        <v>0</v>
      </c>
      <c r="AE134" s="346">
        <f t="shared" si="976"/>
        <v>0</v>
      </c>
      <c r="AF134" s="346">
        <f t="shared" si="976"/>
        <v>505.16</v>
      </c>
      <c r="AG134" s="346">
        <f t="shared" si="976"/>
        <v>0</v>
      </c>
      <c r="AH134" s="346">
        <f t="shared" si="976"/>
        <v>0</v>
      </c>
      <c r="AI134" s="346">
        <f t="shared" si="976"/>
        <v>0</v>
      </c>
      <c r="AJ134" s="346">
        <f t="shared" si="976"/>
        <v>0</v>
      </c>
      <c r="AK134" s="415">
        <f t="shared" si="976"/>
        <v>0</v>
      </c>
      <c r="AL134" s="333">
        <f t="shared" si="976"/>
        <v>0</v>
      </c>
      <c r="AM134" s="346">
        <f t="shared" si="976"/>
        <v>0</v>
      </c>
      <c r="AN134" s="333">
        <f t="shared" si="976"/>
        <v>0</v>
      </c>
      <c r="AO134" s="346">
        <f t="shared" si="976"/>
        <v>0</v>
      </c>
      <c r="AP134" s="346">
        <f t="shared" si="976"/>
        <v>0</v>
      </c>
      <c r="AQ134" s="346">
        <f t="shared" si="976"/>
        <v>0</v>
      </c>
      <c r="AR134" s="346">
        <f t="shared" si="976"/>
        <v>0</v>
      </c>
      <c r="AS134" s="346">
        <f t="shared" si="976"/>
        <v>0</v>
      </c>
      <c r="AT134" s="346">
        <f t="shared" si="976"/>
        <v>0</v>
      </c>
      <c r="AU134" s="346">
        <f t="shared" si="976"/>
        <v>0</v>
      </c>
      <c r="AV134" s="346">
        <f t="shared" si="976"/>
        <v>0</v>
      </c>
      <c r="AW134" s="346"/>
      <c r="AX134" s="346">
        <f t="shared" ref="AX134:BQ134" si="977">IF(AX$3=$E134,$D134,0)</f>
        <v>0</v>
      </c>
      <c r="AY134" s="346">
        <f t="shared" si="977"/>
        <v>0</v>
      </c>
      <c r="AZ134" s="346">
        <f t="shared" si="977"/>
        <v>0</v>
      </c>
      <c r="BA134" s="346">
        <f t="shared" si="977"/>
        <v>505.16</v>
      </c>
      <c r="BB134" s="346">
        <f t="shared" si="977"/>
        <v>0</v>
      </c>
      <c r="BC134" s="346">
        <f t="shared" si="977"/>
        <v>0</v>
      </c>
      <c r="BD134" s="346">
        <f t="shared" si="977"/>
        <v>0</v>
      </c>
      <c r="BE134" s="346">
        <f t="shared" si="977"/>
        <v>0</v>
      </c>
      <c r="BF134" s="346">
        <f t="shared" si="977"/>
        <v>0</v>
      </c>
      <c r="BG134" s="346">
        <f t="shared" si="977"/>
        <v>0</v>
      </c>
      <c r="BH134" s="346">
        <f t="shared" si="977"/>
        <v>0</v>
      </c>
      <c r="BI134" s="346">
        <f t="shared" si="977"/>
        <v>0</v>
      </c>
      <c r="BJ134" s="346">
        <f t="shared" si="977"/>
        <v>0</v>
      </c>
      <c r="BK134" s="346">
        <f t="shared" si="977"/>
        <v>0</v>
      </c>
      <c r="BL134" s="346">
        <f t="shared" si="977"/>
        <v>0</v>
      </c>
      <c r="BM134" s="346">
        <f t="shared" si="977"/>
        <v>0</v>
      </c>
      <c r="BN134" s="346">
        <f t="shared" si="977"/>
        <v>0</v>
      </c>
      <c r="BO134" s="346">
        <f t="shared" si="977"/>
        <v>0</v>
      </c>
      <c r="BP134" s="346">
        <f t="shared" si="977"/>
        <v>0</v>
      </c>
      <c r="BQ134" s="346">
        <f t="shared" si="977"/>
        <v>0</v>
      </c>
      <c r="BR134" s="370">
        <f t="shared" si="575"/>
        <v>0</v>
      </c>
      <c r="BS134" s="402">
        <f t="shared" si="578"/>
        <v>0</v>
      </c>
      <c r="BT134" s="402">
        <f t="shared" si="579"/>
        <v>0</v>
      </c>
    </row>
    <row r="135" spans="1:72" s="235" customFormat="1" ht="14.45" hidden="1" customHeight="1" outlineLevel="1" x14ac:dyDescent="0.25">
      <c r="A135" s="235" t="s">
        <v>139</v>
      </c>
      <c r="B135" s="422" t="str">
        <f>VLOOKUP(A135,'DFP-Com'!$A$16:$B$50,2,1)</f>
        <v xml:space="preserve">     4.1.a  Staff Compensation*</v>
      </c>
      <c r="C135" s="344" t="s">
        <v>231</v>
      </c>
      <c r="D135" s="346">
        <f>SUM(F135:X135)</f>
        <v>124028.57999999999</v>
      </c>
      <c r="E135" s="417" t="s">
        <v>195</v>
      </c>
      <c r="F135" s="421">
        <v>0</v>
      </c>
      <c r="G135" s="421">
        <v>0</v>
      </c>
      <c r="H135" s="421">
        <v>0</v>
      </c>
      <c r="I135" s="421">
        <v>2666.56</v>
      </c>
      <c r="J135" s="421">
        <v>4615.2</v>
      </c>
      <c r="K135" s="421">
        <v>6230.52</v>
      </c>
      <c r="L135" s="421">
        <v>5435.68</v>
      </c>
      <c r="M135" s="421">
        <v>6153.6</v>
      </c>
      <c r="N135" s="421">
        <v>7295.78</v>
      </c>
      <c r="O135" s="421">
        <v>6828.72</v>
      </c>
      <c r="P135" s="421">
        <v>6997.9</v>
      </c>
      <c r="Q135" s="421">
        <v>7228.6</v>
      </c>
      <c r="R135" s="421">
        <v>7819.84</v>
      </c>
      <c r="S135" s="421">
        <v>8392.32</v>
      </c>
      <c r="T135" s="426">
        <v>7529.4000000000005</v>
      </c>
      <c r="U135" s="426">
        <v>8936.32</v>
      </c>
      <c r="V135" s="426">
        <v>9682.4000000000015</v>
      </c>
      <c r="W135" s="426">
        <v>9384.4800000000014</v>
      </c>
      <c r="X135" s="426">
        <v>18831.260000000002</v>
      </c>
      <c r="Y135" s="426">
        <v>0</v>
      </c>
      <c r="Z135" s="346">
        <f t="shared" si="965"/>
        <v>124028.57999999999</v>
      </c>
      <c r="AA135" s="344"/>
      <c r="AB135" s="344"/>
      <c r="AC135" s="346">
        <f t="shared" ref="AC135" si="978">F135</f>
        <v>0</v>
      </c>
      <c r="AD135" s="346">
        <f t="shared" ref="AD135" si="979">G135</f>
        <v>0</v>
      </c>
      <c r="AE135" s="346">
        <f t="shared" ref="AE135" si="980">H135</f>
        <v>0</v>
      </c>
      <c r="AF135" s="346">
        <f t="shared" ref="AF135" si="981">I135</f>
        <v>2666.56</v>
      </c>
      <c r="AG135" s="346">
        <f t="shared" ref="AG135" si="982">J135</f>
        <v>4615.2</v>
      </c>
      <c r="AH135" s="346">
        <f t="shared" ref="AH135" si="983">K135</f>
        <v>6230.52</v>
      </c>
      <c r="AI135" s="346">
        <f t="shared" ref="AI135" si="984">L135</f>
        <v>5435.68</v>
      </c>
      <c r="AJ135" s="346">
        <f t="shared" ref="AJ135" si="985">M135</f>
        <v>6153.6</v>
      </c>
      <c r="AK135" s="346">
        <f t="shared" ref="AK135" si="986">N135</f>
        <v>7295.78</v>
      </c>
      <c r="AL135" s="346">
        <f t="shared" ref="AL135" si="987">O135</f>
        <v>6828.72</v>
      </c>
      <c r="AM135" s="346">
        <f t="shared" ref="AM135" si="988">P135</f>
        <v>6997.9</v>
      </c>
      <c r="AN135" s="346">
        <f t="shared" ref="AN135" si="989">Q135</f>
        <v>7228.6</v>
      </c>
      <c r="AO135" s="346">
        <f t="shared" ref="AO135" si="990">R135</f>
        <v>7819.84</v>
      </c>
      <c r="AP135" s="346">
        <f t="shared" ref="AP135" si="991">S135</f>
        <v>8392.32</v>
      </c>
      <c r="AQ135" s="346">
        <f t="shared" ref="AQ135" si="992">T135</f>
        <v>7529.4000000000005</v>
      </c>
      <c r="AR135" s="346">
        <f t="shared" ref="AR135" si="993">U135</f>
        <v>8936.32</v>
      </c>
      <c r="AS135" s="346">
        <f t="shared" ref="AS135" si="994">V135</f>
        <v>9682.4000000000015</v>
      </c>
      <c r="AT135" s="346">
        <f t="shared" ref="AT135" si="995">W135</f>
        <v>9384.4800000000014</v>
      </c>
      <c r="AU135" s="346">
        <f t="shared" ref="AU135" si="996">X135</f>
        <v>18831.260000000002</v>
      </c>
      <c r="AV135" s="333">
        <f t="shared" ref="AV135" si="997">Y135</f>
        <v>0</v>
      </c>
      <c r="AW135" s="346"/>
      <c r="AX135" s="346">
        <v>0</v>
      </c>
      <c r="AY135" s="346">
        <v>0</v>
      </c>
      <c r="AZ135" s="346">
        <v>0</v>
      </c>
      <c r="BA135" s="346">
        <v>3384.48</v>
      </c>
      <c r="BB135" s="346">
        <v>24260.44</v>
      </c>
      <c r="BC135" s="346">
        <v>0</v>
      </c>
      <c r="BD135" s="346">
        <v>0</v>
      </c>
      <c r="BE135" s="346">
        <v>0</v>
      </c>
      <c r="BF135" s="346">
        <v>29991</v>
      </c>
      <c r="BG135" s="346">
        <v>0</v>
      </c>
      <c r="BH135" s="346">
        <v>0</v>
      </c>
      <c r="BI135" s="346">
        <v>-1845.6</v>
      </c>
      <c r="BJ135" s="346">
        <v>16497</v>
      </c>
      <c r="BK135" s="333">
        <v>-1133.6400000000001</v>
      </c>
      <c r="BL135" s="346">
        <v>9018.36</v>
      </c>
      <c r="BM135" s="346">
        <v>26384.54</v>
      </c>
      <c r="BN135" s="346">
        <v>0</v>
      </c>
      <c r="BO135" s="346">
        <v>0</v>
      </c>
      <c r="BP135" s="333">
        <v>17472</v>
      </c>
      <c r="BQ135" s="346">
        <v>0</v>
      </c>
      <c r="BR135" s="427">
        <f t="shared" si="575"/>
        <v>0</v>
      </c>
      <c r="BS135" s="402">
        <f t="shared" si="578"/>
        <v>0</v>
      </c>
      <c r="BT135" s="402">
        <f t="shared" si="579"/>
        <v>0</v>
      </c>
    </row>
    <row r="136" spans="1:72" s="235" customFormat="1" ht="14.45" hidden="1" customHeight="1" x14ac:dyDescent="0.25">
      <c r="A136" s="235" t="s">
        <v>142</v>
      </c>
      <c r="B136" s="422" t="str">
        <f>VLOOKUP(A136,'DFP-Com'!$A$16:$B$50,2,1)</f>
        <v xml:space="preserve">     4.1.d  Other</v>
      </c>
      <c r="C136" s="344" t="s">
        <v>264</v>
      </c>
      <c r="D136" s="333">
        <v>1630</v>
      </c>
      <c r="E136" s="344" t="s">
        <v>192</v>
      </c>
      <c r="F136" s="345"/>
      <c r="G136" s="345">
        <v>0</v>
      </c>
      <c r="H136" s="345">
        <v>0</v>
      </c>
      <c r="I136" s="345">
        <v>0</v>
      </c>
      <c r="J136" s="345">
        <v>1</v>
      </c>
      <c r="K136" s="417"/>
      <c r="L136" s="417"/>
      <c r="M136" s="417"/>
      <c r="N136" s="417"/>
      <c r="O136" s="417"/>
      <c r="P136" s="417"/>
      <c r="Q136" s="417"/>
      <c r="R136" s="417"/>
      <c r="S136" s="417"/>
      <c r="T136" s="417"/>
      <c r="U136" s="417"/>
      <c r="V136" s="417"/>
      <c r="W136" s="417"/>
      <c r="X136" s="417"/>
      <c r="Y136" s="417"/>
      <c r="Z136" s="416">
        <f t="shared" si="965"/>
        <v>1</v>
      </c>
      <c r="AA136" s="425"/>
      <c r="AB136" s="344"/>
      <c r="AC136" s="346">
        <f t="shared" ref="AC136" si="998">F136*$D136</f>
        <v>0</v>
      </c>
      <c r="AD136" s="333">
        <f t="shared" ref="AD136" si="999">G136*$D136</f>
        <v>0</v>
      </c>
      <c r="AE136" s="346">
        <f t="shared" ref="AE136" si="1000">H136*$D136</f>
        <v>0</v>
      </c>
      <c r="AF136" s="346">
        <f t="shared" ref="AF136" si="1001">I136*$D136</f>
        <v>0</v>
      </c>
      <c r="AG136" s="346">
        <f t="shared" si="924"/>
        <v>1630</v>
      </c>
      <c r="AH136" s="346">
        <f t="shared" ref="AH136" si="1002">K136*$D136</f>
        <v>0</v>
      </c>
      <c r="AI136" s="346">
        <f t="shared" ref="AI136" si="1003">L136*$D136</f>
        <v>0</v>
      </c>
      <c r="AJ136" s="346">
        <f t="shared" ref="AJ136" si="1004">M136*$D136</f>
        <v>0</v>
      </c>
      <c r="AK136" s="415">
        <f t="shared" ref="AK136" si="1005">N136*$D136</f>
        <v>0</v>
      </c>
      <c r="AL136" s="333">
        <f t="shared" ref="AL136" si="1006">O136*$D136</f>
        <v>0</v>
      </c>
      <c r="AM136" s="346">
        <f t="shared" ref="AM136" si="1007">P136*$D136</f>
        <v>0</v>
      </c>
      <c r="AN136" s="333">
        <f t="shared" ref="AN136" si="1008">Q136*$D136</f>
        <v>0</v>
      </c>
      <c r="AO136" s="346">
        <f t="shared" ref="AO136" si="1009">R136*$D136</f>
        <v>0</v>
      </c>
      <c r="AP136" s="346">
        <f t="shared" ref="AP136" si="1010">S136*$D136</f>
        <v>0</v>
      </c>
      <c r="AQ136" s="346">
        <f t="shared" ref="AQ136" si="1011">T136*$D136</f>
        <v>0</v>
      </c>
      <c r="AR136" s="346">
        <f t="shared" si="552"/>
        <v>0</v>
      </c>
      <c r="AS136" s="346">
        <f t="shared" si="14"/>
        <v>0</v>
      </c>
      <c r="AT136" s="346">
        <f t="shared" si="15"/>
        <v>0</v>
      </c>
      <c r="AU136" s="346">
        <f t="shared" si="16"/>
        <v>0</v>
      </c>
      <c r="AV136" s="346">
        <f t="shared" si="16"/>
        <v>0</v>
      </c>
      <c r="AW136" s="346"/>
      <c r="AX136" s="346">
        <f t="shared" si="940"/>
        <v>0</v>
      </c>
      <c r="AY136" s="346">
        <f t="shared" si="940"/>
        <v>0</v>
      </c>
      <c r="AZ136" s="346">
        <f t="shared" si="940"/>
        <v>0</v>
      </c>
      <c r="BA136" s="346">
        <f t="shared" si="940"/>
        <v>0</v>
      </c>
      <c r="BB136" s="346">
        <f t="shared" si="940"/>
        <v>1630</v>
      </c>
      <c r="BC136" s="346">
        <f t="shared" si="940"/>
        <v>0</v>
      </c>
      <c r="BD136" s="346">
        <f t="shared" si="940"/>
        <v>0</v>
      </c>
      <c r="BE136" s="346">
        <f t="shared" si="940"/>
        <v>0</v>
      </c>
      <c r="BF136" s="346">
        <f t="shared" si="940"/>
        <v>0</v>
      </c>
      <c r="BG136" s="346">
        <f t="shared" si="940"/>
        <v>0</v>
      </c>
      <c r="BH136" s="346">
        <f t="shared" si="940"/>
        <v>0</v>
      </c>
      <c r="BI136" s="346">
        <f t="shared" si="940"/>
        <v>0</v>
      </c>
      <c r="BJ136" s="346">
        <f t="shared" si="940"/>
        <v>0</v>
      </c>
      <c r="BK136" s="346">
        <f t="shared" si="940"/>
        <v>0</v>
      </c>
      <c r="BL136" s="346">
        <f t="shared" si="940"/>
        <v>0</v>
      </c>
      <c r="BM136" s="346">
        <f t="shared" si="625"/>
        <v>0</v>
      </c>
      <c r="BN136" s="346">
        <f t="shared" si="625"/>
        <v>0</v>
      </c>
      <c r="BO136" s="346">
        <f t="shared" si="625"/>
        <v>0</v>
      </c>
      <c r="BP136" s="333">
        <f t="shared" si="625"/>
        <v>0</v>
      </c>
      <c r="BQ136" s="346">
        <f t="shared" si="625"/>
        <v>0</v>
      </c>
      <c r="BR136" s="370">
        <f t="shared" si="575"/>
        <v>0</v>
      </c>
      <c r="BS136" s="402">
        <f t="shared" si="578"/>
        <v>0</v>
      </c>
      <c r="BT136" s="402">
        <f t="shared" si="579"/>
        <v>0</v>
      </c>
    </row>
    <row r="137" spans="1:72" s="235" customFormat="1" ht="14.45" hidden="1" customHeight="1" x14ac:dyDescent="0.25">
      <c r="A137" s="235" t="s">
        <v>142</v>
      </c>
      <c r="B137" s="422" t="str">
        <f>VLOOKUP(A137,'DFP-Com'!$A$16:$B$50,2,1)</f>
        <v xml:space="preserve">     4.1.d  Other</v>
      </c>
      <c r="C137" s="344" t="s">
        <v>263</v>
      </c>
      <c r="D137" s="333">
        <v>739.99</v>
      </c>
      <c r="E137" s="344" t="s">
        <v>165</v>
      </c>
      <c r="F137" s="345"/>
      <c r="G137" s="345">
        <v>0</v>
      </c>
      <c r="H137" s="345">
        <v>0</v>
      </c>
      <c r="I137" s="345">
        <v>0</v>
      </c>
      <c r="J137" s="417">
        <v>0</v>
      </c>
      <c r="K137" s="345">
        <v>1</v>
      </c>
      <c r="L137" s="345">
        <v>0</v>
      </c>
      <c r="M137" s="417"/>
      <c r="N137" s="417"/>
      <c r="O137" s="417"/>
      <c r="P137" s="417"/>
      <c r="Q137" s="417"/>
      <c r="R137" s="417"/>
      <c r="S137" s="417"/>
      <c r="T137" s="417"/>
      <c r="U137" s="417"/>
      <c r="V137" s="417"/>
      <c r="W137" s="417"/>
      <c r="X137" s="417"/>
      <c r="Y137" s="417"/>
      <c r="Z137" s="416">
        <f t="shared" si="965"/>
        <v>1</v>
      </c>
      <c r="AA137" s="344"/>
      <c r="AB137" s="344"/>
      <c r="AC137" s="346">
        <f t="shared" ref="AC137" si="1012">F137*$D137</f>
        <v>0</v>
      </c>
      <c r="AD137" s="333">
        <f t="shared" ref="AD137" si="1013">G137*$D137</f>
        <v>0</v>
      </c>
      <c r="AE137" s="346">
        <f t="shared" ref="AE137" si="1014">H137*$D137</f>
        <v>0</v>
      </c>
      <c r="AF137" s="346">
        <v>0</v>
      </c>
      <c r="AG137" s="346">
        <f t="shared" si="924"/>
        <v>0</v>
      </c>
      <c r="AH137" s="346">
        <f t="shared" ref="AH137" si="1015">K137*$D137</f>
        <v>739.99</v>
      </c>
      <c r="AI137" s="346">
        <f t="shared" ref="AI137" si="1016">L137*$D137</f>
        <v>0</v>
      </c>
      <c r="AJ137" s="346">
        <f t="shared" ref="AJ137" si="1017">M137*$D137</f>
        <v>0</v>
      </c>
      <c r="AK137" s="415">
        <f t="shared" ref="AK137" si="1018">N137*$D137</f>
        <v>0</v>
      </c>
      <c r="AL137" s="333">
        <f t="shared" ref="AL137" si="1019">O137*$D137</f>
        <v>0</v>
      </c>
      <c r="AM137" s="346">
        <f t="shared" ref="AM137" si="1020">P137*$D137</f>
        <v>0</v>
      </c>
      <c r="AN137" s="333">
        <f t="shared" ref="AN137" si="1021">Q137*$D137</f>
        <v>0</v>
      </c>
      <c r="AO137" s="346">
        <f t="shared" ref="AO137" si="1022">R137*$D137</f>
        <v>0</v>
      </c>
      <c r="AP137" s="346">
        <f t="shared" ref="AP137" si="1023">S137*$D137</f>
        <v>0</v>
      </c>
      <c r="AQ137" s="346">
        <f t="shared" ref="AQ137" si="1024">T137*$D137</f>
        <v>0</v>
      </c>
      <c r="AR137" s="346">
        <f t="shared" si="552"/>
        <v>0</v>
      </c>
      <c r="AS137" s="346">
        <f t="shared" si="14"/>
        <v>0</v>
      </c>
      <c r="AT137" s="346">
        <f t="shared" si="15"/>
        <v>0</v>
      </c>
      <c r="AU137" s="346">
        <f t="shared" si="16"/>
        <v>0</v>
      </c>
      <c r="AV137" s="346">
        <f t="shared" si="16"/>
        <v>0</v>
      </c>
      <c r="AW137" s="346"/>
      <c r="AX137" s="346">
        <f t="shared" si="940"/>
        <v>0</v>
      </c>
      <c r="AY137" s="346">
        <f t="shared" si="940"/>
        <v>0</v>
      </c>
      <c r="AZ137" s="346">
        <f t="shared" si="940"/>
        <v>0</v>
      </c>
      <c r="BA137" s="346">
        <f t="shared" si="940"/>
        <v>0</v>
      </c>
      <c r="BB137" s="346">
        <f t="shared" si="940"/>
        <v>0</v>
      </c>
      <c r="BC137" s="346">
        <f t="shared" si="940"/>
        <v>739.99</v>
      </c>
      <c r="BD137" s="346">
        <f t="shared" si="940"/>
        <v>0</v>
      </c>
      <c r="BE137" s="346">
        <f t="shared" si="940"/>
        <v>0</v>
      </c>
      <c r="BF137" s="346">
        <f t="shared" si="940"/>
        <v>0</v>
      </c>
      <c r="BG137" s="346">
        <f t="shared" si="940"/>
        <v>0</v>
      </c>
      <c r="BH137" s="346">
        <f t="shared" si="940"/>
        <v>0</v>
      </c>
      <c r="BI137" s="346">
        <f t="shared" si="940"/>
        <v>0</v>
      </c>
      <c r="BJ137" s="346">
        <f t="shared" si="940"/>
        <v>0</v>
      </c>
      <c r="BK137" s="346">
        <f t="shared" si="940"/>
        <v>0</v>
      </c>
      <c r="BL137" s="346">
        <f t="shared" si="940"/>
        <v>0</v>
      </c>
      <c r="BM137" s="346">
        <f t="shared" si="625"/>
        <v>0</v>
      </c>
      <c r="BN137" s="346">
        <f t="shared" si="625"/>
        <v>0</v>
      </c>
      <c r="BO137" s="346">
        <f t="shared" si="625"/>
        <v>0</v>
      </c>
      <c r="BP137" s="333">
        <f t="shared" si="625"/>
        <v>0</v>
      </c>
      <c r="BQ137" s="346">
        <f t="shared" si="625"/>
        <v>0</v>
      </c>
      <c r="BR137" s="370">
        <f t="shared" si="575"/>
        <v>0</v>
      </c>
      <c r="BS137" s="402">
        <f t="shared" si="578"/>
        <v>0</v>
      </c>
      <c r="BT137" s="402">
        <f t="shared" si="579"/>
        <v>0</v>
      </c>
    </row>
    <row r="138" spans="1:72" s="235" customFormat="1" ht="14.45" hidden="1" customHeight="1" x14ac:dyDescent="0.25">
      <c r="A138" s="235" t="s">
        <v>142</v>
      </c>
      <c r="B138" s="422" t="str">
        <f>VLOOKUP(A138,'DFP-Com'!$A$16:$B$50,2,1)</f>
        <v xml:space="preserve">     4.1.d  Other</v>
      </c>
      <c r="C138" s="344" t="s">
        <v>263</v>
      </c>
      <c r="D138" s="333">
        <v>1232.1400000000001</v>
      </c>
      <c r="E138" s="344" t="s">
        <v>165</v>
      </c>
      <c r="F138" s="345"/>
      <c r="G138" s="345">
        <v>0</v>
      </c>
      <c r="H138" s="345">
        <v>0</v>
      </c>
      <c r="I138" s="345">
        <v>0</v>
      </c>
      <c r="J138" s="345">
        <v>0</v>
      </c>
      <c r="K138" s="345">
        <v>1</v>
      </c>
      <c r="L138" s="345">
        <v>0</v>
      </c>
      <c r="M138" s="417"/>
      <c r="N138" s="417"/>
      <c r="O138" s="417"/>
      <c r="P138" s="417"/>
      <c r="Q138" s="417"/>
      <c r="R138" s="417"/>
      <c r="S138" s="417"/>
      <c r="T138" s="417"/>
      <c r="U138" s="417"/>
      <c r="V138" s="417"/>
      <c r="W138" s="417"/>
      <c r="X138" s="417"/>
      <c r="Y138" s="417"/>
      <c r="Z138" s="416">
        <f t="shared" ref="Z138:Z140" si="1025">SUM(F138:Y138)</f>
        <v>1</v>
      </c>
      <c r="AA138" s="344"/>
      <c r="AB138" s="344"/>
      <c r="AC138" s="346">
        <f t="shared" ref="AC138" si="1026">F138*$D138</f>
        <v>0</v>
      </c>
      <c r="AD138" s="333">
        <f t="shared" ref="AD138" si="1027">G138*$D138</f>
        <v>0</v>
      </c>
      <c r="AE138" s="346">
        <f t="shared" ref="AE138" si="1028">H138*$D138</f>
        <v>0</v>
      </c>
      <c r="AF138" s="346">
        <f t="shared" ref="AF138" si="1029">I138*$D138</f>
        <v>0</v>
      </c>
      <c r="AG138" s="346">
        <f t="shared" si="924"/>
        <v>0</v>
      </c>
      <c r="AH138" s="346">
        <f t="shared" ref="AH138" si="1030">K138*$D138</f>
        <v>1232.1400000000001</v>
      </c>
      <c r="AI138" s="346">
        <f t="shared" ref="AI138" si="1031">L138*$D138</f>
        <v>0</v>
      </c>
      <c r="AJ138" s="346">
        <f t="shared" ref="AJ138" si="1032">M138*$D138</f>
        <v>0</v>
      </c>
      <c r="AK138" s="415">
        <f t="shared" ref="AK138" si="1033">N138*$D138</f>
        <v>0</v>
      </c>
      <c r="AL138" s="333">
        <f t="shared" ref="AL138" si="1034">O138*$D138</f>
        <v>0</v>
      </c>
      <c r="AM138" s="346">
        <f t="shared" ref="AM138" si="1035">P138*$D138</f>
        <v>0</v>
      </c>
      <c r="AN138" s="333">
        <f t="shared" ref="AN138" si="1036">Q138*$D138</f>
        <v>0</v>
      </c>
      <c r="AO138" s="346">
        <f t="shared" ref="AO138" si="1037">R138*$D138</f>
        <v>0</v>
      </c>
      <c r="AP138" s="346">
        <f t="shared" ref="AP138" si="1038">S138*$D138</f>
        <v>0</v>
      </c>
      <c r="AQ138" s="346">
        <f t="shared" ref="AQ138" si="1039">T138*$D138</f>
        <v>0</v>
      </c>
      <c r="AR138" s="346">
        <f t="shared" si="552"/>
        <v>0</v>
      </c>
      <c r="AS138" s="346">
        <f t="shared" ref="AS138:AS147" si="1040">V138*$D138</f>
        <v>0</v>
      </c>
      <c r="AT138" s="346">
        <f t="shared" ref="AT138:AT147" si="1041">W138*$D138</f>
        <v>0</v>
      </c>
      <c r="AU138" s="346">
        <f t="shared" ref="AU138:AV147" si="1042">X138*$D138</f>
        <v>0</v>
      </c>
      <c r="AV138" s="346">
        <f t="shared" si="1042"/>
        <v>0</v>
      </c>
      <c r="AW138" s="346"/>
      <c r="AX138" s="346">
        <f t="shared" si="940"/>
        <v>0</v>
      </c>
      <c r="AY138" s="346">
        <f t="shared" si="940"/>
        <v>0</v>
      </c>
      <c r="AZ138" s="346">
        <f t="shared" si="940"/>
        <v>0</v>
      </c>
      <c r="BA138" s="346">
        <f t="shared" si="940"/>
        <v>0</v>
      </c>
      <c r="BB138" s="346">
        <f t="shared" si="940"/>
        <v>0</v>
      </c>
      <c r="BC138" s="346">
        <f t="shared" si="940"/>
        <v>1232.1400000000001</v>
      </c>
      <c r="BD138" s="346">
        <f t="shared" si="940"/>
        <v>0</v>
      </c>
      <c r="BE138" s="346">
        <f t="shared" si="940"/>
        <v>0</v>
      </c>
      <c r="BF138" s="346">
        <f t="shared" si="940"/>
        <v>0</v>
      </c>
      <c r="BG138" s="346">
        <f t="shared" si="940"/>
        <v>0</v>
      </c>
      <c r="BH138" s="346">
        <f t="shared" si="940"/>
        <v>0</v>
      </c>
      <c r="BI138" s="346">
        <f t="shared" si="940"/>
        <v>0</v>
      </c>
      <c r="BJ138" s="346">
        <f t="shared" si="940"/>
        <v>0</v>
      </c>
      <c r="BK138" s="346">
        <f t="shared" si="940"/>
        <v>0</v>
      </c>
      <c r="BL138" s="346">
        <f t="shared" si="940"/>
        <v>0</v>
      </c>
      <c r="BM138" s="346">
        <f t="shared" si="625"/>
        <v>0</v>
      </c>
      <c r="BN138" s="346">
        <f t="shared" si="625"/>
        <v>0</v>
      </c>
      <c r="BO138" s="346">
        <f t="shared" si="625"/>
        <v>0</v>
      </c>
      <c r="BP138" s="333">
        <f t="shared" si="625"/>
        <v>0</v>
      </c>
      <c r="BQ138" s="346">
        <f t="shared" si="625"/>
        <v>0</v>
      </c>
      <c r="BR138" s="370">
        <f t="shared" si="575"/>
        <v>0</v>
      </c>
      <c r="BS138" s="402">
        <f t="shared" si="578"/>
        <v>0</v>
      </c>
      <c r="BT138" s="402">
        <f t="shared" si="579"/>
        <v>0</v>
      </c>
    </row>
    <row r="139" spans="1:72" s="235" customFormat="1" ht="14.45" hidden="1" customHeight="1" x14ac:dyDescent="0.25">
      <c r="A139" s="235" t="s">
        <v>142</v>
      </c>
      <c r="B139" s="422" t="str">
        <f>VLOOKUP(A139,'DFP-Com'!$A$16:$B$50,2,1)</f>
        <v xml:space="preserve">     4.1.d  Other</v>
      </c>
      <c r="C139" s="344" t="s">
        <v>262</v>
      </c>
      <c r="D139" s="333">
        <v>1071.43</v>
      </c>
      <c r="E139" s="344" t="s">
        <v>191</v>
      </c>
      <c r="F139" s="345"/>
      <c r="G139" s="345">
        <v>0.24996100005199995</v>
      </c>
      <c r="H139" s="345">
        <v>0.25</v>
      </c>
      <c r="I139" s="345">
        <v>0.25</v>
      </c>
      <c r="J139" s="345">
        <v>0.25</v>
      </c>
      <c r="K139" s="345">
        <f>1-(G139+H139+I139+J139)</f>
        <v>3.8999948000051354E-5</v>
      </c>
      <c r="L139" s="417"/>
      <c r="M139" s="417"/>
      <c r="N139" s="417"/>
      <c r="O139" s="417"/>
      <c r="P139" s="417"/>
      <c r="Q139" s="417"/>
      <c r="R139" s="417"/>
      <c r="S139" s="417"/>
      <c r="T139" s="417"/>
      <c r="U139" s="417"/>
      <c r="V139" s="417"/>
      <c r="W139" s="417"/>
      <c r="X139" s="417"/>
      <c r="Y139" s="417"/>
      <c r="Z139" s="416">
        <f t="shared" si="1025"/>
        <v>1</v>
      </c>
      <c r="AA139" s="344"/>
      <c r="AB139" s="344"/>
      <c r="AC139" s="346">
        <f t="shared" ref="AC139" si="1043">F139*$D139</f>
        <v>0</v>
      </c>
      <c r="AD139" s="333">
        <f t="shared" ref="AD139" si="1044">G139*$D139</f>
        <v>267.81571428571431</v>
      </c>
      <c r="AE139" s="346">
        <f t="shared" ref="AE139" si="1045">H139*$D139</f>
        <v>267.85750000000002</v>
      </c>
      <c r="AF139" s="346">
        <f t="shared" ref="AF139" si="1046">I139*$D139</f>
        <v>267.85750000000002</v>
      </c>
      <c r="AG139" s="346">
        <f t="shared" si="924"/>
        <v>267.85750000000002</v>
      </c>
      <c r="AH139" s="346">
        <f t="shared" ref="AH139" si="1047">K139*$D139</f>
        <v>4.1785714285695025E-2</v>
      </c>
      <c r="AI139" s="346">
        <f t="shared" ref="AI139" si="1048">L139*$D139</f>
        <v>0</v>
      </c>
      <c r="AJ139" s="346">
        <f t="shared" ref="AJ139" si="1049">M139*$D139</f>
        <v>0</v>
      </c>
      <c r="AK139" s="415">
        <f t="shared" ref="AK139" si="1050">N139*$D139</f>
        <v>0</v>
      </c>
      <c r="AL139" s="333">
        <f t="shared" ref="AL139" si="1051">O139*$D139</f>
        <v>0</v>
      </c>
      <c r="AM139" s="346">
        <f t="shared" ref="AM139" si="1052">P139*$D139</f>
        <v>0</v>
      </c>
      <c r="AN139" s="333">
        <f t="shared" ref="AN139" si="1053">Q139*$D139</f>
        <v>0</v>
      </c>
      <c r="AO139" s="346">
        <f t="shared" ref="AO139" si="1054">R139*$D139</f>
        <v>0</v>
      </c>
      <c r="AP139" s="346">
        <f t="shared" ref="AP139" si="1055">S139*$D139</f>
        <v>0</v>
      </c>
      <c r="AQ139" s="346">
        <f t="shared" ref="AQ139" si="1056">T139*$D139</f>
        <v>0</v>
      </c>
      <c r="AR139" s="346">
        <f t="shared" si="552"/>
        <v>0</v>
      </c>
      <c r="AS139" s="346">
        <f t="shared" si="1040"/>
        <v>0</v>
      </c>
      <c r="AT139" s="346">
        <f t="shared" si="1041"/>
        <v>0</v>
      </c>
      <c r="AU139" s="346">
        <f t="shared" si="1042"/>
        <v>0</v>
      </c>
      <c r="AV139" s="346">
        <f t="shared" si="1042"/>
        <v>0</v>
      </c>
      <c r="AW139" s="346"/>
      <c r="AX139" s="346">
        <f t="shared" ref="AX139:BL146" si="1057">IF(AX$3=$E139,$D139,0)</f>
        <v>0</v>
      </c>
      <c r="AY139" s="346">
        <f t="shared" si="1057"/>
        <v>1071.43</v>
      </c>
      <c r="AZ139" s="346">
        <f t="shared" si="1057"/>
        <v>0</v>
      </c>
      <c r="BA139" s="346">
        <f t="shared" si="1057"/>
        <v>0</v>
      </c>
      <c r="BB139" s="346">
        <f t="shared" si="1057"/>
        <v>0</v>
      </c>
      <c r="BC139" s="346">
        <f t="shared" si="1057"/>
        <v>0</v>
      </c>
      <c r="BD139" s="346">
        <f t="shared" si="1057"/>
        <v>0</v>
      </c>
      <c r="BE139" s="346">
        <f t="shared" si="1057"/>
        <v>0</v>
      </c>
      <c r="BF139" s="346">
        <f t="shared" si="1057"/>
        <v>0</v>
      </c>
      <c r="BG139" s="346">
        <f t="shared" si="1057"/>
        <v>0</v>
      </c>
      <c r="BH139" s="346">
        <f t="shared" si="1057"/>
        <v>0</v>
      </c>
      <c r="BI139" s="346">
        <f t="shared" si="1057"/>
        <v>0</v>
      </c>
      <c r="BJ139" s="346">
        <f t="shared" si="1057"/>
        <v>0</v>
      </c>
      <c r="BK139" s="346">
        <f t="shared" si="1057"/>
        <v>0</v>
      </c>
      <c r="BL139" s="346">
        <f t="shared" si="1057"/>
        <v>0</v>
      </c>
      <c r="BM139" s="346">
        <f t="shared" si="625"/>
        <v>0</v>
      </c>
      <c r="BN139" s="346">
        <f t="shared" si="625"/>
        <v>0</v>
      </c>
      <c r="BO139" s="346">
        <f t="shared" si="625"/>
        <v>0</v>
      </c>
      <c r="BP139" s="333">
        <f t="shared" si="625"/>
        <v>0</v>
      </c>
      <c r="BQ139" s="346">
        <f t="shared" si="625"/>
        <v>0</v>
      </c>
      <c r="BR139" s="370">
        <f t="shared" si="575"/>
        <v>0</v>
      </c>
      <c r="BS139" s="402">
        <f t="shared" si="578"/>
        <v>0</v>
      </c>
      <c r="BT139" s="402">
        <f t="shared" si="579"/>
        <v>0</v>
      </c>
    </row>
    <row r="140" spans="1:72" s="235" customFormat="1" ht="14.45" hidden="1" customHeight="1" x14ac:dyDescent="0.25">
      <c r="A140" s="235" t="s">
        <v>142</v>
      </c>
      <c r="B140" s="422" t="str">
        <f>VLOOKUP(A140,'DFP-Com'!$A$16:$B$50,2,1)</f>
        <v xml:space="preserve">     4.1.d  Other</v>
      </c>
      <c r="C140" s="344" t="s">
        <v>290</v>
      </c>
      <c r="D140" s="333">
        <v>982.15</v>
      </c>
      <c r="E140" s="344" t="s">
        <v>165</v>
      </c>
      <c r="F140" s="345"/>
      <c r="G140" s="345">
        <v>0</v>
      </c>
      <c r="H140" s="345">
        <v>0</v>
      </c>
      <c r="I140" s="345">
        <v>0</v>
      </c>
      <c r="J140" s="345"/>
      <c r="K140" s="345">
        <v>0.27271801659624295</v>
      </c>
      <c r="L140" s="345">
        <v>0.27273838008450851</v>
      </c>
      <c r="M140" s="345">
        <v>9.0912793361502833E-2</v>
      </c>
      <c r="N140" s="345">
        <v>0</v>
      </c>
      <c r="O140" s="345">
        <v>0.36363080995774583</v>
      </c>
      <c r="P140" s="345"/>
      <c r="Q140" s="417"/>
      <c r="R140" s="417"/>
      <c r="S140" s="417"/>
      <c r="T140" s="417"/>
      <c r="U140" s="417"/>
      <c r="V140" s="417"/>
      <c r="W140" s="417"/>
      <c r="X140" s="417"/>
      <c r="Y140" s="417"/>
      <c r="Z140" s="416">
        <f t="shared" si="1025"/>
        <v>1.0000000000000002</v>
      </c>
      <c r="AA140" s="344"/>
      <c r="AB140" s="344"/>
      <c r="AC140" s="346">
        <f t="shared" ref="AC140" si="1058">F140*$D140</f>
        <v>0</v>
      </c>
      <c r="AD140" s="333">
        <f t="shared" ref="AD140" si="1059">G140*$D140</f>
        <v>0</v>
      </c>
      <c r="AE140" s="346">
        <f t="shared" ref="AE140" si="1060">H140*$D140</f>
        <v>0</v>
      </c>
      <c r="AF140" s="346">
        <f t="shared" ref="AF140" si="1061">I140*$D140</f>
        <v>0</v>
      </c>
      <c r="AG140" s="346">
        <f t="shared" ref="AG140" si="1062">J140*$D140</f>
        <v>0</v>
      </c>
      <c r="AH140" s="415">
        <f t="shared" ref="AH140" si="1063">K140*$D140</f>
        <v>267.85000000000002</v>
      </c>
      <c r="AI140" s="415">
        <f t="shared" ref="AI140" si="1064">L140*$D140</f>
        <v>267.87</v>
      </c>
      <c r="AJ140" s="415">
        <f t="shared" ref="AJ140" si="1065">M140*$D140</f>
        <v>89.29</v>
      </c>
      <c r="AK140" s="415">
        <f t="shared" ref="AK140" si="1066">N140*$D140</f>
        <v>0</v>
      </c>
      <c r="AL140" s="333">
        <f t="shared" ref="AL140" si="1067">O140*$D140</f>
        <v>357.14000000000004</v>
      </c>
      <c r="AM140" s="346">
        <f t="shared" ref="AM140" si="1068">P140*$D140</f>
        <v>0</v>
      </c>
      <c r="AN140" s="333">
        <f t="shared" ref="AN140" si="1069">Q140*$D140</f>
        <v>0</v>
      </c>
      <c r="AO140" s="346">
        <f t="shared" ref="AO140" si="1070">R140*$D140</f>
        <v>0</v>
      </c>
      <c r="AP140" s="346">
        <f t="shared" ref="AP140" si="1071">S140*$D140</f>
        <v>0</v>
      </c>
      <c r="AQ140" s="346">
        <f t="shared" ref="AQ140" si="1072">T140*$D140</f>
        <v>0</v>
      </c>
      <c r="AR140" s="346">
        <f t="shared" si="552"/>
        <v>0</v>
      </c>
      <c r="AS140" s="346">
        <f t="shared" si="1040"/>
        <v>0</v>
      </c>
      <c r="AT140" s="346">
        <f t="shared" si="1041"/>
        <v>0</v>
      </c>
      <c r="AU140" s="346">
        <f t="shared" si="1042"/>
        <v>0</v>
      </c>
      <c r="AV140" s="346">
        <f t="shared" si="1042"/>
        <v>0</v>
      </c>
      <c r="AW140" s="346"/>
      <c r="AX140" s="346">
        <f t="shared" si="1057"/>
        <v>0</v>
      </c>
      <c r="AY140" s="346">
        <f t="shared" si="1057"/>
        <v>0</v>
      </c>
      <c r="AZ140" s="346">
        <f t="shared" si="1057"/>
        <v>0</v>
      </c>
      <c r="BA140" s="346">
        <f t="shared" si="1057"/>
        <v>0</v>
      </c>
      <c r="BB140" s="346">
        <f t="shared" si="1057"/>
        <v>0</v>
      </c>
      <c r="BC140" s="333">
        <f t="shared" si="1057"/>
        <v>982.15</v>
      </c>
      <c r="BD140" s="346">
        <f t="shared" si="1057"/>
        <v>0</v>
      </c>
      <c r="BE140" s="346">
        <f t="shared" si="1057"/>
        <v>0</v>
      </c>
      <c r="BF140" s="346">
        <f t="shared" si="1057"/>
        <v>0</v>
      </c>
      <c r="BG140" s="346">
        <f t="shared" si="1057"/>
        <v>0</v>
      </c>
      <c r="BH140" s="346">
        <f t="shared" si="1057"/>
        <v>0</v>
      </c>
      <c r="BI140" s="346">
        <f t="shared" si="1057"/>
        <v>0</v>
      </c>
      <c r="BJ140" s="346">
        <f t="shared" si="1057"/>
        <v>0</v>
      </c>
      <c r="BK140" s="346">
        <f t="shared" si="1057"/>
        <v>0</v>
      </c>
      <c r="BL140" s="346">
        <f t="shared" si="1057"/>
        <v>0</v>
      </c>
      <c r="BM140" s="346">
        <f t="shared" si="625"/>
        <v>0</v>
      </c>
      <c r="BN140" s="346">
        <f t="shared" si="625"/>
        <v>0</v>
      </c>
      <c r="BO140" s="346">
        <f t="shared" si="625"/>
        <v>0</v>
      </c>
      <c r="BP140" s="333">
        <f t="shared" si="625"/>
        <v>0</v>
      </c>
      <c r="BQ140" s="346">
        <f t="shared" si="625"/>
        <v>0</v>
      </c>
      <c r="BR140" s="370">
        <f t="shared" si="575"/>
        <v>0</v>
      </c>
      <c r="BS140" s="402">
        <f t="shared" si="578"/>
        <v>0</v>
      </c>
      <c r="BT140" s="402">
        <f t="shared" si="579"/>
        <v>0</v>
      </c>
    </row>
    <row r="141" spans="1:72" s="235" customFormat="1" ht="14.45" hidden="1" customHeight="1" outlineLevel="1" x14ac:dyDescent="0.25">
      <c r="A141" s="235" t="s">
        <v>139</v>
      </c>
      <c r="B141" s="422" t="str">
        <f>VLOOKUP(A141,'DFP-Com'!$A$16:$B$50,2,1)</f>
        <v xml:space="preserve">     4.1.a  Staff Compensation*</v>
      </c>
      <c r="C141" s="344" t="s">
        <v>247</v>
      </c>
      <c r="D141" s="346">
        <v>30021.759999999998</v>
      </c>
      <c r="E141" s="417" t="s">
        <v>165</v>
      </c>
      <c r="F141" s="421">
        <v>0</v>
      </c>
      <c r="G141" s="421">
        <v>0</v>
      </c>
      <c r="H141" s="421">
        <v>0</v>
      </c>
      <c r="I141" s="421">
        <v>0</v>
      </c>
      <c r="J141" s="421">
        <v>0</v>
      </c>
      <c r="K141" s="421">
        <v>2706.88</v>
      </c>
      <c r="L141" s="421">
        <v>7628.48</v>
      </c>
      <c r="M141" s="421">
        <v>7505.44</v>
      </c>
      <c r="N141" s="421">
        <v>7751.52</v>
      </c>
      <c r="O141" s="421">
        <v>4429.4399999999996</v>
      </c>
      <c r="P141" s="421"/>
      <c r="Q141" s="421"/>
      <c r="R141" s="421"/>
      <c r="S141" s="421"/>
      <c r="T141" s="426"/>
      <c r="U141" s="426"/>
      <c r="V141" s="426"/>
      <c r="W141" s="426"/>
      <c r="X141" s="426"/>
      <c r="Y141" s="426"/>
      <c r="Z141" s="346">
        <f>SUM(F141:Y141)</f>
        <v>30021.759999999998</v>
      </c>
      <c r="AA141" s="344"/>
      <c r="AB141" s="344"/>
      <c r="AC141" s="346">
        <f t="shared" ref="AC141" si="1073">F141</f>
        <v>0</v>
      </c>
      <c r="AD141" s="346">
        <f t="shared" ref="AD141" si="1074">G141</f>
        <v>0</v>
      </c>
      <c r="AE141" s="346">
        <f t="shared" ref="AE141" si="1075">H141</f>
        <v>0</v>
      </c>
      <c r="AF141" s="346">
        <f t="shared" ref="AF141" si="1076">I141</f>
        <v>0</v>
      </c>
      <c r="AG141" s="346">
        <f t="shared" ref="AG141" si="1077">J141</f>
        <v>0</v>
      </c>
      <c r="AH141" s="346">
        <f t="shared" ref="AH141" si="1078">K141</f>
        <v>2706.88</v>
      </c>
      <c r="AI141" s="346">
        <f t="shared" ref="AI141" si="1079">L141</f>
        <v>7628.48</v>
      </c>
      <c r="AJ141" s="415">
        <f t="shared" ref="AJ141" si="1080">M141</f>
        <v>7505.44</v>
      </c>
      <c r="AK141" s="415">
        <f t="shared" ref="AK141" si="1081">N141</f>
        <v>7751.52</v>
      </c>
      <c r="AL141" s="346">
        <f t="shared" ref="AL141" si="1082">O141</f>
        <v>4429.4399999999996</v>
      </c>
      <c r="AM141" s="346">
        <f t="shared" ref="AM141" si="1083">P141</f>
        <v>0</v>
      </c>
      <c r="AN141" s="333">
        <f t="shared" ref="AN141" si="1084">Q141</f>
        <v>0</v>
      </c>
      <c r="AO141" s="333">
        <f t="shared" ref="AO141" si="1085">R141</f>
        <v>0</v>
      </c>
      <c r="AP141" s="346">
        <f t="shared" ref="AP141" si="1086">S141</f>
        <v>0</v>
      </c>
      <c r="AQ141" s="333">
        <f t="shared" ref="AQ141" si="1087">T141</f>
        <v>0</v>
      </c>
      <c r="AR141" s="346">
        <f>U141</f>
        <v>0</v>
      </c>
      <c r="AS141" s="346">
        <f>V141</f>
        <v>0</v>
      </c>
      <c r="AT141" s="346">
        <f>W141</f>
        <v>0</v>
      </c>
      <c r="AU141" s="346">
        <f>X141</f>
        <v>0</v>
      </c>
      <c r="AV141" s="346">
        <f>Y141</f>
        <v>0</v>
      </c>
      <c r="AW141" s="346"/>
      <c r="AX141" s="346">
        <f>IF(AX$149=$E141,SUM(AC141:AF141),0)</f>
        <v>0</v>
      </c>
      <c r="AY141" s="346">
        <f>IF(AY$149=$E141,SUM(AD141:AG141),0)</f>
        <v>0</v>
      </c>
      <c r="AZ141" s="346">
        <f>IF(AZ$149=$E141,SUM(AE141:AH141),0)</f>
        <v>0</v>
      </c>
      <c r="BA141" s="346">
        <f>IF(BA$149=$E141,SUM(AF141:AI141),0)</f>
        <v>0</v>
      </c>
      <c r="BB141" s="346">
        <f>IF(BB$149=$E141,SUM(AG141:AJ141),0)</f>
        <v>0</v>
      </c>
      <c r="BC141" s="346">
        <v>29991</v>
      </c>
      <c r="BD141" s="346">
        <f>IF(BD$149=$E141,SUM(AI141:AL141),0)</f>
        <v>0</v>
      </c>
      <c r="BE141" s="346">
        <f>IF(BE$149=$E141,SUM(AJ141:AM141),0)</f>
        <v>0</v>
      </c>
      <c r="BF141" s="346">
        <f>IF(BF$149=$E141,SUM(AK141:AN141),0)</f>
        <v>0</v>
      </c>
      <c r="BG141" s="346">
        <v>30.76</v>
      </c>
      <c r="BH141" s="346">
        <f t="shared" ref="BH141:BM141" si="1088">IF(BH$149=$E141,SUM(AM141:AP141),0)</f>
        <v>0</v>
      </c>
      <c r="BI141" s="346">
        <f t="shared" si="1088"/>
        <v>0</v>
      </c>
      <c r="BJ141" s="346">
        <f t="shared" si="1088"/>
        <v>0</v>
      </c>
      <c r="BK141" s="333">
        <f t="shared" si="1088"/>
        <v>0</v>
      </c>
      <c r="BL141" s="346">
        <f t="shared" si="1088"/>
        <v>0</v>
      </c>
      <c r="BM141" s="346">
        <f t="shared" si="1088"/>
        <v>0</v>
      </c>
      <c r="BN141" s="346">
        <f>IF(BN$149=$E141,SUM(AS141:AW141),0)</f>
        <v>0</v>
      </c>
      <c r="BO141" s="346">
        <f>IF(BO$149=$E141,SUM(AT141:AX141),0)</f>
        <v>0</v>
      </c>
      <c r="BP141" s="333">
        <f>IF(BP$149=$E141,SUM(AU141:AY141),0)</f>
        <v>0</v>
      </c>
      <c r="BQ141" s="346">
        <f>IF(BQ$149=$E141,SUM(AV141:AZ141),0)</f>
        <v>0</v>
      </c>
      <c r="BR141" s="370">
        <f t="shared" si="575"/>
        <v>0</v>
      </c>
      <c r="BS141" s="402">
        <f t="shared" si="578"/>
        <v>0</v>
      </c>
      <c r="BT141" s="402">
        <f t="shared" si="579"/>
        <v>0</v>
      </c>
    </row>
    <row r="142" spans="1:72" s="235" customFormat="1" ht="14.45" hidden="1" customHeight="1" x14ac:dyDescent="0.25">
      <c r="A142" s="235" t="s">
        <v>142</v>
      </c>
      <c r="B142" s="422" t="str">
        <f>VLOOKUP(A142,'DFP-Com'!$A$16:$B$50,2,1)</f>
        <v xml:space="preserve">     4.1.d  Other</v>
      </c>
      <c r="C142" s="344" t="s">
        <v>291</v>
      </c>
      <c r="D142" s="333">
        <v>714.25</v>
      </c>
      <c r="E142" s="344" t="s">
        <v>177</v>
      </c>
      <c r="F142" s="345"/>
      <c r="G142" s="345">
        <v>0</v>
      </c>
      <c r="H142" s="345">
        <v>0</v>
      </c>
      <c r="I142" s="345">
        <v>0</v>
      </c>
      <c r="J142" s="345"/>
      <c r="K142" s="345"/>
      <c r="L142" s="345">
        <v>0.37499474973748692</v>
      </c>
      <c r="M142" s="345">
        <v>0.12499824991249563</v>
      </c>
      <c r="N142" s="345">
        <v>0</v>
      </c>
      <c r="O142" s="345">
        <v>0.50000700035001755</v>
      </c>
      <c r="P142" s="345"/>
      <c r="Q142" s="417"/>
      <c r="R142" s="417"/>
      <c r="S142" s="417"/>
      <c r="T142" s="417"/>
      <c r="U142" s="417"/>
      <c r="V142" s="417"/>
      <c r="W142" s="417"/>
      <c r="X142" s="417"/>
      <c r="Y142" s="417"/>
      <c r="Z142" s="416">
        <f>SUM(F142:Y142)</f>
        <v>1</v>
      </c>
      <c r="AA142" s="344"/>
      <c r="AB142" s="344"/>
      <c r="AC142" s="346">
        <f t="shared" ref="AC142:AL144" si="1089">F142*$D142</f>
        <v>0</v>
      </c>
      <c r="AD142" s="333">
        <f t="shared" si="1089"/>
        <v>0</v>
      </c>
      <c r="AE142" s="346">
        <f t="shared" si="1089"/>
        <v>0</v>
      </c>
      <c r="AF142" s="346">
        <f t="shared" si="1089"/>
        <v>0</v>
      </c>
      <c r="AG142" s="346">
        <f t="shared" si="1089"/>
        <v>0</v>
      </c>
      <c r="AH142" s="346">
        <f t="shared" si="1089"/>
        <v>0</v>
      </c>
      <c r="AI142" s="415">
        <f t="shared" si="1089"/>
        <v>267.84000000000003</v>
      </c>
      <c r="AJ142" s="415">
        <f t="shared" si="1089"/>
        <v>89.28</v>
      </c>
      <c r="AK142" s="415">
        <f t="shared" si="1089"/>
        <v>0</v>
      </c>
      <c r="AL142" s="333">
        <f t="shared" si="1089"/>
        <v>357.13000000000005</v>
      </c>
      <c r="AM142" s="346">
        <f t="shared" ref="AM142:AV144" si="1090">P142*$D142</f>
        <v>0</v>
      </c>
      <c r="AN142" s="333">
        <f t="shared" si="1090"/>
        <v>0</v>
      </c>
      <c r="AO142" s="346">
        <f t="shared" si="1090"/>
        <v>0</v>
      </c>
      <c r="AP142" s="346">
        <f t="shared" si="1090"/>
        <v>0</v>
      </c>
      <c r="AQ142" s="346">
        <f t="shared" si="1090"/>
        <v>0</v>
      </c>
      <c r="AR142" s="346">
        <f t="shared" si="1090"/>
        <v>0</v>
      </c>
      <c r="AS142" s="346">
        <f t="shared" si="1090"/>
        <v>0</v>
      </c>
      <c r="AT142" s="346">
        <f t="shared" si="1090"/>
        <v>0</v>
      </c>
      <c r="AU142" s="346">
        <f t="shared" si="1090"/>
        <v>0</v>
      </c>
      <c r="AV142" s="346">
        <f t="shared" si="1090"/>
        <v>0</v>
      </c>
      <c r="AW142" s="346"/>
      <c r="AX142" s="346">
        <f t="shared" ref="AX142:BQ142" si="1091">IF(AX$3=$E142,$D142,0)</f>
        <v>0</v>
      </c>
      <c r="AY142" s="346">
        <f t="shared" si="1091"/>
        <v>0</v>
      </c>
      <c r="AZ142" s="346">
        <f t="shared" si="1091"/>
        <v>0</v>
      </c>
      <c r="BA142" s="346">
        <f t="shared" si="1091"/>
        <v>0</v>
      </c>
      <c r="BB142" s="346">
        <f t="shared" si="1091"/>
        <v>0</v>
      </c>
      <c r="BC142" s="346">
        <f t="shared" si="1091"/>
        <v>0</v>
      </c>
      <c r="BD142" s="333">
        <f t="shared" si="1091"/>
        <v>714.25</v>
      </c>
      <c r="BE142" s="346">
        <f t="shared" si="1091"/>
        <v>0</v>
      </c>
      <c r="BF142" s="346">
        <f t="shared" si="1091"/>
        <v>0</v>
      </c>
      <c r="BG142" s="346">
        <f t="shared" si="1091"/>
        <v>0</v>
      </c>
      <c r="BH142" s="346">
        <f t="shared" si="1091"/>
        <v>0</v>
      </c>
      <c r="BI142" s="346">
        <f t="shared" si="1091"/>
        <v>0</v>
      </c>
      <c r="BJ142" s="346">
        <f t="shared" si="1091"/>
        <v>0</v>
      </c>
      <c r="BK142" s="346">
        <f t="shared" si="1091"/>
        <v>0</v>
      </c>
      <c r="BL142" s="346">
        <f t="shared" si="1091"/>
        <v>0</v>
      </c>
      <c r="BM142" s="346">
        <f t="shared" si="1091"/>
        <v>0</v>
      </c>
      <c r="BN142" s="346">
        <f t="shared" si="1091"/>
        <v>0</v>
      </c>
      <c r="BO142" s="346">
        <f t="shared" si="1091"/>
        <v>0</v>
      </c>
      <c r="BP142" s="333">
        <f t="shared" si="1091"/>
        <v>0</v>
      </c>
      <c r="BQ142" s="346">
        <f t="shared" si="1091"/>
        <v>0</v>
      </c>
      <c r="BR142" s="370">
        <f t="shared" si="575"/>
        <v>0</v>
      </c>
      <c r="BS142" s="402">
        <f t="shared" si="578"/>
        <v>0</v>
      </c>
      <c r="BT142" s="402">
        <f t="shared" si="579"/>
        <v>0</v>
      </c>
    </row>
    <row r="143" spans="1:72" s="235" customFormat="1" ht="14.45" hidden="1" customHeight="1" x14ac:dyDescent="0.25">
      <c r="A143" s="235" t="s">
        <v>142</v>
      </c>
      <c r="B143" s="422" t="str">
        <f>VLOOKUP(A143,'DFP-Com'!$A$16:$B$50,2,1)</f>
        <v xml:space="preserve">     4.1.d  Other</v>
      </c>
      <c r="C143" s="344" t="s">
        <v>297</v>
      </c>
      <c r="D143" s="333">
        <v>7714.32</v>
      </c>
      <c r="E143" s="344" t="s">
        <v>250</v>
      </c>
      <c r="F143" s="345"/>
      <c r="G143" s="345">
        <v>0</v>
      </c>
      <c r="H143" s="345">
        <v>0</v>
      </c>
      <c r="I143" s="345">
        <v>0</v>
      </c>
      <c r="J143" s="345"/>
      <c r="K143" s="345">
        <v>0</v>
      </c>
      <c r="L143" s="345">
        <v>0</v>
      </c>
      <c r="M143" s="345">
        <v>0</v>
      </c>
      <c r="N143" s="345">
        <v>0</v>
      </c>
      <c r="O143" s="345">
        <v>0.33333333333333337</v>
      </c>
      <c r="P143" s="345">
        <v>0.25</v>
      </c>
      <c r="Q143" s="345">
        <v>0.25</v>
      </c>
      <c r="R143" s="345">
        <f>1-(O143+P143+Q143)</f>
        <v>0.16666666666666663</v>
      </c>
      <c r="S143" s="417"/>
      <c r="T143" s="417"/>
      <c r="U143" s="417"/>
      <c r="V143" s="417"/>
      <c r="W143" s="417"/>
      <c r="X143" s="417"/>
      <c r="Y143" s="417"/>
      <c r="Z143" s="416">
        <f t="shared" ref="Z143" si="1092">SUM(F143:Y143)</f>
        <v>1</v>
      </c>
      <c r="AA143" s="344"/>
      <c r="AB143" s="344"/>
      <c r="AC143" s="346">
        <f t="shared" si="1089"/>
        <v>0</v>
      </c>
      <c r="AD143" s="333">
        <f t="shared" si="1089"/>
        <v>0</v>
      </c>
      <c r="AE143" s="346">
        <f t="shared" si="1089"/>
        <v>0</v>
      </c>
      <c r="AF143" s="346">
        <f t="shared" si="1089"/>
        <v>0</v>
      </c>
      <c r="AG143" s="346">
        <f t="shared" si="1089"/>
        <v>0</v>
      </c>
      <c r="AH143" s="415">
        <f t="shared" si="1089"/>
        <v>0</v>
      </c>
      <c r="AI143" s="415">
        <f t="shared" si="1089"/>
        <v>0</v>
      </c>
      <c r="AJ143" s="415">
        <f t="shared" si="1089"/>
        <v>0</v>
      </c>
      <c r="AK143" s="415">
        <f t="shared" si="1089"/>
        <v>0</v>
      </c>
      <c r="AL143" s="333">
        <f t="shared" si="1089"/>
        <v>2571.44</v>
      </c>
      <c r="AM143" s="346">
        <f t="shared" si="1090"/>
        <v>1928.58</v>
      </c>
      <c r="AN143" s="333">
        <f t="shared" si="1090"/>
        <v>1928.58</v>
      </c>
      <c r="AO143" s="333">
        <f t="shared" si="1090"/>
        <v>1285.7199999999996</v>
      </c>
      <c r="AP143" s="346">
        <f t="shared" si="1090"/>
        <v>0</v>
      </c>
      <c r="AQ143" s="346">
        <f t="shared" si="1090"/>
        <v>0</v>
      </c>
      <c r="AR143" s="346">
        <f t="shared" si="1090"/>
        <v>0</v>
      </c>
      <c r="AS143" s="346">
        <f t="shared" si="1090"/>
        <v>0</v>
      </c>
      <c r="AT143" s="346">
        <f t="shared" si="1090"/>
        <v>0</v>
      </c>
      <c r="AU143" s="346">
        <f t="shared" si="1090"/>
        <v>0</v>
      </c>
      <c r="AV143" s="346">
        <f t="shared" si="1090"/>
        <v>0</v>
      </c>
      <c r="AW143" s="346"/>
      <c r="AX143" s="346">
        <f t="shared" si="1057"/>
        <v>0</v>
      </c>
      <c r="AY143" s="346">
        <f t="shared" si="1057"/>
        <v>0</v>
      </c>
      <c r="AZ143" s="346">
        <f t="shared" si="1057"/>
        <v>0</v>
      </c>
      <c r="BA143" s="346">
        <f t="shared" si="1057"/>
        <v>0</v>
      </c>
      <c r="BB143" s="346">
        <f t="shared" si="1057"/>
        <v>0</v>
      </c>
      <c r="BC143" s="346">
        <f t="shared" si="1057"/>
        <v>0</v>
      </c>
      <c r="BD143" s="346">
        <f t="shared" si="1057"/>
        <v>0</v>
      </c>
      <c r="BE143" s="346">
        <f t="shared" si="1057"/>
        <v>0</v>
      </c>
      <c r="BF143" s="346">
        <f t="shared" si="1057"/>
        <v>7714.32</v>
      </c>
      <c r="BG143" s="346">
        <f t="shared" si="1057"/>
        <v>0</v>
      </c>
      <c r="BH143" s="346">
        <f t="shared" si="1057"/>
        <v>0</v>
      </c>
      <c r="BI143" s="346">
        <f t="shared" si="1057"/>
        <v>0</v>
      </c>
      <c r="BJ143" s="346">
        <f t="shared" si="1057"/>
        <v>0</v>
      </c>
      <c r="BK143" s="346">
        <f t="shared" si="1057"/>
        <v>0</v>
      </c>
      <c r="BL143" s="346">
        <f t="shared" si="1057"/>
        <v>0</v>
      </c>
      <c r="BM143" s="346">
        <f t="shared" si="625"/>
        <v>0</v>
      </c>
      <c r="BN143" s="346">
        <f t="shared" si="625"/>
        <v>0</v>
      </c>
      <c r="BO143" s="346">
        <f t="shared" si="625"/>
        <v>0</v>
      </c>
      <c r="BP143" s="333">
        <f t="shared" si="625"/>
        <v>0</v>
      </c>
      <c r="BQ143" s="346">
        <f t="shared" si="625"/>
        <v>0</v>
      </c>
      <c r="BR143" s="370">
        <f t="shared" si="575"/>
        <v>0</v>
      </c>
      <c r="BS143" s="402">
        <f t="shared" si="578"/>
        <v>0</v>
      </c>
      <c r="BT143" s="402">
        <f t="shared" si="579"/>
        <v>0</v>
      </c>
    </row>
    <row r="144" spans="1:72" s="235" customFormat="1" ht="14.45" hidden="1" customHeight="1" x14ac:dyDescent="0.25">
      <c r="A144" s="235" t="s">
        <v>142</v>
      </c>
      <c r="B144" s="422" t="str">
        <f>VLOOKUP(A144,'DFP-Com'!$A$16:$B$50,2,1)</f>
        <v xml:space="preserve">     4.1.d  Other</v>
      </c>
      <c r="C144" s="344" t="s">
        <v>338</v>
      </c>
      <c r="D144" s="333">
        <v>4500.0200000000004</v>
      </c>
      <c r="E144" s="344" t="s">
        <v>305</v>
      </c>
      <c r="F144" s="345"/>
      <c r="G144" s="345">
        <v>0</v>
      </c>
      <c r="H144" s="345">
        <v>0</v>
      </c>
      <c r="I144" s="345">
        <v>0</v>
      </c>
      <c r="J144" s="345"/>
      <c r="K144" s="345">
        <v>0</v>
      </c>
      <c r="L144" s="345">
        <v>0</v>
      </c>
      <c r="M144" s="345">
        <v>0</v>
      </c>
      <c r="N144" s="345">
        <v>0</v>
      </c>
      <c r="O144" s="345">
        <v>0</v>
      </c>
      <c r="P144" s="345">
        <v>0</v>
      </c>
      <c r="Q144" s="345">
        <v>0</v>
      </c>
      <c r="R144" s="345">
        <v>0</v>
      </c>
      <c r="S144" s="418">
        <v>0.5714285714285714</v>
      </c>
      <c r="T144" s="418">
        <v>0.42857142857142849</v>
      </c>
      <c r="U144" s="418">
        <v>0</v>
      </c>
      <c r="V144" s="418">
        <v>0</v>
      </c>
      <c r="W144" s="417"/>
      <c r="X144" s="417"/>
      <c r="Y144" s="417"/>
      <c r="Z144" s="416">
        <f t="shared" ref="Z144" si="1093">SUM(F144:Y144)</f>
        <v>0.99999999999999989</v>
      </c>
      <c r="AA144" s="344"/>
      <c r="AB144" s="344"/>
      <c r="AC144" s="346">
        <f t="shared" si="1089"/>
        <v>0</v>
      </c>
      <c r="AD144" s="333">
        <f t="shared" si="1089"/>
        <v>0</v>
      </c>
      <c r="AE144" s="346">
        <f t="shared" si="1089"/>
        <v>0</v>
      </c>
      <c r="AF144" s="346">
        <f t="shared" si="1089"/>
        <v>0</v>
      </c>
      <c r="AG144" s="346">
        <f t="shared" si="1089"/>
        <v>0</v>
      </c>
      <c r="AH144" s="415">
        <f t="shared" si="1089"/>
        <v>0</v>
      </c>
      <c r="AI144" s="415">
        <f t="shared" si="1089"/>
        <v>0</v>
      </c>
      <c r="AJ144" s="415">
        <f t="shared" si="1089"/>
        <v>0</v>
      </c>
      <c r="AK144" s="415">
        <f t="shared" si="1089"/>
        <v>0</v>
      </c>
      <c r="AL144" s="333">
        <f t="shared" si="1089"/>
        <v>0</v>
      </c>
      <c r="AM144" s="346">
        <f t="shared" si="1090"/>
        <v>0</v>
      </c>
      <c r="AN144" s="333">
        <f t="shared" si="1090"/>
        <v>0</v>
      </c>
      <c r="AO144" s="333">
        <f t="shared" si="1090"/>
        <v>0</v>
      </c>
      <c r="AP144" s="333">
        <f t="shared" si="1090"/>
        <v>2571.44</v>
      </c>
      <c r="AQ144" s="333">
        <f t="shared" si="1090"/>
        <v>1928.58</v>
      </c>
      <c r="AR144" s="346">
        <f t="shared" si="1090"/>
        <v>0</v>
      </c>
      <c r="AS144" s="346">
        <f t="shared" si="1090"/>
        <v>0</v>
      </c>
      <c r="AT144" s="346">
        <f t="shared" si="1090"/>
        <v>0</v>
      </c>
      <c r="AU144" s="346">
        <f t="shared" si="1090"/>
        <v>0</v>
      </c>
      <c r="AV144" s="346">
        <f t="shared" si="1090"/>
        <v>0</v>
      </c>
      <c r="AW144" s="346"/>
      <c r="AX144" s="346">
        <f t="shared" si="1057"/>
        <v>0</v>
      </c>
      <c r="AY144" s="346">
        <f t="shared" si="1057"/>
        <v>0</v>
      </c>
      <c r="AZ144" s="346">
        <f t="shared" si="1057"/>
        <v>0</v>
      </c>
      <c r="BA144" s="346">
        <f t="shared" si="1057"/>
        <v>0</v>
      </c>
      <c r="BB144" s="346">
        <f t="shared" si="1057"/>
        <v>0</v>
      </c>
      <c r="BC144" s="346">
        <f t="shared" si="1057"/>
        <v>0</v>
      </c>
      <c r="BD144" s="346">
        <f t="shared" si="1057"/>
        <v>0</v>
      </c>
      <c r="BE144" s="346">
        <f t="shared" si="1057"/>
        <v>0</v>
      </c>
      <c r="BF144" s="346">
        <f t="shared" si="1057"/>
        <v>0</v>
      </c>
      <c r="BG144" s="346">
        <f t="shared" si="1057"/>
        <v>0</v>
      </c>
      <c r="BH144" s="346">
        <f t="shared" si="1057"/>
        <v>0</v>
      </c>
      <c r="BI144" s="346">
        <f t="shared" si="1057"/>
        <v>0</v>
      </c>
      <c r="BJ144" s="333">
        <v>7214</v>
      </c>
      <c r="BK144" s="346">
        <v>500.32</v>
      </c>
      <c r="BL144" s="346">
        <v>-3214.3</v>
      </c>
      <c r="BM144" s="346">
        <f t="shared" si="625"/>
        <v>0</v>
      </c>
      <c r="BN144" s="346">
        <f t="shared" si="625"/>
        <v>0</v>
      </c>
      <c r="BO144" s="346">
        <f t="shared" si="625"/>
        <v>0</v>
      </c>
      <c r="BP144" s="333">
        <f t="shared" si="625"/>
        <v>0</v>
      </c>
      <c r="BQ144" s="346">
        <f t="shared" si="625"/>
        <v>0</v>
      </c>
      <c r="BR144" s="370">
        <f t="shared" ref="BR144" si="1094">SUM(AC144:AV144)-SUM(AX144:BQ144)</f>
        <v>0</v>
      </c>
      <c r="BS144" s="402">
        <f t="shared" si="578"/>
        <v>0</v>
      </c>
      <c r="BT144" s="402">
        <f t="shared" si="579"/>
        <v>0</v>
      </c>
    </row>
    <row r="145" spans="1:72" s="235" customFormat="1" ht="14.45" hidden="1" customHeight="1" x14ac:dyDescent="0.25">
      <c r="A145" s="235" t="s">
        <v>142</v>
      </c>
      <c r="B145" s="422" t="str">
        <f>VLOOKUP(A145,'DFP-Com'!$A$16:$B$50,2,1)</f>
        <v xml:space="preserve">     4.1.d  Other</v>
      </c>
      <c r="C145" s="344" t="s">
        <v>353</v>
      </c>
      <c r="D145" s="487">
        <v>267.87</v>
      </c>
      <c r="E145" s="344" t="s">
        <v>204</v>
      </c>
      <c r="F145" s="345"/>
      <c r="G145" s="345">
        <v>0</v>
      </c>
      <c r="H145" s="345">
        <v>0</v>
      </c>
      <c r="I145" s="345">
        <v>0</v>
      </c>
      <c r="J145" s="345"/>
      <c r="K145" s="345">
        <v>0</v>
      </c>
      <c r="L145" s="345">
        <v>0</v>
      </c>
      <c r="M145" s="345">
        <v>0</v>
      </c>
      <c r="N145" s="345">
        <v>0</v>
      </c>
      <c r="O145" s="345">
        <v>0</v>
      </c>
      <c r="P145" s="345">
        <v>0</v>
      </c>
      <c r="Q145" s="345">
        <v>0</v>
      </c>
      <c r="R145" s="345">
        <v>0</v>
      </c>
      <c r="S145" s="345">
        <v>0</v>
      </c>
      <c r="T145" s="345">
        <v>1</v>
      </c>
      <c r="U145" s="345">
        <v>0</v>
      </c>
      <c r="V145" s="418">
        <v>0</v>
      </c>
      <c r="W145" s="418">
        <v>0</v>
      </c>
      <c r="X145" s="418">
        <v>0</v>
      </c>
      <c r="Y145" s="417"/>
      <c r="Z145" s="416">
        <f t="shared" ref="Z145" si="1095">SUM(F145:Y145)</f>
        <v>1</v>
      </c>
      <c r="AA145" s="344"/>
      <c r="AB145" s="344"/>
      <c r="AC145" s="346">
        <f t="shared" ref="AC145" si="1096">F145*$D145</f>
        <v>0</v>
      </c>
      <c r="AD145" s="333">
        <f t="shared" ref="AD145" si="1097">G145*$D145</f>
        <v>0</v>
      </c>
      <c r="AE145" s="346">
        <f t="shared" ref="AE145" si="1098">H145*$D145</f>
        <v>0</v>
      </c>
      <c r="AF145" s="346">
        <f t="shared" ref="AF145" si="1099">I145*$D145</f>
        <v>0</v>
      </c>
      <c r="AG145" s="346">
        <f t="shared" ref="AG145" si="1100">J145*$D145</f>
        <v>0</v>
      </c>
      <c r="AH145" s="415">
        <f t="shared" ref="AH145" si="1101">K145*$D145</f>
        <v>0</v>
      </c>
      <c r="AI145" s="415">
        <f t="shared" ref="AI145" si="1102">L145*$D145</f>
        <v>0</v>
      </c>
      <c r="AJ145" s="415">
        <f t="shared" ref="AJ145" si="1103">M145*$D145</f>
        <v>0</v>
      </c>
      <c r="AK145" s="415">
        <f t="shared" ref="AK145" si="1104">N145*$D145</f>
        <v>0</v>
      </c>
      <c r="AL145" s="333">
        <f t="shared" ref="AL145" si="1105">O145*$D145</f>
        <v>0</v>
      </c>
      <c r="AM145" s="346">
        <f t="shared" ref="AM145" si="1106">P145*$D145</f>
        <v>0</v>
      </c>
      <c r="AN145" s="333">
        <f t="shared" ref="AN145" si="1107">Q145*$D145</f>
        <v>0</v>
      </c>
      <c r="AO145" s="333">
        <f t="shared" ref="AO145" si="1108">R145*$D145</f>
        <v>0</v>
      </c>
      <c r="AP145" s="333">
        <f t="shared" ref="AP145" si="1109">S145*$D145</f>
        <v>0</v>
      </c>
      <c r="AQ145" s="333">
        <f t="shared" ref="AQ145" si="1110">T145*$D145</f>
        <v>267.87</v>
      </c>
      <c r="AR145" s="333">
        <f t="shared" ref="AR145" si="1111">U145*$D145</f>
        <v>0</v>
      </c>
      <c r="AS145" s="333">
        <f t="shared" ref="AS145" si="1112">V145*$D145</f>
        <v>0</v>
      </c>
      <c r="AT145" s="346">
        <f t="shared" ref="AT145" si="1113">W145*$D145</f>
        <v>0</v>
      </c>
      <c r="AU145" s="346">
        <f t="shared" ref="AU145:AV145" si="1114">X145*$D145</f>
        <v>0</v>
      </c>
      <c r="AV145" s="346">
        <f t="shared" si="1114"/>
        <v>0</v>
      </c>
      <c r="AW145" s="346"/>
      <c r="AX145" s="346">
        <f t="shared" si="1057"/>
        <v>0</v>
      </c>
      <c r="AY145" s="346">
        <f t="shared" si="1057"/>
        <v>0</v>
      </c>
      <c r="AZ145" s="346">
        <f t="shared" si="1057"/>
        <v>0</v>
      </c>
      <c r="BA145" s="346">
        <f t="shared" si="1057"/>
        <v>0</v>
      </c>
      <c r="BB145" s="346">
        <f t="shared" si="1057"/>
        <v>0</v>
      </c>
      <c r="BC145" s="346">
        <f t="shared" si="1057"/>
        <v>0</v>
      </c>
      <c r="BD145" s="346">
        <f t="shared" si="1057"/>
        <v>0</v>
      </c>
      <c r="BE145" s="346">
        <f t="shared" si="1057"/>
        <v>0</v>
      </c>
      <c r="BF145" s="346">
        <f t="shared" si="1057"/>
        <v>0</v>
      </c>
      <c r="BG145" s="346">
        <f t="shared" si="1057"/>
        <v>0</v>
      </c>
      <c r="BH145" s="346">
        <f t="shared" si="1057"/>
        <v>0</v>
      </c>
      <c r="BI145" s="346">
        <f t="shared" si="1057"/>
        <v>0</v>
      </c>
      <c r="BJ145" s="333">
        <f t="shared" si="1057"/>
        <v>0</v>
      </c>
      <c r="BK145" s="346">
        <f t="shared" si="1057"/>
        <v>0</v>
      </c>
      <c r="BL145" s="346">
        <f t="shared" si="1057"/>
        <v>267.87</v>
      </c>
      <c r="BM145" s="346">
        <f t="shared" si="625"/>
        <v>0</v>
      </c>
      <c r="BN145" s="346">
        <f t="shared" si="625"/>
        <v>0</v>
      </c>
      <c r="BO145" s="346">
        <f t="shared" si="625"/>
        <v>0</v>
      </c>
      <c r="BP145" s="333">
        <f t="shared" si="625"/>
        <v>0</v>
      </c>
      <c r="BQ145" s="346">
        <f t="shared" si="625"/>
        <v>0</v>
      </c>
      <c r="BR145" s="370">
        <f t="shared" si="575"/>
        <v>0</v>
      </c>
      <c r="BS145" s="402">
        <f t="shared" si="578"/>
        <v>0</v>
      </c>
      <c r="BT145" s="402">
        <f t="shared" si="579"/>
        <v>0</v>
      </c>
    </row>
    <row r="146" spans="1:72" s="235" customFormat="1" ht="14.45" hidden="1" customHeight="1" x14ac:dyDescent="0.25">
      <c r="A146" s="235" t="s">
        <v>142</v>
      </c>
      <c r="B146" s="422" t="str">
        <f>VLOOKUP(A146,'DFP-Com'!$A$16:$B$50,2,1)</f>
        <v xml:space="preserve">     4.1.d  Other</v>
      </c>
      <c r="C146" s="344" t="s">
        <v>353</v>
      </c>
      <c r="D146" s="333">
        <v>13573</v>
      </c>
      <c r="E146" s="344" t="s">
        <v>350</v>
      </c>
      <c r="F146" s="345"/>
      <c r="G146" s="345">
        <v>0</v>
      </c>
      <c r="H146" s="345">
        <v>0</v>
      </c>
      <c r="I146" s="345">
        <v>0</v>
      </c>
      <c r="J146" s="345"/>
      <c r="K146" s="345">
        <v>0</v>
      </c>
      <c r="L146" s="345">
        <v>0</v>
      </c>
      <c r="M146" s="345">
        <v>0</v>
      </c>
      <c r="N146" s="345">
        <v>0</v>
      </c>
      <c r="O146" s="345">
        <v>0</v>
      </c>
      <c r="P146" s="345">
        <v>0</v>
      </c>
      <c r="Q146" s="345">
        <v>0</v>
      </c>
      <c r="R146" s="345">
        <v>0</v>
      </c>
      <c r="S146" s="345">
        <v>0</v>
      </c>
      <c r="T146" s="345">
        <v>0</v>
      </c>
      <c r="U146" s="345">
        <v>0.24050688867604805</v>
      </c>
      <c r="V146" s="418">
        <v>0.37974655566197602</v>
      </c>
      <c r="W146" s="418">
        <v>0.37974655566197602</v>
      </c>
      <c r="X146" s="418">
        <v>0</v>
      </c>
      <c r="Y146" s="417"/>
      <c r="Z146" s="416">
        <f t="shared" ref="Z146" si="1115">SUM(F146:Y146)</f>
        <v>1</v>
      </c>
      <c r="AA146" s="344"/>
      <c r="AB146" s="344"/>
      <c r="AC146" s="346">
        <f t="shared" ref="AC146" si="1116">F146*$D146</f>
        <v>0</v>
      </c>
      <c r="AD146" s="333">
        <f t="shared" ref="AD146" si="1117">G146*$D146</f>
        <v>0</v>
      </c>
      <c r="AE146" s="346">
        <f t="shared" ref="AE146" si="1118">H146*$D146</f>
        <v>0</v>
      </c>
      <c r="AF146" s="346">
        <f t="shared" ref="AF146" si="1119">I146*$D146</f>
        <v>0</v>
      </c>
      <c r="AG146" s="346">
        <f t="shared" ref="AG146" si="1120">J146*$D146</f>
        <v>0</v>
      </c>
      <c r="AH146" s="415">
        <f t="shared" ref="AH146" si="1121">K146*$D146</f>
        <v>0</v>
      </c>
      <c r="AI146" s="415">
        <f t="shared" ref="AI146" si="1122">L146*$D146</f>
        <v>0</v>
      </c>
      <c r="AJ146" s="415">
        <f t="shared" ref="AJ146" si="1123">M146*$D146</f>
        <v>0</v>
      </c>
      <c r="AK146" s="415">
        <f t="shared" ref="AK146" si="1124">N146*$D146</f>
        <v>0</v>
      </c>
      <c r="AL146" s="333">
        <f t="shared" ref="AL146" si="1125">O146*$D146</f>
        <v>0</v>
      </c>
      <c r="AM146" s="346">
        <f t="shared" ref="AM146" si="1126">P146*$D146</f>
        <v>0</v>
      </c>
      <c r="AN146" s="333">
        <f t="shared" ref="AN146" si="1127">Q146*$D146</f>
        <v>0</v>
      </c>
      <c r="AO146" s="333">
        <f t="shared" ref="AO146" si="1128">R146*$D146</f>
        <v>0</v>
      </c>
      <c r="AP146" s="333">
        <f t="shared" ref="AP146" si="1129">S146*$D146</f>
        <v>0</v>
      </c>
      <c r="AQ146" s="333">
        <f t="shared" ref="AQ146" si="1130">T146*$D146</f>
        <v>0</v>
      </c>
      <c r="AR146" s="333">
        <f t="shared" ref="AR146" si="1131">U146*$D146</f>
        <v>3264.4</v>
      </c>
      <c r="AS146" s="333">
        <f t="shared" ref="AS146" si="1132">V146*$D146</f>
        <v>5154.3</v>
      </c>
      <c r="AT146" s="346">
        <f t="shared" ref="AT146" si="1133">W146*$D146</f>
        <v>5154.3</v>
      </c>
      <c r="AU146" s="346">
        <f t="shared" ref="AU146" si="1134">X146*$D146</f>
        <v>0</v>
      </c>
      <c r="AV146" s="346">
        <f t="shared" ref="AV146" si="1135">Y146*$D146</f>
        <v>0</v>
      </c>
      <c r="AW146" s="346"/>
      <c r="AX146" s="346">
        <f t="shared" si="1057"/>
        <v>0</v>
      </c>
      <c r="AY146" s="346">
        <f t="shared" si="1057"/>
        <v>0</v>
      </c>
      <c r="AZ146" s="346">
        <f t="shared" si="1057"/>
        <v>0</v>
      </c>
      <c r="BA146" s="346">
        <f t="shared" si="1057"/>
        <v>0</v>
      </c>
      <c r="BB146" s="346">
        <f t="shared" si="1057"/>
        <v>0</v>
      </c>
      <c r="BC146" s="346">
        <f t="shared" si="1057"/>
        <v>0</v>
      </c>
      <c r="BD146" s="346">
        <f t="shared" si="1057"/>
        <v>0</v>
      </c>
      <c r="BE146" s="346">
        <f t="shared" si="1057"/>
        <v>0</v>
      </c>
      <c r="BF146" s="346">
        <f t="shared" si="1057"/>
        <v>0</v>
      </c>
      <c r="BG146" s="346">
        <f t="shared" si="1057"/>
        <v>0</v>
      </c>
      <c r="BH146" s="346">
        <f t="shared" si="1057"/>
        <v>0</v>
      </c>
      <c r="BI146" s="346">
        <f t="shared" si="1057"/>
        <v>0</v>
      </c>
      <c r="BJ146" s="333">
        <f t="shared" si="1057"/>
        <v>0</v>
      </c>
      <c r="BK146" s="346">
        <f t="shared" si="1057"/>
        <v>0</v>
      </c>
      <c r="BL146" s="346">
        <f t="shared" si="1057"/>
        <v>0</v>
      </c>
      <c r="BM146" s="346">
        <f t="shared" si="625"/>
        <v>13573</v>
      </c>
      <c r="BN146" s="346">
        <f t="shared" si="625"/>
        <v>0</v>
      </c>
      <c r="BO146" s="346">
        <f t="shared" si="625"/>
        <v>0</v>
      </c>
      <c r="BP146" s="333">
        <f t="shared" si="625"/>
        <v>0</v>
      </c>
      <c r="BQ146" s="346">
        <f t="shared" si="625"/>
        <v>0</v>
      </c>
      <c r="BR146" s="370">
        <f t="shared" ref="BR146" si="1136">SUM(AC146:AV146)-SUM(AX146:BQ146)</f>
        <v>0</v>
      </c>
      <c r="BS146" s="402">
        <f t="shared" si="578"/>
        <v>0</v>
      </c>
      <c r="BT146" s="402">
        <f t="shared" si="579"/>
        <v>0</v>
      </c>
    </row>
    <row r="147" spans="1:72" s="235" customFormat="1" ht="14.45" hidden="1" customHeight="1" x14ac:dyDescent="0.25">
      <c r="B147" s="235" t="e">
        <f>VLOOKUP(A147,'DFP-Com'!$A$16:$B$50,2,1)</f>
        <v>#N/A</v>
      </c>
      <c r="C147" s="344" t="s">
        <v>196</v>
      </c>
      <c r="D147" s="346"/>
      <c r="E147" s="344"/>
      <c r="F147" s="344"/>
      <c r="G147" s="344"/>
      <c r="H147" s="344"/>
      <c r="I147" s="345"/>
      <c r="J147" s="345"/>
      <c r="K147" s="345"/>
      <c r="L147" s="345"/>
      <c r="M147" s="345"/>
      <c r="N147" s="345"/>
      <c r="O147" s="345"/>
      <c r="P147" s="345"/>
      <c r="Q147" s="344"/>
      <c r="R147" s="333"/>
      <c r="S147" s="344"/>
      <c r="T147" s="344"/>
      <c r="U147" s="344"/>
      <c r="V147" s="344"/>
      <c r="W147" s="344"/>
      <c r="X147" s="344"/>
      <c r="Y147" s="344"/>
      <c r="Z147" s="344"/>
      <c r="AA147" s="344"/>
      <c r="AB147" s="344"/>
      <c r="AC147" s="346">
        <f t="shared" ref="AC147" si="1137">F147*$D147</f>
        <v>0</v>
      </c>
      <c r="AD147" s="333">
        <f t="shared" ref="AD147" si="1138">G147*$D147</f>
        <v>0</v>
      </c>
      <c r="AE147" s="346">
        <f t="shared" ref="AE147" si="1139">H147*$D147</f>
        <v>0</v>
      </c>
      <c r="AF147" s="346">
        <f t="shared" ref="AF147" si="1140">I147*$D147</f>
        <v>0</v>
      </c>
      <c r="AG147" s="346">
        <f t="shared" ref="AG147" si="1141">J147*$D147</f>
        <v>0</v>
      </c>
      <c r="AH147" s="346">
        <f t="shared" ref="AH147" si="1142">K147*$D147</f>
        <v>0</v>
      </c>
      <c r="AI147" s="346">
        <f t="shared" ref="AI147" si="1143">L147*$D147</f>
        <v>0</v>
      </c>
      <c r="AJ147" s="346">
        <f t="shared" ref="AJ147" si="1144">M147*$D147</f>
        <v>0</v>
      </c>
      <c r="AK147" s="346">
        <f t="shared" ref="AK147" si="1145">N147*$D147</f>
        <v>0</v>
      </c>
      <c r="AL147" s="333">
        <f t="shared" ref="AL147" si="1146">O147*$D147</f>
        <v>0</v>
      </c>
      <c r="AM147" s="346">
        <f t="shared" ref="AM147" si="1147">P147*$D147</f>
        <v>0</v>
      </c>
      <c r="AN147" s="346">
        <f t="shared" ref="AN147" si="1148">Q147*$D147</f>
        <v>0</v>
      </c>
      <c r="AO147" s="346">
        <f t="shared" ref="AO147" si="1149">R147*$D147</f>
        <v>0</v>
      </c>
      <c r="AP147" s="346">
        <f t="shared" ref="AP147" si="1150">S147*$D147</f>
        <v>0</v>
      </c>
      <c r="AQ147" s="346">
        <f t="shared" ref="AQ147" si="1151">T147*$D147</f>
        <v>0</v>
      </c>
      <c r="AR147" s="346">
        <f t="shared" si="552"/>
        <v>0</v>
      </c>
      <c r="AS147" s="346">
        <f t="shared" si="1040"/>
        <v>0</v>
      </c>
      <c r="AT147" s="346">
        <f t="shared" si="1041"/>
        <v>0</v>
      </c>
      <c r="AU147" s="346">
        <f t="shared" si="1042"/>
        <v>0</v>
      </c>
      <c r="AV147" s="346"/>
      <c r="AW147" s="346"/>
      <c r="AX147" s="346">
        <f t="shared" ref="AX147:BQ147" si="1152">IF(AX$3=$E147,$D147,0)</f>
        <v>0</v>
      </c>
      <c r="AY147" s="346">
        <f t="shared" si="1152"/>
        <v>0</v>
      </c>
      <c r="AZ147" s="346">
        <f t="shared" si="1152"/>
        <v>0</v>
      </c>
      <c r="BA147" s="346">
        <f t="shared" si="1152"/>
        <v>0</v>
      </c>
      <c r="BB147" s="346">
        <f t="shared" si="1152"/>
        <v>0</v>
      </c>
      <c r="BC147" s="346">
        <f t="shared" si="1152"/>
        <v>0</v>
      </c>
      <c r="BD147" s="346">
        <f t="shared" si="1152"/>
        <v>0</v>
      </c>
      <c r="BE147" s="346">
        <f t="shared" si="1152"/>
        <v>0</v>
      </c>
      <c r="BF147" s="346">
        <f t="shared" si="1152"/>
        <v>0</v>
      </c>
      <c r="BG147" s="346">
        <f t="shared" si="1152"/>
        <v>0</v>
      </c>
      <c r="BH147" s="346">
        <f t="shared" si="1152"/>
        <v>0</v>
      </c>
      <c r="BI147" s="346">
        <f t="shared" si="1152"/>
        <v>0</v>
      </c>
      <c r="BJ147" s="346">
        <f t="shared" si="1152"/>
        <v>0</v>
      </c>
      <c r="BK147" s="346">
        <f t="shared" si="1152"/>
        <v>0</v>
      </c>
      <c r="BL147" s="346">
        <f t="shared" si="1152"/>
        <v>0</v>
      </c>
      <c r="BM147" s="346">
        <f t="shared" si="1152"/>
        <v>0</v>
      </c>
      <c r="BN147" s="346">
        <f t="shared" si="1152"/>
        <v>0</v>
      </c>
      <c r="BO147" s="346">
        <f t="shared" si="1152"/>
        <v>0</v>
      </c>
      <c r="BP147" s="346">
        <f t="shared" si="1152"/>
        <v>0</v>
      </c>
      <c r="BQ147" s="346">
        <f t="shared" si="1152"/>
        <v>0</v>
      </c>
      <c r="BR147" s="370">
        <f t="shared" si="575"/>
        <v>0</v>
      </c>
      <c r="BS147" s="402">
        <f t="shared" si="578"/>
        <v>0</v>
      </c>
      <c r="BT147" s="402">
        <f t="shared" si="579"/>
        <v>0</v>
      </c>
    </row>
    <row r="148" spans="1:72" s="235" customFormat="1" ht="14.45" hidden="1" customHeight="1" x14ac:dyDescent="0.25">
      <c r="C148" s="344"/>
      <c r="D148" s="344" t="s">
        <v>161</v>
      </c>
      <c r="E148" s="344"/>
      <c r="F148" s="344" t="s">
        <v>144</v>
      </c>
      <c r="G148" s="344" t="s">
        <v>148</v>
      </c>
      <c r="H148" s="344" t="s">
        <v>149</v>
      </c>
      <c r="I148" s="345" t="s">
        <v>150</v>
      </c>
      <c r="J148" s="345" t="s">
        <v>151</v>
      </c>
      <c r="K148" s="345" t="s">
        <v>152</v>
      </c>
      <c r="L148" s="345" t="s">
        <v>153</v>
      </c>
      <c r="M148" s="345" t="s">
        <v>154</v>
      </c>
      <c r="N148" s="345" t="s">
        <v>155</v>
      </c>
      <c r="O148" s="345" t="s">
        <v>156</v>
      </c>
      <c r="P148" s="345" t="s">
        <v>157</v>
      </c>
      <c r="Q148" s="344" t="s">
        <v>158</v>
      </c>
      <c r="R148" s="344" t="s">
        <v>159</v>
      </c>
      <c r="S148" s="344" t="s">
        <v>160</v>
      </c>
      <c r="T148" s="344" t="s">
        <v>162</v>
      </c>
      <c r="U148" s="358" t="s">
        <v>259</v>
      </c>
      <c r="V148" s="358"/>
      <c r="W148" s="358"/>
      <c r="X148" s="358"/>
      <c r="Y148" s="358"/>
      <c r="Z148" s="344" t="s">
        <v>161</v>
      </c>
      <c r="AA148" s="344"/>
      <c r="AB148" s="344"/>
      <c r="AC148" s="346"/>
      <c r="AD148" s="333"/>
      <c r="AE148" s="346"/>
      <c r="AF148" s="346"/>
      <c r="AG148" s="346"/>
      <c r="AH148" s="346"/>
      <c r="AI148" s="346"/>
      <c r="AJ148" s="346"/>
      <c r="AK148" s="346"/>
      <c r="AL148" s="333"/>
      <c r="AM148" s="346"/>
      <c r="AN148" s="346"/>
      <c r="AO148" s="346"/>
      <c r="AP148" s="346"/>
      <c r="AQ148" s="346"/>
      <c r="AR148" s="346"/>
      <c r="AS148" s="346"/>
      <c r="AT148" s="346"/>
      <c r="AU148" s="346"/>
      <c r="AV148" s="346"/>
      <c r="AW148" s="346"/>
      <c r="AX148" s="346"/>
      <c r="AY148" s="346"/>
      <c r="AZ148" s="346"/>
      <c r="BA148" s="346"/>
      <c r="BB148" s="346"/>
      <c r="BC148" s="346"/>
      <c r="BD148" s="346"/>
      <c r="BE148" s="346"/>
      <c r="BF148" s="344"/>
      <c r="BG148" s="344"/>
      <c r="BH148" s="344"/>
      <c r="BI148" s="344"/>
      <c r="BJ148" s="344"/>
      <c r="BK148" s="344"/>
      <c r="BL148" s="344"/>
      <c r="BM148" s="344"/>
      <c r="BN148" s="344"/>
      <c r="BO148" s="344"/>
      <c r="BP148" s="344"/>
      <c r="BQ148" s="344"/>
      <c r="BR148" s="370">
        <f t="shared" si="575"/>
        <v>0</v>
      </c>
      <c r="BS148" s="402" t="e">
        <f t="shared" si="578"/>
        <v>#VALUE!</v>
      </c>
      <c r="BT148" s="402" t="e">
        <f t="shared" si="579"/>
        <v>#VALUE!</v>
      </c>
    </row>
    <row r="149" spans="1:72" s="235" customFormat="1" ht="14.45" hidden="1" customHeight="1" x14ac:dyDescent="0.25">
      <c r="A149" s="235" t="s">
        <v>188</v>
      </c>
      <c r="C149" s="344"/>
      <c r="D149" s="346"/>
      <c r="E149" s="344"/>
      <c r="F149" s="344"/>
      <c r="G149" s="344"/>
      <c r="H149" s="344"/>
      <c r="I149" s="345"/>
      <c r="J149" s="345"/>
      <c r="K149" s="345"/>
      <c r="L149" s="345"/>
      <c r="M149" s="345"/>
      <c r="N149" s="345"/>
      <c r="O149" s="345"/>
      <c r="P149" s="345"/>
      <c r="Q149" s="344"/>
      <c r="R149" s="344"/>
      <c r="S149" s="344"/>
      <c r="T149" s="344"/>
      <c r="U149" s="344"/>
      <c r="V149" s="344"/>
      <c r="W149" s="344"/>
      <c r="X149" s="344"/>
      <c r="Y149" s="344"/>
      <c r="Z149" s="344"/>
      <c r="AA149" s="344"/>
      <c r="AB149" s="344"/>
      <c r="AC149" s="346"/>
      <c r="AD149" s="333"/>
      <c r="AE149" s="346"/>
      <c r="AF149" s="346"/>
      <c r="AG149" s="346"/>
      <c r="AH149" s="346"/>
      <c r="AI149" s="346"/>
      <c r="AJ149" s="346"/>
      <c r="AK149" s="346"/>
      <c r="AL149" s="333"/>
      <c r="AM149" s="346"/>
      <c r="AN149" s="346"/>
      <c r="AO149" s="346"/>
      <c r="AP149" s="346"/>
      <c r="AQ149" s="346"/>
      <c r="AR149" s="346"/>
      <c r="AS149" s="346"/>
      <c r="AT149" s="346"/>
      <c r="AU149" s="346"/>
      <c r="AV149" s="346"/>
      <c r="AW149" s="346"/>
      <c r="AX149" s="346" t="s">
        <v>144</v>
      </c>
      <c r="AY149" s="346" t="s">
        <v>148</v>
      </c>
      <c r="AZ149" s="346" t="s">
        <v>149</v>
      </c>
      <c r="BA149" s="346" t="s">
        <v>150</v>
      </c>
      <c r="BB149" s="346" t="s">
        <v>144</v>
      </c>
      <c r="BC149" s="346" t="s">
        <v>148</v>
      </c>
      <c r="BD149" s="346" t="s">
        <v>149</v>
      </c>
      <c r="BE149" s="346" t="s">
        <v>150</v>
      </c>
      <c r="BF149" s="344" t="s">
        <v>144</v>
      </c>
      <c r="BG149" s="344" t="s">
        <v>148</v>
      </c>
      <c r="BH149" s="344" t="s">
        <v>149</v>
      </c>
      <c r="BI149" s="344" t="s">
        <v>150</v>
      </c>
      <c r="BJ149" s="344"/>
      <c r="BK149" s="344"/>
      <c r="BL149" s="344"/>
      <c r="BM149" s="344"/>
      <c r="BN149" s="344"/>
      <c r="BO149" s="344"/>
      <c r="BP149" s="344"/>
      <c r="BQ149" s="344"/>
      <c r="BR149" s="370">
        <f t="shared" si="575"/>
        <v>0</v>
      </c>
      <c r="BS149" s="402">
        <f t="shared" si="578"/>
        <v>0</v>
      </c>
      <c r="BT149" s="402">
        <f t="shared" si="579"/>
        <v>0</v>
      </c>
    </row>
    <row r="150" spans="1:72" s="235" customFormat="1" ht="14.45" customHeight="1" x14ac:dyDescent="0.25">
      <c r="A150" s="235" t="s">
        <v>130</v>
      </c>
      <c r="C150" s="344"/>
      <c r="D150" s="415">
        <v>198.71</v>
      </c>
      <c r="E150" s="344" t="s">
        <v>212</v>
      </c>
      <c r="F150" s="419"/>
      <c r="G150" s="419"/>
      <c r="H150" s="419"/>
      <c r="I150" s="345"/>
      <c r="J150" s="345">
        <v>0</v>
      </c>
      <c r="K150" s="345">
        <v>0</v>
      </c>
      <c r="L150" s="345">
        <v>0</v>
      </c>
      <c r="M150" s="345">
        <v>1</v>
      </c>
      <c r="N150" s="345"/>
      <c r="O150" s="345"/>
      <c r="P150" s="345"/>
      <c r="Q150" s="419"/>
      <c r="R150" s="419"/>
      <c r="S150" s="419"/>
      <c r="T150" s="345"/>
      <c r="U150" s="345"/>
      <c r="V150" s="345"/>
      <c r="W150" s="345"/>
      <c r="X150" s="345"/>
      <c r="Y150" s="345"/>
      <c r="Z150" s="416">
        <f t="shared" ref="Z150" si="1153">SUM(F150:U150)</f>
        <v>1</v>
      </c>
      <c r="AA150" s="344"/>
      <c r="AB150" s="344"/>
      <c r="AC150" s="346">
        <f t="shared" ref="AC150" si="1154">F150*$D150</f>
        <v>0</v>
      </c>
      <c r="AD150" s="415">
        <f t="shared" ref="AD150" si="1155">G150*$D150</f>
        <v>0</v>
      </c>
      <c r="AE150" s="415">
        <f t="shared" ref="AE150" si="1156">H150*$D150</f>
        <v>0</v>
      </c>
      <c r="AF150" s="415">
        <f t="shared" ref="AF150" si="1157">I150*$D150</f>
        <v>0</v>
      </c>
      <c r="AG150" s="415">
        <f t="shared" ref="AG150" si="1158">J150*$D150</f>
        <v>0</v>
      </c>
      <c r="AH150" s="415">
        <f t="shared" ref="AH150" si="1159">K150*$D150</f>
        <v>0</v>
      </c>
      <c r="AI150" s="415">
        <f t="shared" ref="AI150" si="1160">L150*$D150</f>
        <v>0</v>
      </c>
      <c r="AJ150" s="415">
        <f t="shared" ref="AJ150" si="1161">M150*$D150</f>
        <v>198.71</v>
      </c>
      <c r="AK150" s="415">
        <f t="shared" ref="AK150" si="1162">N150*$D150</f>
        <v>0</v>
      </c>
      <c r="AL150" s="346">
        <f t="shared" ref="AL150" si="1163">O150*$D150</f>
        <v>0</v>
      </c>
      <c r="AM150" s="346">
        <f t="shared" ref="AM150" si="1164">P150*$D150</f>
        <v>0</v>
      </c>
      <c r="AN150" s="346">
        <f t="shared" ref="AN150" si="1165">Q150*$D150</f>
        <v>0</v>
      </c>
      <c r="AO150" s="346">
        <f t="shared" ref="AO150" si="1166">R150*$D150</f>
        <v>0</v>
      </c>
      <c r="AP150" s="346">
        <f t="shared" ref="AP150" si="1167">S150*$D150</f>
        <v>0</v>
      </c>
      <c r="AQ150" s="346">
        <f t="shared" ref="AQ150" si="1168">T150*$D150</f>
        <v>0</v>
      </c>
      <c r="AR150" s="346">
        <f t="shared" ref="AR150" si="1169">U150*$D150</f>
        <v>0</v>
      </c>
      <c r="AS150" s="346">
        <f t="shared" ref="AS150" si="1170">V150*$D150</f>
        <v>0</v>
      </c>
      <c r="AT150" s="346">
        <f t="shared" ref="AT150" si="1171">W150*$D150</f>
        <v>0</v>
      </c>
      <c r="AU150" s="346">
        <f t="shared" ref="AU150" si="1172">X150*$D150</f>
        <v>0</v>
      </c>
      <c r="AV150" s="346"/>
      <c r="AW150" s="346"/>
      <c r="AX150" s="346">
        <f t="shared" ref="AX150:BM151" si="1173">IF(AX$3=$E150,$D150,0)</f>
        <v>0</v>
      </c>
      <c r="AY150" s="333">
        <f t="shared" si="1173"/>
        <v>0</v>
      </c>
      <c r="AZ150" s="333">
        <f t="shared" si="1173"/>
        <v>0</v>
      </c>
      <c r="BA150" s="333">
        <f t="shared" si="1173"/>
        <v>0</v>
      </c>
      <c r="BB150" s="333">
        <v>0</v>
      </c>
      <c r="BC150" s="333">
        <v>0</v>
      </c>
      <c r="BD150" s="333">
        <f t="shared" si="1173"/>
        <v>0</v>
      </c>
      <c r="BE150" s="333">
        <f t="shared" si="1173"/>
        <v>198.71</v>
      </c>
      <c r="BF150" s="333">
        <f t="shared" si="1173"/>
        <v>0</v>
      </c>
      <c r="BG150" s="333">
        <f t="shared" si="1173"/>
        <v>0</v>
      </c>
      <c r="BH150" s="333">
        <f t="shared" si="1173"/>
        <v>0</v>
      </c>
      <c r="BI150" s="346">
        <f t="shared" si="1173"/>
        <v>0</v>
      </c>
      <c r="BJ150" s="346">
        <f t="shared" si="1173"/>
        <v>0</v>
      </c>
      <c r="BK150" s="346">
        <f t="shared" si="1173"/>
        <v>0</v>
      </c>
      <c r="BL150" s="346">
        <f t="shared" si="1173"/>
        <v>0</v>
      </c>
      <c r="BM150" s="346">
        <f t="shared" si="1173"/>
        <v>0</v>
      </c>
      <c r="BN150" s="346">
        <f t="shared" ref="BN150:BQ153" si="1174">IF(BN$3=$E150,$D150,0)</f>
        <v>0</v>
      </c>
      <c r="BO150" s="346">
        <f t="shared" si="1174"/>
        <v>0</v>
      </c>
      <c r="BP150" s="346">
        <f t="shared" si="1174"/>
        <v>0</v>
      </c>
      <c r="BQ150" s="346">
        <f t="shared" si="1174"/>
        <v>0</v>
      </c>
      <c r="BR150" s="370">
        <f t="shared" si="575"/>
        <v>0</v>
      </c>
      <c r="BS150" s="402">
        <f t="shared" si="578"/>
        <v>0</v>
      </c>
      <c r="BT150" s="402">
        <f t="shared" si="579"/>
        <v>0</v>
      </c>
    </row>
    <row r="151" spans="1:72" s="235" customFormat="1" ht="14.45" customHeight="1" x14ac:dyDescent="0.25">
      <c r="A151" s="235" t="s">
        <v>130</v>
      </c>
      <c r="C151" s="344"/>
      <c r="D151" s="415">
        <v>136.99</v>
      </c>
      <c r="E151" s="344" t="s">
        <v>250</v>
      </c>
      <c r="F151" s="419"/>
      <c r="G151" s="419"/>
      <c r="H151" s="419"/>
      <c r="I151" s="345"/>
      <c r="J151" s="345">
        <v>0</v>
      </c>
      <c r="K151" s="345">
        <v>0</v>
      </c>
      <c r="L151" s="345">
        <v>0</v>
      </c>
      <c r="M151" s="345">
        <v>0</v>
      </c>
      <c r="N151" s="345">
        <v>1</v>
      </c>
      <c r="O151" s="345"/>
      <c r="P151" s="345"/>
      <c r="Q151" s="419"/>
      <c r="R151" s="419"/>
      <c r="S151" s="419"/>
      <c r="T151" s="345"/>
      <c r="U151" s="345"/>
      <c r="V151" s="345"/>
      <c r="W151" s="345"/>
      <c r="X151" s="345"/>
      <c r="Y151" s="345"/>
      <c r="Z151" s="416">
        <f t="shared" ref="Z151" si="1175">SUM(F151:U151)</f>
        <v>1</v>
      </c>
      <c r="AA151" s="344"/>
      <c r="AB151" s="344"/>
      <c r="AC151" s="346">
        <f t="shared" ref="AC151" si="1176">F151*$D151</f>
        <v>0</v>
      </c>
      <c r="AD151" s="415">
        <f t="shared" ref="AD151" si="1177">G151*$D151</f>
        <v>0</v>
      </c>
      <c r="AE151" s="415">
        <f t="shared" ref="AE151" si="1178">H151*$D151</f>
        <v>0</v>
      </c>
      <c r="AF151" s="415">
        <f t="shared" ref="AF151" si="1179">I151*$D151</f>
        <v>0</v>
      </c>
      <c r="AG151" s="415">
        <f t="shared" ref="AG151" si="1180">J151*$D151</f>
        <v>0</v>
      </c>
      <c r="AH151" s="415">
        <f t="shared" ref="AH151" si="1181">K151*$D151</f>
        <v>0</v>
      </c>
      <c r="AI151" s="415">
        <f t="shared" ref="AI151" si="1182">L151*$D151</f>
        <v>0</v>
      </c>
      <c r="AJ151" s="415">
        <f t="shared" ref="AJ151" si="1183">M151*$D151</f>
        <v>0</v>
      </c>
      <c r="AK151" s="415">
        <f t="shared" ref="AK151" si="1184">N151*$D151</f>
        <v>136.99</v>
      </c>
      <c r="AL151" s="346">
        <f t="shared" ref="AL151" si="1185">O151*$D151</f>
        <v>0</v>
      </c>
      <c r="AM151" s="346">
        <f t="shared" ref="AM151" si="1186">P151*$D151</f>
        <v>0</v>
      </c>
      <c r="AN151" s="346">
        <f t="shared" ref="AN151" si="1187">Q151*$D151</f>
        <v>0</v>
      </c>
      <c r="AO151" s="346">
        <f t="shared" ref="AO151" si="1188">R151*$D151</f>
        <v>0</v>
      </c>
      <c r="AP151" s="346">
        <f t="shared" ref="AP151" si="1189">S151*$D151</f>
        <v>0</v>
      </c>
      <c r="AQ151" s="346">
        <f t="shared" ref="AQ151" si="1190">T151*$D151</f>
        <v>0</v>
      </c>
      <c r="AR151" s="346">
        <f t="shared" ref="AR151" si="1191">U151*$D151</f>
        <v>0</v>
      </c>
      <c r="AS151" s="346">
        <f t="shared" ref="AS151" si="1192">V151*$D151</f>
        <v>0</v>
      </c>
      <c r="AT151" s="346">
        <f t="shared" ref="AT151" si="1193">W151*$D151</f>
        <v>0</v>
      </c>
      <c r="AU151" s="346">
        <f t="shared" ref="AU151" si="1194">X151*$D151</f>
        <v>0</v>
      </c>
      <c r="AV151" s="346"/>
      <c r="AW151" s="346"/>
      <c r="AX151" s="346">
        <f t="shared" si="1173"/>
        <v>0</v>
      </c>
      <c r="AY151" s="333">
        <f t="shared" si="1173"/>
        <v>0</v>
      </c>
      <c r="AZ151" s="333">
        <f t="shared" si="1173"/>
        <v>0</v>
      </c>
      <c r="BA151" s="333">
        <f t="shared" si="1173"/>
        <v>0</v>
      </c>
      <c r="BB151" s="333">
        <v>0</v>
      </c>
      <c r="BC151" s="333">
        <v>0</v>
      </c>
      <c r="BD151" s="333">
        <f t="shared" si="1173"/>
        <v>0</v>
      </c>
      <c r="BE151" s="333">
        <f t="shared" si="1173"/>
        <v>0</v>
      </c>
      <c r="BF151" s="333">
        <f t="shared" si="1173"/>
        <v>136.99</v>
      </c>
      <c r="BG151" s="333">
        <f t="shared" si="1173"/>
        <v>0</v>
      </c>
      <c r="BH151" s="333">
        <f t="shared" si="1173"/>
        <v>0</v>
      </c>
      <c r="BI151" s="346">
        <f t="shared" si="1173"/>
        <v>0</v>
      </c>
      <c r="BJ151" s="346">
        <f t="shared" si="1173"/>
        <v>0</v>
      </c>
      <c r="BK151" s="346">
        <f t="shared" si="1173"/>
        <v>0</v>
      </c>
      <c r="BL151" s="346">
        <f t="shared" si="1173"/>
        <v>0</v>
      </c>
      <c r="BM151" s="346">
        <f t="shared" si="1173"/>
        <v>0</v>
      </c>
      <c r="BN151" s="346">
        <f t="shared" si="1174"/>
        <v>0</v>
      </c>
      <c r="BO151" s="346">
        <f t="shared" si="1174"/>
        <v>0</v>
      </c>
      <c r="BP151" s="346">
        <f t="shared" si="1174"/>
        <v>0</v>
      </c>
      <c r="BQ151" s="346">
        <f t="shared" si="1174"/>
        <v>0</v>
      </c>
      <c r="BR151" s="370">
        <f t="shared" si="575"/>
        <v>0</v>
      </c>
      <c r="BS151" s="402">
        <f t="shared" si="578"/>
        <v>0</v>
      </c>
      <c r="BT151" s="402">
        <f t="shared" si="579"/>
        <v>0</v>
      </c>
    </row>
    <row r="152" spans="1:72" s="235" customFormat="1" ht="14.45" customHeight="1" outlineLevel="1" x14ac:dyDescent="0.25">
      <c r="A152" s="235" t="s">
        <v>129</v>
      </c>
      <c r="C152" s="344"/>
      <c r="D152" s="415">
        <f>SUM(F152:Y152)</f>
        <v>213105.57500000001</v>
      </c>
      <c r="E152" s="417" t="s">
        <v>191</v>
      </c>
      <c r="F152" s="417">
        <v>0</v>
      </c>
      <c r="G152" s="421">
        <v>1400</v>
      </c>
      <c r="H152" s="421">
        <v>9000</v>
      </c>
      <c r="I152" s="421">
        <v>9000</v>
      </c>
      <c r="J152" s="421">
        <v>10232.64</v>
      </c>
      <c r="K152" s="421">
        <v>11130.24</v>
      </c>
      <c r="L152" s="421">
        <v>10367.280000000001</v>
      </c>
      <c r="M152" s="421">
        <v>11152.68</v>
      </c>
      <c r="N152" s="421">
        <v>11848.32</v>
      </c>
      <c r="O152" s="421">
        <v>10232.64</v>
      </c>
      <c r="P152" s="421">
        <v>10985.279999999999</v>
      </c>
      <c r="Q152" s="421">
        <v>11945.12</v>
      </c>
      <c r="R152" s="421">
        <v>12438.720000000001</v>
      </c>
      <c r="S152" s="421">
        <v>12043.84</v>
      </c>
      <c r="T152" s="421">
        <v>12370.7</v>
      </c>
      <c r="U152" s="421">
        <v>12851.36</v>
      </c>
      <c r="V152" s="421">
        <v>13265.920000000002</v>
      </c>
      <c r="W152" s="421">
        <v>13058.64</v>
      </c>
      <c r="X152" s="421">
        <f>30172.195-390</f>
        <v>29782.195</v>
      </c>
      <c r="Y152" s="421">
        <v>0</v>
      </c>
      <c r="Z152" s="333">
        <f>SUM(F152:Y152)</f>
        <v>213105.57500000001</v>
      </c>
      <c r="AA152" s="344"/>
      <c r="AB152" s="344"/>
      <c r="AC152" s="333">
        <f t="shared" ref="AC152:AC158" si="1195">F152</f>
        <v>0</v>
      </c>
      <c r="AD152" s="333">
        <f t="shared" ref="AD152:AM155" si="1196">G152</f>
        <v>1400</v>
      </c>
      <c r="AE152" s="333">
        <f t="shared" si="1196"/>
        <v>9000</v>
      </c>
      <c r="AF152" s="333">
        <f t="shared" si="1196"/>
        <v>9000</v>
      </c>
      <c r="AG152" s="333">
        <f t="shared" si="1196"/>
        <v>10232.64</v>
      </c>
      <c r="AH152" s="333">
        <f t="shared" si="1196"/>
        <v>11130.24</v>
      </c>
      <c r="AI152" s="333">
        <f t="shared" si="1196"/>
        <v>10367.280000000001</v>
      </c>
      <c r="AJ152" s="333">
        <f t="shared" si="1196"/>
        <v>11152.68</v>
      </c>
      <c r="AK152" s="333">
        <f t="shared" si="1196"/>
        <v>11848.32</v>
      </c>
      <c r="AL152" s="333">
        <f t="shared" si="1196"/>
        <v>10232.64</v>
      </c>
      <c r="AM152" s="333">
        <f t="shared" si="1196"/>
        <v>10985.279999999999</v>
      </c>
      <c r="AN152" s="333">
        <f t="shared" ref="AN152:AV156" si="1197">Q152</f>
        <v>11945.12</v>
      </c>
      <c r="AO152" s="333">
        <f t="shared" si="1197"/>
        <v>12438.720000000001</v>
      </c>
      <c r="AP152" s="333">
        <f t="shared" si="1197"/>
        <v>12043.84</v>
      </c>
      <c r="AQ152" s="333">
        <f t="shared" si="1197"/>
        <v>12370.7</v>
      </c>
      <c r="AR152" s="333">
        <f t="shared" si="1197"/>
        <v>12851.36</v>
      </c>
      <c r="AS152" s="333">
        <f t="shared" si="1197"/>
        <v>13265.920000000002</v>
      </c>
      <c r="AT152" s="333">
        <f t="shared" si="1197"/>
        <v>13058.64</v>
      </c>
      <c r="AU152" s="333">
        <f t="shared" si="1197"/>
        <v>29782.195</v>
      </c>
      <c r="AV152" s="333">
        <f t="shared" si="1197"/>
        <v>0</v>
      </c>
      <c r="AW152" s="346"/>
      <c r="AX152" s="333">
        <v>0</v>
      </c>
      <c r="AY152" s="333">
        <v>43635.199999999997</v>
      </c>
      <c r="AZ152" s="333">
        <v>0</v>
      </c>
      <c r="BA152" s="333">
        <v>0</v>
      </c>
      <c r="BB152" s="333">
        <v>0</v>
      </c>
      <c r="BC152" s="333">
        <v>0</v>
      </c>
      <c r="BD152" s="333">
        <v>43421.4</v>
      </c>
      <c r="BE152" s="333">
        <v>0</v>
      </c>
      <c r="BF152" s="333">
        <v>0</v>
      </c>
      <c r="BG152" s="333">
        <v>0</v>
      </c>
      <c r="BH152" s="333">
        <v>48122</v>
      </c>
      <c r="BI152" s="346">
        <v>0</v>
      </c>
      <c r="BJ152" s="346">
        <v>0</v>
      </c>
      <c r="BK152" s="333">
        <v>4</v>
      </c>
      <c r="BL152" s="346">
        <v>50524.5</v>
      </c>
      <c r="BM152" s="346">
        <v>0</v>
      </c>
      <c r="BN152" s="346">
        <v>0</v>
      </c>
      <c r="BO152" s="346">
        <v>0</v>
      </c>
      <c r="BP152" s="333">
        <f>27788.475-390</f>
        <v>27398.474999999999</v>
      </c>
      <c r="BQ152" s="346">
        <v>0</v>
      </c>
      <c r="BR152" s="370">
        <f t="shared" si="575"/>
        <v>0</v>
      </c>
      <c r="BS152" s="402">
        <f t="shared" si="578"/>
        <v>0</v>
      </c>
      <c r="BT152" s="402">
        <f t="shared" si="579"/>
        <v>0</v>
      </c>
    </row>
    <row r="153" spans="1:72" s="235" customFormat="1" ht="14.45" customHeight="1" outlineLevel="1" x14ac:dyDescent="0.25">
      <c r="A153" s="235" t="s">
        <v>129</v>
      </c>
      <c r="C153" s="344"/>
      <c r="D153" s="415">
        <f>SUM(F153:Y153)</f>
        <v>111680.46</v>
      </c>
      <c r="E153" s="417" t="s">
        <v>165</v>
      </c>
      <c r="F153" s="417">
        <v>0</v>
      </c>
      <c r="G153" s="421">
        <v>0</v>
      </c>
      <c r="H153" s="421">
        <v>0</v>
      </c>
      <c r="I153" s="421">
        <v>0</v>
      </c>
      <c r="J153" s="421">
        <v>0</v>
      </c>
      <c r="K153" s="421">
        <v>2358.88</v>
      </c>
      <c r="L153" s="421">
        <v>6256.16</v>
      </c>
      <c r="M153" s="421">
        <v>6410</v>
      </c>
      <c r="N153" s="421">
        <v>6486.92</v>
      </c>
      <c r="O153" s="421">
        <v>6193.92</v>
      </c>
      <c r="P153" s="421">
        <v>7382.4</v>
      </c>
      <c r="Q153" s="421">
        <v>7505.44</v>
      </c>
      <c r="R153" s="421">
        <v>7628.4800000000005</v>
      </c>
      <c r="S153" s="421">
        <v>7881.0800000000008</v>
      </c>
      <c r="T153" s="421">
        <v>8426.16</v>
      </c>
      <c r="U153" s="421">
        <v>8392.32</v>
      </c>
      <c r="V153" s="421">
        <v>10663.04</v>
      </c>
      <c r="W153" s="421">
        <v>6527.68</v>
      </c>
      <c r="X153" s="421">
        <v>19567.98</v>
      </c>
      <c r="Y153" s="421">
        <v>0</v>
      </c>
      <c r="Z153" s="333">
        <f>SUM(F153:Y153)</f>
        <v>111680.46</v>
      </c>
      <c r="AA153" s="344"/>
      <c r="AB153" s="344"/>
      <c r="AC153" s="333">
        <f t="shared" si="1195"/>
        <v>0</v>
      </c>
      <c r="AD153" s="333">
        <f t="shared" si="1196"/>
        <v>0</v>
      </c>
      <c r="AE153" s="333">
        <f t="shared" si="1196"/>
        <v>0</v>
      </c>
      <c r="AF153" s="333">
        <f t="shared" si="1196"/>
        <v>0</v>
      </c>
      <c r="AG153" s="333">
        <f t="shared" si="1196"/>
        <v>0</v>
      </c>
      <c r="AH153" s="333">
        <f t="shared" si="1196"/>
        <v>2358.88</v>
      </c>
      <c r="AI153" s="333">
        <f t="shared" si="1196"/>
        <v>6256.16</v>
      </c>
      <c r="AJ153" s="333">
        <f t="shared" si="1196"/>
        <v>6410</v>
      </c>
      <c r="AK153" s="333">
        <f t="shared" si="1196"/>
        <v>6486.92</v>
      </c>
      <c r="AL153" s="333">
        <f t="shared" si="1196"/>
        <v>6193.92</v>
      </c>
      <c r="AM153" s="333">
        <f t="shared" si="1196"/>
        <v>7382.4</v>
      </c>
      <c r="AN153" s="333">
        <f t="shared" si="1197"/>
        <v>7505.44</v>
      </c>
      <c r="AO153" s="333">
        <f t="shared" si="1197"/>
        <v>7628.4800000000005</v>
      </c>
      <c r="AP153" s="333">
        <f t="shared" si="1197"/>
        <v>7881.0800000000008</v>
      </c>
      <c r="AQ153" s="333">
        <f t="shared" si="1197"/>
        <v>8426.16</v>
      </c>
      <c r="AR153" s="333">
        <f t="shared" si="1197"/>
        <v>8392.32</v>
      </c>
      <c r="AS153" s="333">
        <f t="shared" si="1197"/>
        <v>10663.04</v>
      </c>
      <c r="AT153" s="333">
        <f t="shared" si="1197"/>
        <v>6527.68</v>
      </c>
      <c r="AU153" s="333">
        <f t="shared" si="1197"/>
        <v>19567.98</v>
      </c>
      <c r="AV153" s="333">
        <f t="shared" si="1197"/>
        <v>0</v>
      </c>
      <c r="AW153" s="346"/>
      <c r="AX153" s="333">
        <v>0</v>
      </c>
      <c r="AY153" s="333">
        <v>0</v>
      </c>
      <c r="AZ153" s="333">
        <v>0</v>
      </c>
      <c r="BA153" s="333">
        <v>0</v>
      </c>
      <c r="BB153" s="333">
        <v>0</v>
      </c>
      <c r="BC153" s="333">
        <v>25000</v>
      </c>
      <c r="BD153" s="333">
        <v>0</v>
      </c>
      <c r="BE153" s="333">
        <v>0</v>
      </c>
      <c r="BF153" s="333">
        <v>0</v>
      </c>
      <c r="BG153" s="333">
        <v>29991</v>
      </c>
      <c r="BH153" s="333">
        <v>0</v>
      </c>
      <c r="BI153" s="346">
        <v>-1</v>
      </c>
      <c r="BJ153" s="346">
        <v>0</v>
      </c>
      <c r="BK153" s="333">
        <v>5549.76</v>
      </c>
      <c r="BL153" s="346">
        <v>32994</v>
      </c>
      <c r="BM153" s="346">
        <v>0</v>
      </c>
      <c r="BN153" s="346">
        <v>0</v>
      </c>
      <c r="BO153" s="346">
        <v>0</v>
      </c>
      <c r="BP153" s="333">
        <v>18146.7</v>
      </c>
      <c r="BQ153" s="346">
        <f t="shared" si="1174"/>
        <v>0</v>
      </c>
      <c r="BR153" s="428">
        <f t="shared" si="575"/>
        <v>0</v>
      </c>
      <c r="BS153" s="402">
        <f t="shared" si="578"/>
        <v>0</v>
      </c>
      <c r="BT153" s="402">
        <f t="shared" si="579"/>
        <v>0</v>
      </c>
    </row>
    <row r="154" spans="1:72" s="235" customFormat="1" ht="14.45" hidden="1" customHeight="1" outlineLevel="1" x14ac:dyDescent="0.25">
      <c r="A154" s="235" t="s">
        <v>131</v>
      </c>
      <c r="B154" s="235" t="s">
        <v>106</v>
      </c>
      <c r="C154" s="344" t="s">
        <v>261</v>
      </c>
      <c r="D154" s="415">
        <v>5000</v>
      </c>
      <c r="E154" s="417" t="s">
        <v>224</v>
      </c>
      <c r="F154" s="421">
        <v>0</v>
      </c>
      <c r="G154" s="421">
        <v>0</v>
      </c>
      <c r="H154" s="421">
        <v>0</v>
      </c>
      <c r="I154" s="421">
        <v>0</v>
      </c>
      <c r="J154" s="421">
        <v>0</v>
      </c>
      <c r="K154" s="421">
        <v>0</v>
      </c>
      <c r="L154" s="421">
        <v>0</v>
      </c>
      <c r="M154" s="421">
        <v>0</v>
      </c>
      <c r="N154" s="421">
        <v>0</v>
      </c>
      <c r="O154" s="421">
        <v>0</v>
      </c>
      <c r="P154" s="421">
        <v>0</v>
      </c>
      <c r="Q154" s="421">
        <v>1369.14</v>
      </c>
      <c r="R154" s="421">
        <v>0</v>
      </c>
      <c r="S154" s="421">
        <v>0</v>
      </c>
      <c r="T154" s="421">
        <v>0</v>
      </c>
      <c r="U154" s="421">
        <v>0</v>
      </c>
      <c r="V154" s="421">
        <v>3630.86</v>
      </c>
      <c r="W154" s="421">
        <v>0</v>
      </c>
      <c r="X154" s="421">
        <v>0</v>
      </c>
      <c r="Y154" s="421"/>
      <c r="Z154" s="346">
        <f t="shared" ref="Z154" si="1198">SUM(F154:X154)</f>
        <v>5000</v>
      </c>
      <c r="AA154" s="344"/>
      <c r="AB154" s="344"/>
      <c r="AC154" s="346">
        <f t="shared" ref="AC154" si="1199">F154</f>
        <v>0</v>
      </c>
      <c r="AD154" s="346">
        <f t="shared" si="1196"/>
        <v>0</v>
      </c>
      <c r="AE154" s="346">
        <f t="shared" si="1196"/>
        <v>0</v>
      </c>
      <c r="AF154" s="346">
        <f t="shared" si="1196"/>
        <v>0</v>
      </c>
      <c r="AG154" s="346">
        <f t="shared" si="1196"/>
        <v>0</v>
      </c>
      <c r="AH154" s="346">
        <f t="shared" si="1196"/>
        <v>0</v>
      </c>
      <c r="AI154" s="415">
        <f t="shared" si="1196"/>
        <v>0</v>
      </c>
      <c r="AJ154" s="415">
        <f t="shared" si="1196"/>
        <v>0</v>
      </c>
      <c r="AK154" s="415">
        <f t="shared" si="1196"/>
        <v>0</v>
      </c>
      <c r="AL154" s="415">
        <f t="shared" si="1196"/>
        <v>0</v>
      </c>
      <c r="AM154" s="346">
        <f t="shared" si="1196"/>
        <v>0</v>
      </c>
      <c r="AN154" s="333">
        <f t="shared" si="1197"/>
        <v>1369.14</v>
      </c>
      <c r="AO154" s="346">
        <f t="shared" si="1197"/>
        <v>0</v>
      </c>
      <c r="AP154" s="346">
        <f t="shared" ref="AP154:AP155" si="1200">S154</f>
        <v>0</v>
      </c>
      <c r="AQ154" s="346">
        <f t="shared" ref="AQ154:AQ155" si="1201">T154</f>
        <v>0</v>
      </c>
      <c r="AR154" s="346">
        <f t="shared" si="1197"/>
        <v>0</v>
      </c>
      <c r="AS154" s="346">
        <f t="shared" si="1197"/>
        <v>3630.86</v>
      </c>
      <c r="AT154" s="346">
        <f t="shared" si="1197"/>
        <v>0</v>
      </c>
      <c r="AU154" s="346">
        <f t="shared" si="1197"/>
        <v>0</v>
      </c>
      <c r="AV154" s="346"/>
      <c r="AW154" s="346"/>
      <c r="AX154" s="346">
        <f>IF(AX$149=$E154,SUM(AC154:AF154),0)</f>
        <v>0</v>
      </c>
      <c r="AY154" s="346">
        <f t="shared" ref="AY154:AY155" si="1202">IF(AY$149=$E154,SUM(AD154:AG154),0)</f>
        <v>0</v>
      </c>
      <c r="AZ154" s="346">
        <f>IF(AZ$149=$E154,SUM(AE154:AH154),0)</f>
        <v>0</v>
      </c>
      <c r="BA154" s="346">
        <f>IF(BA$149=$E154,SUM(AF154:AI154),0)</f>
        <v>0</v>
      </c>
      <c r="BB154" s="346">
        <f t="shared" ref="BB154:BB155" si="1203">IF(BB$149=$E154,SUM(AG154:AJ154),0)</f>
        <v>0</v>
      </c>
      <c r="BC154" s="346">
        <f t="shared" ref="BC154:BC155" si="1204">IF(BC$149=$E154,SUM(AH154:AK154),0)</f>
        <v>0</v>
      </c>
      <c r="BD154" s="346">
        <f t="shared" ref="BD154:BD155" si="1205">IF(BD$149=$E154,SUM(AI154:AL154),0)</f>
        <v>0</v>
      </c>
      <c r="BE154" s="346">
        <f t="shared" ref="BE154:BE155" si="1206">IF(BE$149=$E154,SUM(AJ154:AM154),0)</f>
        <v>0</v>
      </c>
      <c r="BF154" s="346">
        <f t="shared" ref="BF154" si="1207">IF(BF$149=$E154,SUM(AK154:AN154),0)</f>
        <v>0</v>
      </c>
      <c r="BG154" s="346">
        <f t="shared" ref="BG154" si="1208">IF(BG$149=$E154,SUM(AL154:AO154),0)</f>
        <v>0</v>
      </c>
      <c r="BH154" s="346">
        <f>IF(BH$149=$E154,SUM(AM154:AP154),0)</f>
        <v>0</v>
      </c>
      <c r="BI154" s="346">
        <v>1369.14</v>
      </c>
      <c r="BJ154" s="346">
        <f t="shared" ref="BJ154" si="1209">IF(BJ$149=$E154,SUM(AO154:AR154),0)</f>
        <v>0</v>
      </c>
      <c r="BK154" s="346">
        <f t="shared" ref="BK154" si="1210">IF(BK$149=$E154,SUM(AP154:AS154),0)</f>
        <v>0</v>
      </c>
      <c r="BL154" s="346">
        <v>0</v>
      </c>
      <c r="BM154" s="346">
        <v>0</v>
      </c>
      <c r="BN154" s="346">
        <v>3630.86</v>
      </c>
      <c r="BO154" s="346">
        <f t="shared" ref="BO154" si="1211">IF(BO$149=$E154,SUM(AT154:AX154),0)</f>
        <v>0</v>
      </c>
      <c r="BP154" s="346">
        <f t="shared" ref="BP154:BQ155" si="1212">IF(BP$149=$E154,SUM(AU154:AY154),0)</f>
        <v>0</v>
      </c>
      <c r="BQ154" s="346">
        <f t="shared" si="1212"/>
        <v>0</v>
      </c>
      <c r="BR154" s="370">
        <f>SUM(AC154:AV154)-SUM(AX154:BQ154)</f>
        <v>0</v>
      </c>
      <c r="BS154" s="402">
        <f t="shared" si="578"/>
        <v>0</v>
      </c>
      <c r="BT154" s="402">
        <f t="shared" si="579"/>
        <v>0</v>
      </c>
    </row>
    <row r="155" spans="1:72" s="235" customFormat="1" ht="14.45" hidden="1" customHeight="1" outlineLevel="1" x14ac:dyDescent="0.25">
      <c r="A155" s="235" t="s">
        <v>139</v>
      </c>
      <c r="B155" s="236" t="str">
        <f>VLOOKUP(A155,'DFP-Com'!$A$16:$B$50,2,1)</f>
        <v xml:space="preserve">     4.1.a  Staff Compensation*</v>
      </c>
      <c r="C155" s="429" t="s">
        <v>370</v>
      </c>
      <c r="D155" s="333">
        <f>SUM(F155:Y155)</f>
        <v>73786.462499999994</v>
      </c>
      <c r="E155" s="417" t="s">
        <v>204</v>
      </c>
      <c r="F155" s="421">
        <v>0</v>
      </c>
      <c r="G155" s="421">
        <v>0</v>
      </c>
      <c r="H155" s="421">
        <v>0</v>
      </c>
      <c r="I155" s="421">
        <v>0</v>
      </c>
      <c r="J155" s="421">
        <v>0</v>
      </c>
      <c r="K155" s="421">
        <v>0</v>
      </c>
      <c r="L155" s="421">
        <v>0</v>
      </c>
      <c r="M155" s="421">
        <v>0</v>
      </c>
      <c r="N155" s="421">
        <v>0</v>
      </c>
      <c r="O155" s="421">
        <v>0</v>
      </c>
      <c r="P155" s="421">
        <v>0</v>
      </c>
      <c r="Q155" s="421">
        <v>0</v>
      </c>
      <c r="R155" s="421">
        <v>0</v>
      </c>
      <c r="S155" s="421">
        <v>0</v>
      </c>
      <c r="T155" s="421">
        <v>0</v>
      </c>
      <c r="U155" s="421">
        <v>13155.6</v>
      </c>
      <c r="V155" s="421">
        <v>15002</v>
      </c>
      <c r="W155" s="421">
        <v>14540.400000000001</v>
      </c>
      <c r="X155" s="421">
        <v>31088.462500000001</v>
      </c>
      <c r="Y155" s="421">
        <v>0</v>
      </c>
      <c r="Z155" s="333">
        <f t="shared" ref="Z155" si="1213">SUM(F155:Y155)</f>
        <v>73786.462499999994</v>
      </c>
      <c r="AA155" s="344"/>
      <c r="AB155" s="344"/>
      <c r="AC155" s="346">
        <f>F155</f>
        <v>0</v>
      </c>
      <c r="AD155" s="346">
        <f>G155</f>
        <v>0</v>
      </c>
      <c r="AE155" s="346">
        <f t="shared" si="1196"/>
        <v>0</v>
      </c>
      <c r="AF155" s="346">
        <f t="shared" si="1196"/>
        <v>0</v>
      </c>
      <c r="AG155" s="346">
        <f t="shared" si="1196"/>
        <v>0</v>
      </c>
      <c r="AH155" s="346">
        <f t="shared" si="1196"/>
        <v>0</v>
      </c>
      <c r="AI155" s="415">
        <f t="shared" si="1196"/>
        <v>0</v>
      </c>
      <c r="AJ155" s="415">
        <f t="shared" si="1196"/>
        <v>0</v>
      </c>
      <c r="AK155" s="415">
        <f t="shared" si="1196"/>
        <v>0</v>
      </c>
      <c r="AL155" s="415">
        <f t="shared" si="1196"/>
        <v>0</v>
      </c>
      <c r="AM155" s="346">
        <f t="shared" si="1196"/>
        <v>0</v>
      </c>
      <c r="AN155" s="333">
        <f t="shared" si="1197"/>
        <v>0</v>
      </c>
      <c r="AO155" s="333">
        <f t="shared" ref="AO155" si="1214">R155</f>
        <v>0</v>
      </c>
      <c r="AP155" s="333">
        <f t="shared" si="1200"/>
        <v>0</v>
      </c>
      <c r="AQ155" s="333">
        <f t="shared" si="1201"/>
        <v>0</v>
      </c>
      <c r="AR155" s="333">
        <f t="shared" ref="AR155" si="1215">U155</f>
        <v>13155.6</v>
      </c>
      <c r="AS155" s="333">
        <f t="shared" ref="AS155" si="1216">V155</f>
        <v>15002</v>
      </c>
      <c r="AT155" s="333">
        <f t="shared" ref="AT155" si="1217">W155</f>
        <v>14540.400000000001</v>
      </c>
      <c r="AU155" s="333">
        <f t="shared" ref="AU155" si="1218">X155</f>
        <v>31088.462500000001</v>
      </c>
      <c r="AV155" s="333">
        <f t="shared" ref="AV155" si="1219">Y155</f>
        <v>0</v>
      </c>
      <c r="AW155" s="346"/>
      <c r="AX155" s="346">
        <f>IF(AX$149=$E155,SUM(AC155:AF155),0)</f>
        <v>0</v>
      </c>
      <c r="AY155" s="346">
        <f t="shared" si="1202"/>
        <v>0</v>
      </c>
      <c r="AZ155" s="346">
        <f t="shared" ref="AZ155" si="1220">IF(AZ$149=$E155,SUM(AE155:AH155),0)</f>
        <v>0</v>
      </c>
      <c r="BA155" s="346">
        <f t="shared" ref="BA155" si="1221">IF(BA$149=$E155,SUM(AF155:AI155),0)</f>
        <v>0</v>
      </c>
      <c r="BB155" s="346">
        <f t="shared" si="1203"/>
        <v>0</v>
      </c>
      <c r="BC155" s="346">
        <f t="shared" si="1204"/>
        <v>0</v>
      </c>
      <c r="BD155" s="346">
        <f t="shared" si="1205"/>
        <v>0</v>
      </c>
      <c r="BE155" s="346">
        <f t="shared" si="1206"/>
        <v>0</v>
      </c>
      <c r="BF155" s="346">
        <v>0</v>
      </c>
      <c r="BG155" s="346">
        <v>0</v>
      </c>
      <c r="BH155" s="346">
        <v>0</v>
      </c>
      <c r="BI155" s="346">
        <f t="shared" ref="BI155" si="1222">IF(BI$149=$E155,SUM(AN155:AQ155),0)</f>
        <v>0</v>
      </c>
      <c r="BJ155" s="346">
        <v>0</v>
      </c>
      <c r="BK155" s="333">
        <v>0</v>
      </c>
      <c r="BL155" s="333">
        <v>45409.9</v>
      </c>
      <c r="BM155" s="346">
        <v>0</v>
      </c>
      <c r="BN155" s="346">
        <v>0</v>
      </c>
      <c r="BO155" s="346">
        <v>0</v>
      </c>
      <c r="BP155" s="333">
        <v>28376.5625</v>
      </c>
      <c r="BQ155" s="346">
        <f t="shared" si="1212"/>
        <v>0</v>
      </c>
      <c r="BR155" s="370">
        <f t="shared" ref="BR155" si="1223">SUM(AC155:AV155)-SUM(AX155:BQ155)</f>
        <v>0</v>
      </c>
      <c r="BS155" s="402">
        <f t="shared" si="578"/>
        <v>0</v>
      </c>
      <c r="BT155" s="402">
        <f t="shared" si="579"/>
        <v>0</v>
      </c>
    </row>
    <row r="156" spans="1:72" s="235" customFormat="1" ht="14.45" hidden="1" customHeight="1" outlineLevel="1" x14ac:dyDescent="0.25">
      <c r="A156" s="235" t="s">
        <v>139</v>
      </c>
      <c r="B156" s="236" t="str">
        <f>VLOOKUP(A156,'DFP-Com'!$A$16:$B$50,2,1)</f>
        <v xml:space="preserve">     4.1.a  Staff Compensation*</v>
      </c>
      <c r="C156" s="429" t="s">
        <v>371</v>
      </c>
      <c r="D156" s="333">
        <f>SUM(F156:Y156)</f>
        <v>194577.98499999999</v>
      </c>
      <c r="E156" s="417" t="s">
        <v>193</v>
      </c>
      <c r="F156" s="421">
        <v>10000</v>
      </c>
      <c r="G156" s="421">
        <v>12000</v>
      </c>
      <c r="H156" s="421">
        <v>11000</v>
      </c>
      <c r="I156" s="421">
        <v>12000</v>
      </c>
      <c r="J156" s="421">
        <v>4000</v>
      </c>
      <c r="K156" s="421">
        <v>0</v>
      </c>
      <c r="L156" s="421">
        <v>0</v>
      </c>
      <c r="M156" s="421">
        <v>0</v>
      </c>
      <c r="N156" s="421">
        <v>0</v>
      </c>
      <c r="O156" s="421">
        <v>12204.64</v>
      </c>
      <c r="P156" s="421">
        <v>11666.2</v>
      </c>
      <c r="Q156" s="421">
        <v>12486.68</v>
      </c>
      <c r="R156" s="421">
        <v>12717.44</v>
      </c>
      <c r="S156" s="421">
        <v>13298.32</v>
      </c>
      <c r="T156" s="421">
        <v>11726.04</v>
      </c>
      <c r="U156" s="421">
        <v>11620.400000000001</v>
      </c>
      <c r="V156" s="421">
        <v>13733.2</v>
      </c>
      <c r="W156" s="421">
        <v>13310.64</v>
      </c>
      <c r="X156" s="421">
        <v>32814.425000000003</v>
      </c>
      <c r="Y156" s="421">
        <v>0</v>
      </c>
      <c r="Z156" s="333">
        <f t="shared" ref="Z156:Z164" si="1224">SUM(F156:Y156)</f>
        <v>194577.98499999999</v>
      </c>
      <c r="AA156" s="344"/>
      <c r="AB156" s="344"/>
      <c r="AC156" s="346">
        <f>F156</f>
        <v>10000</v>
      </c>
      <c r="AD156" s="346">
        <f>G156</f>
        <v>12000</v>
      </c>
      <c r="AE156" s="346">
        <f t="shared" ref="AD156:AQ158" si="1225">H156</f>
        <v>11000</v>
      </c>
      <c r="AF156" s="346">
        <f t="shared" si="1225"/>
        <v>12000</v>
      </c>
      <c r="AG156" s="346">
        <f t="shared" si="1225"/>
        <v>4000</v>
      </c>
      <c r="AH156" s="346">
        <f t="shared" si="1225"/>
        <v>0</v>
      </c>
      <c r="AI156" s="415">
        <f t="shared" si="1225"/>
        <v>0</v>
      </c>
      <c r="AJ156" s="415">
        <f t="shared" si="1225"/>
        <v>0</v>
      </c>
      <c r="AK156" s="415">
        <f t="shared" si="1225"/>
        <v>0</v>
      </c>
      <c r="AL156" s="415">
        <f t="shared" si="1225"/>
        <v>12204.64</v>
      </c>
      <c r="AM156" s="346">
        <f t="shared" si="1225"/>
        <v>11666.2</v>
      </c>
      <c r="AN156" s="333">
        <f t="shared" si="1225"/>
        <v>12486.68</v>
      </c>
      <c r="AO156" s="333">
        <f t="shared" si="1197"/>
        <v>12717.44</v>
      </c>
      <c r="AP156" s="333">
        <f t="shared" ref="AP156" si="1226">S156</f>
        <v>13298.32</v>
      </c>
      <c r="AQ156" s="333">
        <f t="shared" si="1197"/>
        <v>11726.04</v>
      </c>
      <c r="AR156" s="333">
        <f t="shared" si="1197"/>
        <v>11620.400000000001</v>
      </c>
      <c r="AS156" s="333">
        <f t="shared" si="1197"/>
        <v>13733.2</v>
      </c>
      <c r="AT156" s="333">
        <f t="shared" si="1197"/>
        <v>13310.64</v>
      </c>
      <c r="AU156" s="333">
        <f t="shared" si="1197"/>
        <v>32814.425000000003</v>
      </c>
      <c r="AV156" s="333">
        <f t="shared" ref="AV156" si="1227">Y156</f>
        <v>0</v>
      </c>
      <c r="AW156" s="346"/>
      <c r="AX156" s="346">
        <f>IF(AX$149=$E156,SUM(AC156:AF156),0)</f>
        <v>45000</v>
      </c>
      <c r="AY156" s="346">
        <f t="shared" ref="AY156" si="1228">IF(AY$149=$E156,SUM(AD156:AG156),0)</f>
        <v>0</v>
      </c>
      <c r="AZ156" s="346">
        <f t="shared" ref="AZ156" si="1229">IF(AZ$149=$E156,SUM(AE156:AH156),0)</f>
        <v>0</v>
      </c>
      <c r="BA156" s="346">
        <f t="shared" ref="BA156" si="1230">IF(BA$149=$E156,SUM(AF156:AI156),0)</f>
        <v>0</v>
      </c>
      <c r="BB156" s="346">
        <f t="shared" ref="BB156" si="1231">IF(BB$149=$E156,SUM(AG156:AJ156),0)</f>
        <v>4000</v>
      </c>
      <c r="BC156" s="346">
        <f t="shared" ref="BC156" si="1232">IF(BC$149=$E156,SUM(AH156:AK156),0)</f>
        <v>0</v>
      </c>
      <c r="BD156" s="346">
        <f t="shared" ref="BD156" si="1233">IF(BD$149=$E156,SUM(AI156:AL156),0)</f>
        <v>0</v>
      </c>
      <c r="BE156" s="346">
        <f t="shared" ref="BE156" si="1234">IF(BE$149=$E156,SUM(AJ156:AM156),0)</f>
        <v>0</v>
      </c>
      <c r="BF156" s="346">
        <v>49998</v>
      </c>
      <c r="BG156" s="346">
        <f t="shared" ref="BG156" si="1235">IF(BG$149=$E156,SUM(AL156:AO156),0)</f>
        <v>0</v>
      </c>
      <c r="BH156" s="346">
        <f t="shared" ref="BH156" si="1236">IF(BH$149=$E156,SUM(AM156:AP156),0)</f>
        <v>0</v>
      </c>
      <c r="BI156" s="346">
        <f t="shared" ref="BI156" si="1237">IF(BI$149=$E156,SUM(AN156:AQ156),0)</f>
        <v>0</v>
      </c>
      <c r="BJ156" s="346">
        <v>16600.88</v>
      </c>
      <c r="BK156" s="333">
        <v>-845.12</v>
      </c>
      <c r="BL156" s="333">
        <v>51499.5</v>
      </c>
      <c r="BM156" s="346">
        <v>0</v>
      </c>
      <c r="BN156" s="346">
        <v>0</v>
      </c>
      <c r="BO156" s="346">
        <v>0</v>
      </c>
      <c r="BP156" s="333">
        <v>28324.725000000002</v>
      </c>
      <c r="BQ156" s="346">
        <f t="shared" ref="BQ156" si="1238">IF(BQ$149=$E156,SUM(AV156:AZ156),0)</f>
        <v>0</v>
      </c>
      <c r="BR156" s="370">
        <f t="shared" si="575"/>
        <v>0</v>
      </c>
      <c r="BS156" s="402">
        <f t="shared" si="578"/>
        <v>0</v>
      </c>
      <c r="BT156" s="402">
        <f t="shared" si="579"/>
        <v>0</v>
      </c>
    </row>
    <row r="157" spans="1:72" s="235" customFormat="1" ht="14.45" hidden="1" customHeight="1" outlineLevel="1" x14ac:dyDescent="0.25">
      <c r="A157" s="235" t="s">
        <v>139</v>
      </c>
      <c r="B157" s="236" t="str">
        <f>VLOOKUP(A157,'DFP-Com'!$A$16:$B$50,2,1)</f>
        <v xml:space="preserve">     4.1.a  Staff Compensation*</v>
      </c>
      <c r="C157" s="344" t="s">
        <v>183</v>
      </c>
      <c r="D157" s="346">
        <f>SUM(F157:Y157)</f>
        <v>198040.07249999998</v>
      </c>
      <c r="E157" s="417" t="s">
        <v>191</v>
      </c>
      <c r="F157" s="421"/>
      <c r="G157" s="421">
        <v>6666.67</v>
      </c>
      <c r="H157" s="421">
        <v>10500</v>
      </c>
      <c r="I157" s="421">
        <v>10500</v>
      </c>
      <c r="J157" s="421">
        <v>11489.28</v>
      </c>
      <c r="K157" s="421">
        <v>11130.24</v>
      </c>
      <c r="L157" s="421">
        <v>6103.68</v>
      </c>
      <c r="M157" s="421">
        <v>0</v>
      </c>
      <c r="N157" s="421">
        <v>10053.119999999999</v>
      </c>
      <c r="O157" s="421">
        <v>11489.28</v>
      </c>
      <c r="P157" s="421">
        <v>9469.68</v>
      </c>
      <c r="Q157" s="421">
        <v>10950.720000000001</v>
      </c>
      <c r="R157" s="421">
        <v>11515.52</v>
      </c>
      <c r="S157" s="421">
        <v>11520.84</v>
      </c>
      <c r="T157" s="426">
        <v>11026.08</v>
      </c>
      <c r="U157" s="426">
        <v>12343.52</v>
      </c>
      <c r="V157" s="426">
        <v>13473.2</v>
      </c>
      <c r="W157" s="426">
        <v>13058.64</v>
      </c>
      <c r="X157" s="426">
        <v>26749.602500000001</v>
      </c>
      <c r="Y157" s="426">
        <v>0</v>
      </c>
      <c r="Z157" s="333">
        <f t="shared" si="1224"/>
        <v>198040.07249999998</v>
      </c>
      <c r="AA157" s="344"/>
      <c r="AB157" s="344"/>
      <c r="AC157" s="346">
        <f t="shared" si="1195"/>
        <v>0</v>
      </c>
      <c r="AD157" s="346">
        <f t="shared" si="1225"/>
        <v>6666.67</v>
      </c>
      <c r="AE157" s="346">
        <f t="shared" si="1225"/>
        <v>10500</v>
      </c>
      <c r="AF157" s="346">
        <f t="shared" si="1225"/>
        <v>10500</v>
      </c>
      <c r="AG157" s="346">
        <f t="shared" si="1225"/>
        <v>11489.28</v>
      </c>
      <c r="AH157" s="346">
        <f t="shared" si="1225"/>
        <v>11130.24</v>
      </c>
      <c r="AI157" s="346">
        <f t="shared" si="1225"/>
        <v>6103.68</v>
      </c>
      <c r="AJ157" s="346">
        <f t="shared" si="1225"/>
        <v>0</v>
      </c>
      <c r="AK157" s="415">
        <f t="shared" si="1225"/>
        <v>10053.119999999999</v>
      </c>
      <c r="AL157" s="346">
        <f t="shared" si="1225"/>
        <v>11489.28</v>
      </c>
      <c r="AM157" s="346">
        <f t="shared" si="1225"/>
        <v>9469.68</v>
      </c>
      <c r="AN157" s="333">
        <f t="shared" si="1225"/>
        <v>10950.720000000001</v>
      </c>
      <c r="AO157" s="333">
        <f t="shared" si="1225"/>
        <v>11515.52</v>
      </c>
      <c r="AP157" s="346">
        <f t="shared" si="1225"/>
        <v>11520.84</v>
      </c>
      <c r="AQ157" s="333">
        <f t="shared" si="1225"/>
        <v>11026.08</v>
      </c>
      <c r="AR157" s="346">
        <f t="shared" ref="AR157:AR158" si="1239">U157</f>
        <v>12343.52</v>
      </c>
      <c r="AS157" s="346">
        <f t="shared" ref="AS157:AS158" si="1240">V157</f>
        <v>13473.2</v>
      </c>
      <c r="AT157" s="346">
        <f t="shared" ref="AT157:AT158" si="1241">W157</f>
        <v>13058.64</v>
      </c>
      <c r="AU157" s="346">
        <f t="shared" ref="AU157:AV158" si="1242">X157</f>
        <v>26749.602500000001</v>
      </c>
      <c r="AV157" s="346">
        <f t="shared" si="1242"/>
        <v>0</v>
      </c>
      <c r="AW157" s="346"/>
      <c r="AX157" s="346">
        <f>IF(AX$149=$E157,SUM(AC157:AF157),0)</f>
        <v>0</v>
      </c>
      <c r="AY157" s="346">
        <v>42000</v>
      </c>
      <c r="AZ157" s="346">
        <f>IF(AZ$149=$E157,SUM(AE157:AH157),0)</f>
        <v>0</v>
      </c>
      <c r="BA157" s="346">
        <v>7000</v>
      </c>
      <c r="BB157" s="346">
        <f>IF(BB$149=$E157,SUM(AG157:AJ157),0)</f>
        <v>0</v>
      </c>
      <c r="BC157" s="346">
        <v>3440.43</v>
      </c>
      <c r="BD157" s="346">
        <v>3949.44</v>
      </c>
      <c r="BE157" s="346">
        <v>0</v>
      </c>
      <c r="BF157" s="346">
        <v>43758</v>
      </c>
      <c r="BG157" s="346">
        <v>0</v>
      </c>
      <c r="BH157" s="346">
        <v>0</v>
      </c>
      <c r="BI157" s="333">
        <v>1615.68</v>
      </c>
      <c r="BJ157" s="346">
        <v>22971</v>
      </c>
      <c r="BK157" s="333">
        <v>-329.84</v>
      </c>
      <c r="BL157" s="333">
        <v>12062.720000000001</v>
      </c>
      <c r="BM157" s="346">
        <v>37258.58</v>
      </c>
      <c r="BN157" s="346">
        <v>0</v>
      </c>
      <c r="BO157" s="346">
        <v>0</v>
      </c>
      <c r="BP157" s="333">
        <v>24314.0625</v>
      </c>
      <c r="BQ157" s="346">
        <v>0</v>
      </c>
      <c r="BR157" s="430">
        <f t="shared" si="575"/>
        <v>0</v>
      </c>
      <c r="BS157" s="402">
        <f t="shared" si="578"/>
        <v>0</v>
      </c>
      <c r="BT157" s="402">
        <f t="shared" si="579"/>
        <v>0</v>
      </c>
    </row>
    <row r="158" spans="1:72" s="235" customFormat="1" ht="14.45" hidden="1" customHeight="1" outlineLevel="1" x14ac:dyDescent="0.25">
      <c r="A158" s="235" t="s">
        <v>139</v>
      </c>
      <c r="B158" s="236" t="str">
        <f>VLOOKUP(A158,'DFP-Com'!$A$16:$B$50,2,1)</f>
        <v xml:space="preserve">     4.1.a  Staff Compensation*</v>
      </c>
      <c r="C158" s="344" t="s">
        <v>184</v>
      </c>
      <c r="D158" s="346">
        <f>SUM(F158:Y158)</f>
        <v>143704.59</v>
      </c>
      <c r="E158" s="417" t="s">
        <v>191</v>
      </c>
      <c r="F158" s="421">
        <v>0</v>
      </c>
      <c r="G158" s="421">
        <v>1760</v>
      </c>
      <c r="H158" s="421">
        <v>4400</v>
      </c>
      <c r="I158" s="421">
        <v>0</v>
      </c>
      <c r="J158" s="421">
        <v>8981.92</v>
      </c>
      <c r="K158" s="421">
        <v>7628.48</v>
      </c>
      <c r="L158" s="421">
        <v>7136.32</v>
      </c>
      <c r="M158" s="421">
        <v>7351.64</v>
      </c>
      <c r="N158" s="421">
        <v>8059.12</v>
      </c>
      <c r="O158" s="421">
        <v>7382.4</v>
      </c>
      <c r="P158" s="421">
        <v>7653.76</v>
      </c>
      <c r="Q158" s="421">
        <v>8392.32</v>
      </c>
      <c r="R158" s="421">
        <v>7986.24</v>
      </c>
      <c r="S158" s="421">
        <v>8527.68</v>
      </c>
      <c r="T158" s="421">
        <v>9017.92</v>
      </c>
      <c r="U158" s="421">
        <v>9235.52</v>
      </c>
      <c r="V158" s="421">
        <v>9682.4000000000015</v>
      </c>
      <c r="W158" s="421">
        <v>9682.4000000000015</v>
      </c>
      <c r="X158" s="421">
        <v>20826.47</v>
      </c>
      <c r="Y158" s="421">
        <v>0</v>
      </c>
      <c r="Z158" s="333">
        <f t="shared" si="1224"/>
        <v>143704.59</v>
      </c>
      <c r="AA158" s="344"/>
      <c r="AB158" s="344"/>
      <c r="AC158" s="346">
        <f t="shared" si="1195"/>
        <v>0</v>
      </c>
      <c r="AD158" s="346">
        <f t="shared" si="1225"/>
        <v>1760</v>
      </c>
      <c r="AE158" s="346">
        <f t="shared" si="1225"/>
        <v>4400</v>
      </c>
      <c r="AF158" s="346">
        <f t="shared" si="1225"/>
        <v>0</v>
      </c>
      <c r="AG158" s="346">
        <f t="shared" si="1225"/>
        <v>8981.92</v>
      </c>
      <c r="AH158" s="346">
        <f t="shared" si="1225"/>
        <v>7628.48</v>
      </c>
      <c r="AI158" s="346">
        <f t="shared" si="1225"/>
        <v>7136.32</v>
      </c>
      <c r="AJ158" s="346">
        <f t="shared" si="1225"/>
        <v>7351.64</v>
      </c>
      <c r="AK158" s="346">
        <f t="shared" si="1225"/>
        <v>8059.12</v>
      </c>
      <c r="AL158" s="346">
        <f t="shared" si="1225"/>
        <v>7382.4</v>
      </c>
      <c r="AM158" s="346">
        <f t="shared" si="1225"/>
        <v>7653.76</v>
      </c>
      <c r="AN158" s="346">
        <f t="shared" si="1225"/>
        <v>8392.32</v>
      </c>
      <c r="AO158" s="346">
        <f t="shared" si="1225"/>
        <v>7986.24</v>
      </c>
      <c r="AP158" s="333">
        <f t="shared" si="1225"/>
        <v>8527.68</v>
      </c>
      <c r="AQ158" s="333">
        <f t="shared" si="1225"/>
        <v>9017.92</v>
      </c>
      <c r="AR158" s="333">
        <f t="shared" si="1239"/>
        <v>9235.52</v>
      </c>
      <c r="AS158" s="333">
        <f t="shared" si="1240"/>
        <v>9682.4000000000015</v>
      </c>
      <c r="AT158" s="346">
        <f t="shared" si="1241"/>
        <v>9682.4000000000015</v>
      </c>
      <c r="AU158" s="346">
        <f t="shared" si="1242"/>
        <v>20826.47</v>
      </c>
      <c r="AV158" s="346">
        <f t="shared" si="1242"/>
        <v>0</v>
      </c>
      <c r="AW158" s="346"/>
      <c r="AX158" s="346">
        <v>0</v>
      </c>
      <c r="AY158" s="346">
        <v>6160</v>
      </c>
      <c r="AZ158" s="346">
        <v>0</v>
      </c>
      <c r="BA158" s="346">
        <v>29991</v>
      </c>
      <c r="BB158" s="346">
        <v>0</v>
      </c>
      <c r="BC158" s="346">
        <v>0</v>
      </c>
      <c r="BD158" s="346">
        <v>0</v>
      </c>
      <c r="BE158" s="346">
        <v>18517.52</v>
      </c>
      <c r="BF158" s="346">
        <v>0</v>
      </c>
      <c r="BG158" s="346">
        <v>0</v>
      </c>
      <c r="BH158" s="415">
        <v>32994</v>
      </c>
      <c r="BI158" s="333">
        <v>0</v>
      </c>
      <c r="BJ158" s="346">
        <v>0</v>
      </c>
      <c r="BK158" s="333">
        <v>-236.88</v>
      </c>
      <c r="BL158" s="333">
        <v>36309</v>
      </c>
      <c r="BM158" s="346">
        <v>0</v>
      </c>
      <c r="BN158" s="346">
        <v>0</v>
      </c>
      <c r="BO158" s="346">
        <v>0</v>
      </c>
      <c r="BP158" s="333">
        <v>19969.95</v>
      </c>
      <c r="BQ158" s="346">
        <v>0</v>
      </c>
      <c r="BR158" s="370">
        <f>SUM(AC158:AV158)-SUM(AX158:BQ158)</f>
        <v>0</v>
      </c>
      <c r="BS158" s="402">
        <f t="shared" si="578"/>
        <v>0</v>
      </c>
      <c r="BT158" s="402">
        <f t="shared" si="579"/>
        <v>0</v>
      </c>
    </row>
    <row r="159" spans="1:72" s="235" customFormat="1" ht="14.45" hidden="1" customHeight="1" outlineLevel="1" x14ac:dyDescent="0.25">
      <c r="A159" s="235" t="s">
        <v>139</v>
      </c>
      <c r="B159" s="236" t="str">
        <f>VLOOKUP(A159,'DFP-Com'!$A$16:$B$50,2,1)</f>
        <v xml:space="preserve">     4.1.a  Staff Compensation*</v>
      </c>
      <c r="C159" s="344" t="s">
        <v>185</v>
      </c>
      <c r="D159" s="333">
        <f>SUM(F159:Y159)</f>
        <v>151000.41000000003</v>
      </c>
      <c r="E159" s="417" t="s">
        <v>191</v>
      </c>
      <c r="F159" s="421"/>
      <c r="G159" s="421">
        <v>1760</v>
      </c>
      <c r="H159" s="421">
        <f>2200*3</f>
        <v>6600</v>
      </c>
      <c r="I159" s="421">
        <f t="shared" ref="I159" si="1243">2200*3</f>
        <v>6600</v>
      </c>
      <c r="J159" s="421">
        <v>7874.56</v>
      </c>
      <c r="K159" s="421">
        <v>7628.48</v>
      </c>
      <c r="L159" s="421">
        <v>6767.2</v>
      </c>
      <c r="M159" s="421">
        <v>7520.82</v>
      </c>
      <c r="N159" s="421">
        <v>7997.6</v>
      </c>
      <c r="O159" s="421">
        <v>7505.44</v>
      </c>
      <c r="P159" s="421">
        <v>7395.36</v>
      </c>
      <c r="Q159" s="421">
        <v>8121.6000000000013</v>
      </c>
      <c r="R159" s="421">
        <v>8392.32</v>
      </c>
      <c r="S159" s="421">
        <v>8392.32</v>
      </c>
      <c r="T159" s="421">
        <v>8720</v>
      </c>
      <c r="U159" s="421">
        <v>9235.52</v>
      </c>
      <c r="V159" s="421">
        <v>9682.4000000000015</v>
      </c>
      <c r="W159" s="421">
        <v>9384.4800000000014</v>
      </c>
      <c r="X159" s="421">
        <v>21422.31</v>
      </c>
      <c r="Y159" s="421">
        <v>0</v>
      </c>
      <c r="Z159" s="333">
        <f t="shared" ref="Z159" si="1244">SUM(F159:Y159)</f>
        <v>151000.41000000003</v>
      </c>
      <c r="AA159" s="344"/>
      <c r="AB159" s="344"/>
      <c r="AC159" s="346">
        <f t="shared" ref="AC159" si="1245">F159</f>
        <v>0</v>
      </c>
      <c r="AD159" s="346">
        <f t="shared" ref="AD159" si="1246">G159</f>
        <v>1760</v>
      </c>
      <c r="AE159" s="346">
        <f t="shared" ref="AE159" si="1247">H159</f>
        <v>6600</v>
      </c>
      <c r="AF159" s="346">
        <f t="shared" ref="AF159" si="1248">I159</f>
        <v>6600</v>
      </c>
      <c r="AG159" s="346">
        <f t="shared" ref="AG159" si="1249">J159</f>
        <v>7874.56</v>
      </c>
      <c r="AH159" s="346">
        <f t="shared" ref="AH159" si="1250">K159</f>
        <v>7628.48</v>
      </c>
      <c r="AI159" s="346">
        <f t="shared" ref="AI159" si="1251">L159</f>
        <v>6767.2</v>
      </c>
      <c r="AJ159" s="415">
        <f t="shared" ref="AJ159" si="1252">M159</f>
        <v>7520.82</v>
      </c>
      <c r="AK159" s="415">
        <f t="shared" ref="AK159" si="1253">N159</f>
        <v>7997.6</v>
      </c>
      <c r="AL159" s="346">
        <f t="shared" ref="AL159" si="1254">O159</f>
        <v>7505.44</v>
      </c>
      <c r="AM159" s="346">
        <f t="shared" ref="AM159" si="1255">P159</f>
        <v>7395.36</v>
      </c>
      <c r="AN159" s="333">
        <f t="shared" ref="AN159" si="1256">Q159</f>
        <v>8121.6000000000013</v>
      </c>
      <c r="AO159" s="333">
        <f t="shared" ref="AO159" si="1257">R159</f>
        <v>8392.32</v>
      </c>
      <c r="AP159" s="333">
        <f t="shared" ref="AP159" si="1258">S159</f>
        <v>8392.32</v>
      </c>
      <c r="AQ159" s="333">
        <f t="shared" ref="AQ159" si="1259">T159</f>
        <v>8720</v>
      </c>
      <c r="AR159" s="333">
        <f>U159</f>
        <v>9235.52</v>
      </c>
      <c r="AS159" s="333">
        <f t="shared" ref="AS159" si="1260">V159</f>
        <v>9682.4000000000015</v>
      </c>
      <c r="AT159" s="333">
        <f t="shared" ref="AT159" si="1261">W159</f>
        <v>9384.4800000000014</v>
      </c>
      <c r="AU159" s="333">
        <f t="shared" ref="AU159" si="1262">X159</f>
        <v>21422.31</v>
      </c>
      <c r="AV159" s="333">
        <f t="shared" ref="AV159" si="1263">Y159</f>
        <v>0</v>
      </c>
      <c r="AW159" s="346"/>
      <c r="AX159" s="415">
        <f t="shared" ref="AX159" si="1264">IF(AX$149=$E159,SUM(AC159:AF159),0)</f>
        <v>0</v>
      </c>
      <c r="AY159" s="415">
        <v>32185.599999999999</v>
      </c>
      <c r="AZ159" s="415">
        <f>IF(AZ$149=$E159,SUM(AE159:AH159),0)</f>
        <v>0</v>
      </c>
      <c r="BA159" s="415">
        <f>IF(BA$149=$E159,SUM(AF159:AI159),0)</f>
        <v>0</v>
      </c>
      <c r="BB159" s="415">
        <f>IF(BB$149=$E159,SUM(AG159:AJ159),0)</f>
        <v>0</v>
      </c>
      <c r="BC159" s="415">
        <v>0</v>
      </c>
      <c r="BD159" s="415">
        <f>29991-76.9</f>
        <v>29914.1</v>
      </c>
      <c r="BE159" s="346">
        <f>IF(BE$149=$E159,SUM(AJ159:AM159),0)</f>
        <v>0</v>
      </c>
      <c r="BF159" s="346">
        <f>IF(BF$149=$E159,SUM(AK159:AN159),0)</f>
        <v>0</v>
      </c>
      <c r="BG159" s="346">
        <v>0</v>
      </c>
      <c r="BH159" s="415">
        <v>32994</v>
      </c>
      <c r="BI159" s="333">
        <f>IF(BI$149=$E159,SUM(AN159:AQ159),0)</f>
        <v>0</v>
      </c>
      <c r="BJ159" s="346">
        <v>0</v>
      </c>
      <c r="BK159" s="333">
        <v>-372.24</v>
      </c>
      <c r="BL159" s="333">
        <v>36309</v>
      </c>
      <c r="BM159" s="346">
        <v>0</v>
      </c>
      <c r="BN159" s="346">
        <v>0</v>
      </c>
      <c r="BO159" s="346">
        <v>0</v>
      </c>
      <c r="BP159" s="333">
        <v>19969.95</v>
      </c>
      <c r="BQ159" s="346">
        <v>0</v>
      </c>
      <c r="BR159" s="370">
        <f t="shared" ref="BR159" si="1265">SUM(AC159:AV159)-SUM(AX159:BQ159)</f>
        <v>0</v>
      </c>
      <c r="BS159" s="402">
        <f t="shared" si="578"/>
        <v>0</v>
      </c>
      <c r="BT159" s="402">
        <f t="shared" si="579"/>
        <v>0</v>
      </c>
    </row>
    <row r="160" spans="1:72" s="235" customFormat="1" ht="14.45" hidden="1" customHeight="1" outlineLevel="1" x14ac:dyDescent="0.25">
      <c r="A160" s="235" t="s">
        <v>139</v>
      </c>
      <c r="B160" s="236" t="str">
        <f>VLOOKUP(A160,'DFP-Com'!$A$16:$B$50,2,1)</f>
        <v xml:space="preserve">     4.1.a  Staff Compensation*</v>
      </c>
      <c r="C160" s="344" t="s">
        <v>355</v>
      </c>
      <c r="D160" s="346">
        <v>0</v>
      </c>
      <c r="E160" s="417" t="s">
        <v>326</v>
      </c>
      <c r="F160" s="421"/>
      <c r="G160" s="421">
        <v>0</v>
      </c>
      <c r="H160" s="421">
        <v>0</v>
      </c>
      <c r="I160" s="421">
        <v>0</v>
      </c>
      <c r="J160" s="421">
        <v>0</v>
      </c>
      <c r="K160" s="421">
        <v>0</v>
      </c>
      <c r="L160" s="421">
        <v>0</v>
      </c>
      <c r="M160" s="421">
        <v>0</v>
      </c>
      <c r="N160" s="421">
        <v>0</v>
      </c>
      <c r="O160" s="421">
        <v>0</v>
      </c>
      <c r="P160" s="421">
        <v>0</v>
      </c>
      <c r="Q160" s="421">
        <v>0</v>
      </c>
      <c r="R160" s="421">
        <v>0</v>
      </c>
      <c r="S160" s="421">
        <v>0</v>
      </c>
      <c r="T160" s="421">
        <v>0</v>
      </c>
      <c r="U160" s="421">
        <v>0</v>
      </c>
      <c r="V160" s="421">
        <v>0</v>
      </c>
      <c r="W160" s="421">
        <v>0</v>
      </c>
      <c r="X160" s="421">
        <v>0</v>
      </c>
      <c r="Y160" s="421">
        <v>0</v>
      </c>
      <c r="Z160" s="333">
        <f t="shared" ref="Z160" si="1266">SUM(F160:Y160)</f>
        <v>0</v>
      </c>
      <c r="AA160" s="344"/>
      <c r="AB160" s="344"/>
      <c r="AC160" s="346">
        <f t="shared" ref="AC160" si="1267">F160</f>
        <v>0</v>
      </c>
      <c r="AD160" s="346">
        <f t="shared" ref="AD160" si="1268">G160</f>
        <v>0</v>
      </c>
      <c r="AE160" s="346">
        <f t="shared" ref="AE160" si="1269">H160</f>
        <v>0</v>
      </c>
      <c r="AF160" s="346">
        <f t="shared" ref="AF160" si="1270">I160</f>
        <v>0</v>
      </c>
      <c r="AG160" s="346">
        <f t="shared" ref="AG160" si="1271">J160</f>
        <v>0</v>
      </c>
      <c r="AH160" s="346">
        <f t="shared" ref="AH160" si="1272">K160</f>
        <v>0</v>
      </c>
      <c r="AI160" s="346">
        <f t="shared" ref="AI160" si="1273">L160</f>
        <v>0</v>
      </c>
      <c r="AJ160" s="415">
        <f t="shared" ref="AJ160" si="1274">M160</f>
        <v>0</v>
      </c>
      <c r="AK160" s="415">
        <f t="shared" ref="AK160" si="1275">N160</f>
        <v>0</v>
      </c>
      <c r="AL160" s="346">
        <f t="shared" ref="AL160" si="1276">O160</f>
        <v>0</v>
      </c>
      <c r="AM160" s="346">
        <f t="shared" ref="AM160" si="1277">P160</f>
        <v>0</v>
      </c>
      <c r="AN160" s="333">
        <f t="shared" ref="AN160" si="1278">Q160</f>
        <v>0</v>
      </c>
      <c r="AO160" s="333">
        <f t="shared" ref="AO160" si="1279">R160</f>
        <v>0</v>
      </c>
      <c r="AP160" s="333">
        <f t="shared" ref="AP160" si="1280">S160</f>
        <v>0</v>
      </c>
      <c r="AQ160" s="333">
        <f t="shared" ref="AQ160:AQ162" si="1281">T160</f>
        <v>0</v>
      </c>
      <c r="AR160" s="333">
        <f t="shared" ref="AR160" si="1282">U160</f>
        <v>0</v>
      </c>
      <c r="AS160" s="333">
        <f t="shared" ref="AS160" si="1283">V160</f>
        <v>0</v>
      </c>
      <c r="AT160" s="333">
        <f t="shared" ref="AT160" si="1284">W160</f>
        <v>0</v>
      </c>
      <c r="AU160" s="333">
        <f t="shared" ref="AU160" si="1285">X160</f>
        <v>0</v>
      </c>
      <c r="AV160" s="333">
        <f t="shared" ref="AV160" si="1286">Y160</f>
        <v>0</v>
      </c>
      <c r="AW160" s="346"/>
      <c r="AX160" s="415">
        <f t="shared" ref="AX160" si="1287">IF(AX$149=$E160,SUM(AC160:AF160),0)</f>
        <v>0</v>
      </c>
      <c r="AY160" s="415">
        <v>0</v>
      </c>
      <c r="AZ160" s="415">
        <f t="shared" ref="AZ160" si="1288">IF(AZ$149=$E160,SUM(AE160:AH160),0)</f>
        <v>0</v>
      </c>
      <c r="BA160" s="415">
        <f t="shared" ref="BA160" si="1289">IF(BA$149=$E160,SUM(AF160:AI160),0)</f>
        <v>0</v>
      </c>
      <c r="BB160" s="415">
        <f t="shared" ref="BB160" si="1290">IF(BB$149=$E160,SUM(AG160:AJ160),0)</f>
        <v>0</v>
      </c>
      <c r="BC160" s="415">
        <v>0</v>
      </c>
      <c r="BD160" s="415">
        <v>0</v>
      </c>
      <c r="BE160" s="346">
        <f t="shared" ref="BE160" si="1291">IF(BE$149=$E160,SUM(AJ160:AM160),0)</f>
        <v>0</v>
      </c>
      <c r="BF160" s="346">
        <f t="shared" ref="BF160" si="1292">IF(BF$149=$E160,SUM(AK160:AN160),0)</f>
        <v>0</v>
      </c>
      <c r="BG160" s="346">
        <v>0</v>
      </c>
      <c r="BH160" s="415"/>
      <c r="BI160" s="333">
        <f t="shared" ref="BI160" si="1293">IF(BI$149=$E160,SUM(AN160:AQ160),0)</f>
        <v>0</v>
      </c>
      <c r="BJ160" s="346">
        <v>0</v>
      </c>
      <c r="BK160" s="333">
        <v>0</v>
      </c>
      <c r="BL160" s="333">
        <v>0</v>
      </c>
      <c r="BM160" s="346">
        <v>0</v>
      </c>
      <c r="BN160" s="346">
        <v>0</v>
      </c>
      <c r="BO160" s="346">
        <v>0</v>
      </c>
      <c r="BP160" s="333">
        <v>0</v>
      </c>
      <c r="BQ160" s="346">
        <v>0</v>
      </c>
      <c r="BR160" s="370">
        <f t="shared" ref="BR160" si="1294">SUM(AC160:AV160)-SUM(AX160:BQ160)</f>
        <v>0</v>
      </c>
      <c r="BS160" s="402">
        <f t="shared" si="578"/>
        <v>0</v>
      </c>
      <c r="BT160" s="402">
        <f t="shared" si="579"/>
        <v>0</v>
      </c>
    </row>
    <row r="161" spans="1:74" s="235" customFormat="1" ht="14.45" hidden="1" customHeight="1" x14ac:dyDescent="0.25">
      <c r="A161" s="235" t="s">
        <v>142</v>
      </c>
      <c r="B161" s="236" t="str">
        <f>VLOOKUP(A161,'DFP-Com'!$A$16:$B$50,2,1)</f>
        <v xml:space="preserve">     4.1.d  Other</v>
      </c>
      <c r="C161" s="344" t="s">
        <v>296</v>
      </c>
      <c r="D161" s="346">
        <v>6802.75</v>
      </c>
      <c r="E161" s="344" t="s">
        <v>239</v>
      </c>
      <c r="F161" s="345"/>
      <c r="G161" s="345">
        <v>0</v>
      </c>
      <c r="H161" s="345">
        <v>0</v>
      </c>
      <c r="I161" s="345">
        <v>0</v>
      </c>
      <c r="J161" s="417"/>
      <c r="K161" s="417"/>
      <c r="L161" s="417">
        <v>0</v>
      </c>
      <c r="M161" s="417">
        <v>0</v>
      </c>
      <c r="N161" s="417">
        <v>0</v>
      </c>
      <c r="O161" s="424">
        <v>1</v>
      </c>
      <c r="P161" s="417"/>
      <c r="Q161" s="417"/>
      <c r="R161" s="417"/>
      <c r="S161" s="417"/>
      <c r="T161" s="417"/>
      <c r="U161" s="417"/>
      <c r="V161" s="417"/>
      <c r="W161" s="417"/>
      <c r="X161" s="417"/>
      <c r="Y161" s="417"/>
      <c r="Z161" s="416">
        <f t="shared" si="1224"/>
        <v>1</v>
      </c>
      <c r="AA161" s="344"/>
      <c r="AB161" s="344"/>
      <c r="AC161" s="346">
        <f t="shared" ref="AC161:AU161" si="1295">F161*$D161</f>
        <v>0</v>
      </c>
      <c r="AD161" s="333">
        <f t="shared" si="1295"/>
        <v>0</v>
      </c>
      <c r="AE161" s="346">
        <f t="shared" si="1295"/>
        <v>0</v>
      </c>
      <c r="AF161" s="346">
        <f t="shared" si="1295"/>
        <v>0</v>
      </c>
      <c r="AG161" s="346">
        <f t="shared" si="1295"/>
        <v>0</v>
      </c>
      <c r="AH161" s="346">
        <f t="shared" si="1295"/>
        <v>0</v>
      </c>
      <c r="AI161" s="346">
        <f t="shared" si="1295"/>
        <v>0</v>
      </c>
      <c r="AJ161" s="346">
        <f t="shared" si="1295"/>
        <v>0</v>
      </c>
      <c r="AK161" s="415">
        <f t="shared" si="1295"/>
        <v>0</v>
      </c>
      <c r="AL161" s="333">
        <f t="shared" si="1295"/>
        <v>6802.75</v>
      </c>
      <c r="AM161" s="346">
        <f t="shared" si="1295"/>
        <v>0</v>
      </c>
      <c r="AN161" s="333">
        <f t="shared" si="1295"/>
        <v>0</v>
      </c>
      <c r="AO161" s="346">
        <f t="shared" si="1295"/>
        <v>0</v>
      </c>
      <c r="AP161" s="333">
        <f t="shared" si="1295"/>
        <v>0</v>
      </c>
      <c r="AQ161" s="333">
        <f t="shared" si="1281"/>
        <v>0</v>
      </c>
      <c r="AR161" s="346">
        <f t="shared" si="1295"/>
        <v>0</v>
      </c>
      <c r="AS161" s="346">
        <f t="shared" si="1295"/>
        <v>0</v>
      </c>
      <c r="AT161" s="346">
        <f t="shared" si="1295"/>
        <v>0</v>
      </c>
      <c r="AU161" s="346">
        <f t="shared" si="1295"/>
        <v>0</v>
      </c>
      <c r="AV161" s="346"/>
      <c r="AW161" s="346"/>
      <c r="AX161" s="346">
        <f t="shared" ref="AX161:BQ161" si="1296">IF(AX$3=$E161,$D161,0)</f>
        <v>0</v>
      </c>
      <c r="AY161" s="346">
        <f t="shared" si="1296"/>
        <v>0</v>
      </c>
      <c r="AZ161" s="346">
        <f t="shared" si="1296"/>
        <v>0</v>
      </c>
      <c r="BA161" s="346">
        <f t="shared" si="1296"/>
        <v>0</v>
      </c>
      <c r="BB161" s="346">
        <f t="shared" si="1296"/>
        <v>0</v>
      </c>
      <c r="BC161" s="346">
        <f t="shared" si="1296"/>
        <v>0</v>
      </c>
      <c r="BD161" s="346">
        <f t="shared" si="1296"/>
        <v>0</v>
      </c>
      <c r="BE161" s="346">
        <f t="shared" si="1296"/>
        <v>0</v>
      </c>
      <c r="BF161" s="346">
        <f t="shared" si="1296"/>
        <v>0</v>
      </c>
      <c r="BG161" s="346">
        <f t="shared" si="1296"/>
        <v>6802.75</v>
      </c>
      <c r="BH161" s="346">
        <f t="shared" si="1296"/>
        <v>0</v>
      </c>
      <c r="BI161" s="346">
        <f t="shared" si="1296"/>
        <v>0</v>
      </c>
      <c r="BJ161" s="346">
        <f t="shared" si="1296"/>
        <v>0</v>
      </c>
      <c r="BK161" s="346">
        <f t="shared" si="1296"/>
        <v>0</v>
      </c>
      <c r="BL161" s="346">
        <f t="shared" si="1296"/>
        <v>0</v>
      </c>
      <c r="BM161" s="346">
        <f t="shared" si="1296"/>
        <v>0</v>
      </c>
      <c r="BN161" s="346">
        <f t="shared" si="1296"/>
        <v>0</v>
      </c>
      <c r="BO161" s="346">
        <f t="shared" si="1296"/>
        <v>0</v>
      </c>
      <c r="BP161" s="333">
        <f t="shared" si="1296"/>
        <v>0</v>
      </c>
      <c r="BQ161" s="346">
        <f t="shared" si="1296"/>
        <v>0</v>
      </c>
      <c r="BR161" s="370">
        <f t="shared" si="575"/>
        <v>0</v>
      </c>
      <c r="BS161" s="402">
        <f t="shared" si="578"/>
        <v>0</v>
      </c>
      <c r="BT161" s="402">
        <f t="shared" si="579"/>
        <v>0</v>
      </c>
    </row>
    <row r="162" spans="1:74" s="235" customFormat="1" ht="14.45" hidden="1" customHeight="1" outlineLevel="1" x14ac:dyDescent="0.25">
      <c r="A162" s="235" t="s">
        <v>139</v>
      </c>
      <c r="B162" s="236" t="str">
        <f>VLOOKUP(A162,'DFP-Com'!$A$16:$B$50,2,1)</f>
        <v xml:space="preserve">     4.1.a  Staff Compensation*</v>
      </c>
      <c r="C162" s="344" t="s">
        <v>339</v>
      </c>
      <c r="D162" s="346">
        <f>SUM(F162:Y162)</f>
        <v>42720.885000000002</v>
      </c>
      <c r="E162" s="417" t="s">
        <v>305</v>
      </c>
      <c r="F162" s="421"/>
      <c r="G162" s="421"/>
      <c r="H162" s="421"/>
      <c r="I162" s="421">
        <v>0</v>
      </c>
      <c r="J162" s="421">
        <v>0</v>
      </c>
      <c r="K162" s="421">
        <v>0</v>
      </c>
      <c r="L162" s="421">
        <v>0</v>
      </c>
      <c r="M162" s="421">
        <v>0</v>
      </c>
      <c r="N162" s="421">
        <v>0</v>
      </c>
      <c r="O162" s="421">
        <v>0</v>
      </c>
      <c r="P162" s="421">
        <v>0</v>
      </c>
      <c r="Q162" s="421">
        <v>0</v>
      </c>
      <c r="R162" s="421">
        <v>0</v>
      </c>
      <c r="S162" s="421">
        <v>2741.04</v>
      </c>
      <c r="T162" s="426">
        <v>6015.0599999999995</v>
      </c>
      <c r="U162" s="426">
        <v>6294.24</v>
      </c>
      <c r="V162" s="426">
        <v>6598.8</v>
      </c>
      <c r="W162" s="426">
        <v>6395.76</v>
      </c>
      <c r="X162" s="426">
        <v>14675.985000000001</v>
      </c>
      <c r="Y162" s="426">
        <v>0</v>
      </c>
      <c r="Z162" s="333">
        <f t="shared" si="1224"/>
        <v>42720.885000000002</v>
      </c>
      <c r="AA162" s="344"/>
      <c r="AB162" s="344"/>
      <c r="AC162" s="346">
        <f t="shared" ref="AC162" si="1297">F162</f>
        <v>0</v>
      </c>
      <c r="AD162" s="346">
        <f t="shared" ref="AD162" si="1298">G162</f>
        <v>0</v>
      </c>
      <c r="AE162" s="346">
        <f t="shared" ref="AE162" si="1299">H162</f>
        <v>0</v>
      </c>
      <c r="AF162" s="346">
        <f t="shared" ref="AF162" si="1300">I162</f>
        <v>0</v>
      </c>
      <c r="AG162" s="346">
        <f t="shared" ref="AG162" si="1301">J162</f>
        <v>0</v>
      </c>
      <c r="AH162" s="346">
        <f t="shared" ref="AH162" si="1302">K162</f>
        <v>0</v>
      </c>
      <c r="AI162" s="346">
        <f t="shared" ref="AI162" si="1303">L162</f>
        <v>0</v>
      </c>
      <c r="AJ162" s="415">
        <f t="shared" ref="AJ162" si="1304">M162</f>
        <v>0</v>
      </c>
      <c r="AK162" s="415">
        <f t="shared" ref="AK162" si="1305">N162</f>
        <v>0</v>
      </c>
      <c r="AL162" s="346">
        <f t="shared" ref="AL162" si="1306">O162</f>
        <v>0</v>
      </c>
      <c r="AM162" s="346">
        <f t="shared" ref="AM162" si="1307">P162</f>
        <v>0</v>
      </c>
      <c r="AN162" s="333">
        <f t="shared" ref="AN162" si="1308">Q162</f>
        <v>0</v>
      </c>
      <c r="AO162" s="333">
        <f t="shared" ref="AO162" si="1309">R162</f>
        <v>0</v>
      </c>
      <c r="AP162" s="333">
        <f t="shared" ref="AP162" si="1310">S162</f>
        <v>2741.04</v>
      </c>
      <c r="AQ162" s="333">
        <f t="shared" si="1281"/>
        <v>6015.0599999999995</v>
      </c>
      <c r="AR162" s="333">
        <f t="shared" ref="AR162" si="1311">U162</f>
        <v>6294.24</v>
      </c>
      <c r="AS162" s="333">
        <f t="shared" ref="AS162" si="1312">V162</f>
        <v>6598.8</v>
      </c>
      <c r="AT162" s="333">
        <f t="shared" ref="AT162" si="1313">W162</f>
        <v>6395.76</v>
      </c>
      <c r="AU162" s="333">
        <f t="shared" ref="AU162" si="1314">X162</f>
        <v>14675.985000000001</v>
      </c>
      <c r="AV162" s="346">
        <f t="shared" ref="AV162" si="1315">Y162</f>
        <v>0</v>
      </c>
      <c r="AW162" s="346"/>
      <c r="AX162" s="346">
        <f t="shared" ref="AX162" si="1316">IF(AX$149=$E162,SUM(AC162:AF162),0)</f>
        <v>0</v>
      </c>
      <c r="AY162" s="346">
        <f t="shared" ref="AY162" si="1317">IF(AY$149=$E162,SUM(AD162:AG162),0)</f>
        <v>0</v>
      </c>
      <c r="AZ162" s="346">
        <f t="shared" ref="AZ162" si="1318">IF(AZ$149=$E162,SUM(AE162:AH162),0)</f>
        <v>0</v>
      </c>
      <c r="BA162" s="346">
        <f t="shared" ref="BA162" si="1319">IF(BA$149=$E162,SUM(AF162:AI162),0)</f>
        <v>0</v>
      </c>
      <c r="BB162" s="346">
        <f t="shared" ref="BB162" si="1320">IF(BB$149=$E162,SUM(AG162:AJ162),0)</f>
        <v>0</v>
      </c>
      <c r="BC162" s="346">
        <f t="shared" ref="BC162" si="1321">IF(BC$149=$E162,SUM(AH162:AK162),0)</f>
        <v>0</v>
      </c>
      <c r="BD162" s="346">
        <f t="shared" ref="BD162" si="1322">IF(BD$149=$E162,SUM(AI162:AL162),0)</f>
        <v>0</v>
      </c>
      <c r="BE162" s="346">
        <f t="shared" ref="BE162" si="1323">IF(BE$149=$E162,SUM(AJ162:AM162),0)</f>
        <v>0</v>
      </c>
      <c r="BF162" s="346">
        <f t="shared" ref="BF162" si="1324">IF(BF$149=$E162,SUM(AK162:AN162),0)</f>
        <v>0</v>
      </c>
      <c r="BG162" s="346">
        <f t="shared" ref="BG162" si="1325">IF(BG$149=$E162,SUM(AL162:AO162),0)</f>
        <v>0</v>
      </c>
      <c r="BH162" s="346">
        <v>0</v>
      </c>
      <c r="BI162" s="346">
        <v>0</v>
      </c>
      <c r="BJ162" s="346">
        <v>0</v>
      </c>
      <c r="BK162" s="333">
        <v>4365.3599999999997</v>
      </c>
      <c r="BL162" s="333">
        <v>24745.5</v>
      </c>
      <c r="BM162" s="346">
        <v>0</v>
      </c>
      <c r="BN162" s="346">
        <v>0</v>
      </c>
      <c r="BO162" s="346">
        <v>0</v>
      </c>
      <c r="BP162" s="333">
        <v>13610.025000000001</v>
      </c>
      <c r="BQ162" s="346">
        <v>0</v>
      </c>
      <c r="BR162" s="370">
        <f>SUM(AC162:AV162)-SUM(AX162:BQ162)</f>
        <v>0</v>
      </c>
      <c r="BS162" s="402">
        <f t="shared" ref="BS162:BS198" si="1326">D162-SUM(AX162:BQ162)</f>
        <v>0</v>
      </c>
      <c r="BT162" s="402">
        <f t="shared" ref="BT162:BT198" si="1327">+D162-SUM(AC162:AV162)</f>
        <v>0</v>
      </c>
    </row>
    <row r="163" spans="1:74" s="235" customFormat="1" ht="14.45" hidden="1" customHeight="1" outlineLevel="1" x14ac:dyDescent="0.25">
      <c r="A163" s="235" t="s">
        <v>139</v>
      </c>
      <c r="B163" s="236" t="str">
        <f>VLOOKUP(A163,'DFP-Com'!$A$16:$B$50,2,1)</f>
        <v xml:space="preserve">     4.1.a  Staff Compensation*</v>
      </c>
      <c r="C163" s="344" t="s">
        <v>299</v>
      </c>
      <c r="D163" s="346">
        <f>SUM(F163:Y163)</f>
        <v>55203.925000000003</v>
      </c>
      <c r="E163" s="417" t="s">
        <v>224</v>
      </c>
      <c r="F163" s="421"/>
      <c r="G163" s="421"/>
      <c r="H163" s="421"/>
      <c r="I163" s="421">
        <v>0</v>
      </c>
      <c r="J163" s="421">
        <v>0</v>
      </c>
      <c r="K163" s="421">
        <v>0</v>
      </c>
      <c r="L163" s="421">
        <v>0</v>
      </c>
      <c r="M163" s="421">
        <v>0</v>
      </c>
      <c r="N163" s="421">
        <v>0</v>
      </c>
      <c r="O163" s="421">
        <v>0</v>
      </c>
      <c r="P163" s="421">
        <v>0</v>
      </c>
      <c r="Q163" s="421">
        <v>3785.12</v>
      </c>
      <c r="R163" s="421">
        <v>5677.68</v>
      </c>
      <c r="S163" s="421">
        <v>5631.52</v>
      </c>
      <c r="T163" s="426">
        <v>6424</v>
      </c>
      <c r="U163" s="426">
        <v>6294.24</v>
      </c>
      <c r="V163" s="426">
        <v>6598.8</v>
      </c>
      <c r="W163" s="426">
        <v>6395.76</v>
      </c>
      <c r="X163" s="426">
        <v>14396.805</v>
      </c>
      <c r="Y163" s="426">
        <v>0</v>
      </c>
      <c r="Z163" s="333">
        <f t="shared" si="1224"/>
        <v>55203.925000000003</v>
      </c>
      <c r="AA163" s="344"/>
      <c r="AB163" s="344"/>
      <c r="AC163" s="346">
        <f t="shared" ref="AC163" si="1328">F163</f>
        <v>0</v>
      </c>
      <c r="AD163" s="346">
        <f t="shared" ref="AD163" si="1329">G163</f>
        <v>0</v>
      </c>
      <c r="AE163" s="346">
        <f t="shared" ref="AE163" si="1330">H163</f>
        <v>0</v>
      </c>
      <c r="AF163" s="346">
        <f t="shared" ref="AF163" si="1331">I163</f>
        <v>0</v>
      </c>
      <c r="AG163" s="346">
        <f t="shared" ref="AG163" si="1332">J163</f>
        <v>0</v>
      </c>
      <c r="AH163" s="346">
        <f t="shared" ref="AH163" si="1333">K163</f>
        <v>0</v>
      </c>
      <c r="AI163" s="346">
        <f t="shared" ref="AI163" si="1334">L163</f>
        <v>0</v>
      </c>
      <c r="AJ163" s="415">
        <f t="shared" ref="AJ163" si="1335">M163</f>
        <v>0</v>
      </c>
      <c r="AK163" s="415">
        <f t="shared" ref="AK163" si="1336">N163</f>
        <v>0</v>
      </c>
      <c r="AL163" s="346">
        <f t="shared" ref="AL163" si="1337">O163</f>
        <v>0</v>
      </c>
      <c r="AM163" s="346">
        <f t="shared" ref="AM163" si="1338">P163</f>
        <v>0</v>
      </c>
      <c r="AN163" s="333">
        <f t="shared" ref="AN163" si="1339">Q163</f>
        <v>3785.12</v>
      </c>
      <c r="AO163" s="333">
        <f t="shared" ref="AO163" si="1340">R163</f>
        <v>5677.68</v>
      </c>
      <c r="AP163" s="346">
        <f t="shared" ref="AP163" si="1341">S163</f>
        <v>5631.52</v>
      </c>
      <c r="AQ163" s="333">
        <f t="shared" ref="AQ163" si="1342">T163</f>
        <v>6424</v>
      </c>
      <c r="AR163" s="346">
        <f>U163</f>
        <v>6294.24</v>
      </c>
      <c r="AS163" s="346">
        <f t="shared" ref="AS163" si="1343">V163</f>
        <v>6598.8</v>
      </c>
      <c r="AT163" s="346">
        <f t="shared" ref="AT163" si="1344">W163</f>
        <v>6395.76</v>
      </c>
      <c r="AU163" s="346">
        <f t="shared" ref="AU163:AV163" si="1345">X163</f>
        <v>14396.805</v>
      </c>
      <c r="AV163" s="346">
        <f t="shared" si="1345"/>
        <v>0</v>
      </c>
      <c r="AW163" s="346"/>
      <c r="AX163" s="346">
        <f t="shared" ref="AX163" si="1346">IF(AX$149=$E163,SUM(AC163:AF163),0)</f>
        <v>0</v>
      </c>
      <c r="AY163" s="346">
        <f t="shared" ref="AY163" si="1347">IF(AY$149=$E163,SUM(AD163:AG163),0)</f>
        <v>0</v>
      </c>
      <c r="AZ163" s="346">
        <f t="shared" ref="AZ163:BG163" si="1348">IF(AZ$149=$E163,SUM(AE163:AH163),0)</f>
        <v>0</v>
      </c>
      <c r="BA163" s="346">
        <f t="shared" si="1348"/>
        <v>0</v>
      </c>
      <c r="BB163" s="346">
        <f t="shared" si="1348"/>
        <v>0</v>
      </c>
      <c r="BC163" s="346">
        <f t="shared" si="1348"/>
        <v>0</v>
      </c>
      <c r="BD163" s="346">
        <f t="shared" si="1348"/>
        <v>0</v>
      </c>
      <c r="BE163" s="346">
        <f t="shared" si="1348"/>
        <v>0</v>
      </c>
      <c r="BF163" s="346">
        <f t="shared" si="1348"/>
        <v>0</v>
      </c>
      <c r="BG163" s="346">
        <f t="shared" si="1348"/>
        <v>0</v>
      </c>
      <c r="BH163" s="346">
        <v>0</v>
      </c>
      <c r="BI163" s="333">
        <f>16877.25+5625.75</f>
        <v>22503</v>
      </c>
      <c r="BJ163" s="346">
        <v>0</v>
      </c>
      <c r="BK163" s="333">
        <v>-5654.6</v>
      </c>
      <c r="BL163" s="333">
        <v>24745.5</v>
      </c>
      <c r="BM163" s="346">
        <v>0</v>
      </c>
      <c r="BN163" s="346">
        <v>0</v>
      </c>
      <c r="BO163" s="346">
        <v>0</v>
      </c>
      <c r="BP163" s="333">
        <v>13610.025000000001</v>
      </c>
      <c r="BQ163" s="346">
        <v>0</v>
      </c>
      <c r="BR163" s="428">
        <f>SUM(AC163:AV163)-SUM(AX163:BQ163)</f>
        <v>0</v>
      </c>
      <c r="BS163" s="402">
        <f t="shared" si="1326"/>
        <v>0</v>
      </c>
      <c r="BT163" s="402">
        <f t="shared" si="1327"/>
        <v>0</v>
      </c>
    </row>
    <row r="164" spans="1:74" s="235" customFormat="1" ht="14.45" hidden="1" customHeight="1" x14ac:dyDescent="0.25">
      <c r="A164" s="235" t="s">
        <v>142</v>
      </c>
      <c r="B164" s="236" t="str">
        <f>VLOOKUP(A164,'DFP-Com'!$A$16:$B$50,2,1)</f>
        <v xml:space="preserve">     4.1.d  Other</v>
      </c>
      <c r="C164" s="344" t="s">
        <v>306</v>
      </c>
      <c r="D164" s="415">
        <v>36750</v>
      </c>
      <c r="E164" s="344" t="s">
        <v>305</v>
      </c>
      <c r="F164" s="417"/>
      <c r="G164" s="417"/>
      <c r="H164" s="417"/>
      <c r="I164" s="345"/>
      <c r="J164" s="345">
        <v>0</v>
      </c>
      <c r="K164" s="345"/>
      <c r="L164" s="345"/>
      <c r="M164" s="345"/>
      <c r="N164" s="417"/>
      <c r="O164" s="417"/>
      <c r="P164" s="417">
        <v>0</v>
      </c>
      <c r="Q164" s="418">
        <v>0</v>
      </c>
      <c r="R164" s="418">
        <v>8.7619047619047624E-2</v>
      </c>
      <c r="S164" s="418">
        <v>0.22857142857142856</v>
      </c>
      <c r="T164" s="418">
        <v>0</v>
      </c>
      <c r="U164" s="345">
        <v>8.5714285714285715E-2</v>
      </c>
      <c r="V164" s="345">
        <v>0.24489795918367346</v>
      </c>
      <c r="W164" s="417">
        <v>0.3531972789115646</v>
      </c>
      <c r="X164" s="417"/>
      <c r="Y164" s="417"/>
      <c r="Z164" s="416">
        <f t="shared" si="1224"/>
        <v>0.99999999999999989</v>
      </c>
      <c r="AA164" s="344"/>
      <c r="AB164" s="344"/>
      <c r="AC164" s="415">
        <f t="shared" ref="AC164" si="1349">F164*$D164</f>
        <v>0</v>
      </c>
      <c r="AD164" s="333">
        <f t="shared" ref="AD164" si="1350">G164*$D164</f>
        <v>0</v>
      </c>
      <c r="AE164" s="415">
        <f t="shared" ref="AE164" si="1351">H164*$D164</f>
        <v>0</v>
      </c>
      <c r="AF164" s="415">
        <f t="shared" ref="AF164" si="1352">I164*$D164</f>
        <v>0</v>
      </c>
      <c r="AG164" s="415">
        <f t="shared" ref="AG164" si="1353">J164*$D164</f>
        <v>0</v>
      </c>
      <c r="AH164" s="415">
        <f t="shared" ref="AH164" si="1354">K164*$D164</f>
        <v>0</v>
      </c>
      <c r="AI164" s="415">
        <f t="shared" ref="AI164" si="1355">L164*$D164</f>
        <v>0</v>
      </c>
      <c r="AJ164" s="415">
        <f t="shared" ref="AJ164" si="1356">M164*$D164</f>
        <v>0</v>
      </c>
      <c r="AK164" s="415">
        <f t="shared" ref="AK164" si="1357">N164*$D164</f>
        <v>0</v>
      </c>
      <c r="AL164" s="333">
        <f t="shared" ref="AL164" si="1358">O164*$D164</f>
        <v>0</v>
      </c>
      <c r="AM164" s="423">
        <f t="shared" ref="AM164" si="1359">P164*$D164</f>
        <v>0</v>
      </c>
      <c r="AN164" s="333">
        <f t="shared" ref="AN164" si="1360">Q164*$D164</f>
        <v>0</v>
      </c>
      <c r="AO164" s="333">
        <f t="shared" ref="AO164" si="1361">R164*$D164</f>
        <v>3220</v>
      </c>
      <c r="AP164" s="333">
        <f t="shared" ref="AP164" si="1362">S164*$D164</f>
        <v>8400</v>
      </c>
      <c r="AQ164" s="333">
        <f t="shared" ref="AQ164" si="1363">T164*$D164</f>
        <v>0</v>
      </c>
      <c r="AR164" s="333">
        <f t="shared" ref="AR164" si="1364">U164*$D164</f>
        <v>3150</v>
      </c>
      <c r="AS164" s="346">
        <f t="shared" ref="AS164" si="1365">V164*$D164</f>
        <v>9000</v>
      </c>
      <c r="AT164" s="346">
        <f t="shared" ref="AT164" si="1366">W164*$D164</f>
        <v>12980</v>
      </c>
      <c r="AU164" s="346">
        <f t="shared" ref="AU164" si="1367">X164*$D164</f>
        <v>0</v>
      </c>
      <c r="AV164" s="346"/>
      <c r="AW164" s="346"/>
      <c r="AX164" s="346">
        <f t="shared" ref="AX164:BQ164" si="1368">IF(AX$3=$E164,$D164,0)</f>
        <v>0</v>
      </c>
      <c r="AY164" s="346">
        <f t="shared" si="1368"/>
        <v>0</v>
      </c>
      <c r="AZ164" s="346">
        <f t="shared" si="1368"/>
        <v>0</v>
      </c>
      <c r="BA164" s="346">
        <f t="shared" si="1368"/>
        <v>0</v>
      </c>
      <c r="BB164" s="346">
        <f t="shared" si="1368"/>
        <v>0</v>
      </c>
      <c r="BC164" s="346">
        <f t="shared" si="1368"/>
        <v>0</v>
      </c>
      <c r="BD164" s="346">
        <f t="shared" si="1368"/>
        <v>0</v>
      </c>
      <c r="BE164" s="346">
        <f t="shared" si="1368"/>
        <v>0</v>
      </c>
      <c r="BF164" s="346">
        <f t="shared" si="1368"/>
        <v>0</v>
      </c>
      <c r="BG164" s="346">
        <f t="shared" si="1368"/>
        <v>0</v>
      </c>
      <c r="BH164" s="346">
        <f t="shared" si="1368"/>
        <v>0</v>
      </c>
      <c r="BI164" s="346">
        <f t="shared" si="1368"/>
        <v>0</v>
      </c>
      <c r="BJ164" s="346">
        <f t="shared" si="1368"/>
        <v>36750</v>
      </c>
      <c r="BK164" s="346">
        <f t="shared" si="1368"/>
        <v>0</v>
      </c>
      <c r="BL164" s="346">
        <f t="shared" si="1368"/>
        <v>0</v>
      </c>
      <c r="BM164" s="346">
        <f t="shared" si="1368"/>
        <v>0</v>
      </c>
      <c r="BN164" s="346">
        <f t="shared" si="1368"/>
        <v>0</v>
      </c>
      <c r="BO164" s="346">
        <f t="shared" si="1368"/>
        <v>0</v>
      </c>
      <c r="BP164" s="346">
        <f t="shared" si="1368"/>
        <v>0</v>
      </c>
      <c r="BQ164" s="346">
        <f t="shared" si="1368"/>
        <v>0</v>
      </c>
      <c r="BR164" s="370">
        <f t="shared" si="575"/>
        <v>0</v>
      </c>
      <c r="BS164" s="402">
        <f t="shared" si="1326"/>
        <v>0</v>
      </c>
      <c r="BT164" s="402">
        <f t="shared" si="1327"/>
        <v>0</v>
      </c>
    </row>
    <row r="165" spans="1:74" s="235" customFormat="1" ht="14.45" hidden="1" customHeight="1" x14ac:dyDescent="0.25">
      <c r="A165" s="235" t="s">
        <v>127</v>
      </c>
      <c r="B165" s="235" t="str">
        <f>VLOOKUP(A165,'DFP-Com'!$A$16:$B$50,2,1)</f>
        <v xml:space="preserve">     1.2.a  TVET</v>
      </c>
      <c r="C165" s="344" t="s">
        <v>260</v>
      </c>
      <c r="D165" s="415">
        <v>318.43</v>
      </c>
      <c r="E165" s="470" t="s">
        <v>212</v>
      </c>
      <c r="F165" s="417"/>
      <c r="G165" s="417"/>
      <c r="H165" s="417"/>
      <c r="I165" s="417"/>
      <c r="J165" s="417"/>
      <c r="K165" s="345">
        <v>0</v>
      </c>
      <c r="L165" s="345">
        <v>0</v>
      </c>
      <c r="M165" s="345">
        <v>1</v>
      </c>
      <c r="N165" s="345">
        <v>0</v>
      </c>
      <c r="O165" s="345">
        <v>0</v>
      </c>
      <c r="P165" s="345">
        <v>0</v>
      </c>
      <c r="Q165" s="345">
        <v>0</v>
      </c>
      <c r="R165" s="345">
        <v>0</v>
      </c>
      <c r="S165" s="345">
        <v>0</v>
      </c>
      <c r="T165" s="345">
        <v>0</v>
      </c>
      <c r="U165" s="345">
        <v>0</v>
      </c>
      <c r="V165" s="345"/>
      <c r="W165" s="345"/>
      <c r="X165" s="345"/>
      <c r="Y165" s="345"/>
      <c r="Z165" s="416">
        <f t="shared" ref="Z165" si="1369">SUM(F165:U165)</f>
        <v>1</v>
      </c>
      <c r="AA165" s="344"/>
      <c r="AB165" s="344"/>
      <c r="AC165" s="333">
        <f t="shared" ref="AC165" si="1370">F165*$D165</f>
        <v>0</v>
      </c>
      <c r="AD165" s="333">
        <f t="shared" ref="AD165" si="1371">G165*$D165</f>
        <v>0</v>
      </c>
      <c r="AE165" s="333">
        <f t="shared" ref="AE165" si="1372">H165*$D165</f>
        <v>0</v>
      </c>
      <c r="AF165" s="333">
        <f t="shared" ref="AF165" si="1373">I165*$D165</f>
        <v>0</v>
      </c>
      <c r="AG165" s="333">
        <f>J165*$D165</f>
        <v>0</v>
      </c>
      <c r="AH165" s="333">
        <f>K165*$D165</f>
        <v>0</v>
      </c>
      <c r="AI165" s="333">
        <f t="shared" ref="AI165" si="1374">L165*$D165</f>
        <v>0</v>
      </c>
      <c r="AJ165" s="333">
        <f t="shared" ref="AJ165" si="1375">M165*$D165</f>
        <v>318.43</v>
      </c>
      <c r="AK165" s="333">
        <f t="shared" ref="AK165" si="1376">N165*$D165</f>
        <v>0</v>
      </c>
      <c r="AL165" s="333">
        <f t="shared" ref="AL165" si="1377">O165*$D165</f>
        <v>0</v>
      </c>
      <c r="AM165" s="333">
        <f t="shared" ref="AM165" si="1378">P165*$D165</f>
        <v>0</v>
      </c>
      <c r="AN165" s="333">
        <f t="shared" ref="AN165" si="1379">Q165*$D165</f>
        <v>0</v>
      </c>
      <c r="AO165" s="333">
        <f t="shared" ref="AO165" si="1380">R165*$D165</f>
        <v>0</v>
      </c>
      <c r="AP165" s="333">
        <f t="shared" ref="AP165" si="1381">S165*$D165</f>
        <v>0</v>
      </c>
      <c r="AQ165" s="333">
        <f t="shared" ref="AQ165" si="1382">T165*$D165</f>
        <v>0</v>
      </c>
      <c r="AR165" s="333">
        <f t="shared" ref="AR165:AT166" si="1383">U165*$D165</f>
        <v>0</v>
      </c>
      <c r="AS165" s="333">
        <f t="shared" si="1383"/>
        <v>0</v>
      </c>
      <c r="AT165" s="333">
        <f t="shared" si="1383"/>
        <v>0</v>
      </c>
      <c r="AU165" s="333">
        <f t="shared" ref="AU165:AU166" si="1384">X165*$D165</f>
        <v>0</v>
      </c>
      <c r="AV165" s="415"/>
      <c r="AW165" s="346"/>
      <c r="AX165" s="346">
        <f>IF(AX$149=$E165,SUM(AC165:AF165),0)</f>
        <v>0</v>
      </c>
      <c r="AY165" s="346">
        <f t="shared" ref="AY165:AY166" si="1385">IF(AY$149=$E165,SUM(AD165:AG165),0)</f>
        <v>0</v>
      </c>
      <c r="AZ165" s="346">
        <f t="shared" ref="AZ165:BO166" si="1386">IF(AZ$3=$E165,$D165,0)</f>
        <v>0</v>
      </c>
      <c r="BA165" s="346">
        <f t="shared" si="1386"/>
        <v>0</v>
      </c>
      <c r="BB165" s="346">
        <f t="shared" si="1386"/>
        <v>0</v>
      </c>
      <c r="BC165" s="346">
        <f t="shared" si="1386"/>
        <v>0</v>
      </c>
      <c r="BD165" s="346">
        <f t="shared" si="1386"/>
        <v>0</v>
      </c>
      <c r="BE165" s="415">
        <f t="shared" si="1386"/>
        <v>318.43</v>
      </c>
      <c r="BF165" s="346">
        <f t="shared" si="1386"/>
        <v>0</v>
      </c>
      <c r="BG165" s="346">
        <f t="shared" si="1386"/>
        <v>0</v>
      </c>
      <c r="BH165" s="346">
        <f t="shared" si="1386"/>
        <v>0</v>
      </c>
      <c r="BI165" s="346">
        <f t="shared" si="1386"/>
        <v>0</v>
      </c>
      <c r="BJ165" s="346">
        <f t="shared" si="1386"/>
        <v>0</v>
      </c>
      <c r="BK165" s="346">
        <f t="shared" si="1386"/>
        <v>0</v>
      </c>
      <c r="BL165" s="346">
        <f t="shared" si="1386"/>
        <v>0</v>
      </c>
      <c r="BM165" s="346">
        <f t="shared" si="1386"/>
        <v>0</v>
      </c>
      <c r="BN165" s="346">
        <f t="shared" si="1386"/>
        <v>0</v>
      </c>
      <c r="BO165" s="346">
        <f t="shared" si="1386"/>
        <v>0</v>
      </c>
      <c r="BP165" s="346">
        <f t="shared" ref="BP165:BQ166" si="1387">IF(BP$3=$E165,$D165,0)</f>
        <v>0</v>
      </c>
      <c r="BQ165" s="346">
        <f t="shared" si="1387"/>
        <v>0</v>
      </c>
      <c r="BR165" s="370">
        <f t="shared" si="575"/>
        <v>0</v>
      </c>
      <c r="BS165" s="402">
        <f t="shared" si="1326"/>
        <v>0</v>
      </c>
      <c r="BT165" s="402">
        <f t="shared" si="1327"/>
        <v>0</v>
      </c>
    </row>
    <row r="166" spans="1:74" s="235" customFormat="1" ht="14.45" hidden="1" customHeight="1" x14ac:dyDescent="0.25">
      <c r="A166" s="235" t="s">
        <v>127</v>
      </c>
      <c r="B166" s="235" t="str">
        <f>VLOOKUP(A166,'DFP-Com'!$A$16:$B$50,2,1)</f>
        <v xml:space="preserve">     1.2.a  TVET</v>
      </c>
      <c r="C166" s="344" t="s">
        <v>269</v>
      </c>
      <c r="D166" s="415">
        <v>884.24</v>
      </c>
      <c r="E166" s="470" t="s">
        <v>212</v>
      </c>
      <c r="F166" s="417"/>
      <c r="G166" s="417"/>
      <c r="H166" s="417"/>
      <c r="I166" s="417"/>
      <c r="J166" s="417"/>
      <c r="K166" s="345">
        <v>0</v>
      </c>
      <c r="L166" s="345">
        <v>0</v>
      </c>
      <c r="M166" s="345">
        <v>1</v>
      </c>
      <c r="N166" s="345">
        <v>0</v>
      </c>
      <c r="O166" s="345">
        <v>0</v>
      </c>
      <c r="P166" s="345">
        <v>0</v>
      </c>
      <c r="Q166" s="345">
        <v>0</v>
      </c>
      <c r="R166" s="345">
        <v>0</v>
      </c>
      <c r="S166" s="345">
        <v>0</v>
      </c>
      <c r="T166" s="345">
        <v>0</v>
      </c>
      <c r="U166" s="345">
        <v>0</v>
      </c>
      <c r="V166" s="345"/>
      <c r="W166" s="345"/>
      <c r="X166" s="345"/>
      <c r="Y166" s="345"/>
      <c r="Z166" s="416">
        <f t="shared" ref="Z166" si="1388">SUM(F166:U166)</f>
        <v>1</v>
      </c>
      <c r="AA166" s="344"/>
      <c r="AB166" s="344"/>
      <c r="AC166" s="333">
        <f t="shared" ref="AC166" si="1389">F166*$D166</f>
        <v>0</v>
      </c>
      <c r="AD166" s="333">
        <f t="shared" ref="AD166" si="1390">G166*$D166</f>
        <v>0</v>
      </c>
      <c r="AE166" s="333">
        <f t="shared" ref="AE166" si="1391">H166*$D166</f>
        <v>0</v>
      </c>
      <c r="AF166" s="333">
        <f t="shared" ref="AF166" si="1392">I166*$D166</f>
        <v>0</v>
      </c>
      <c r="AG166" s="333">
        <f t="shared" ref="AG166" si="1393">J166*$D166</f>
        <v>0</v>
      </c>
      <c r="AH166" s="333">
        <f t="shared" ref="AH166" si="1394">K166*$D166</f>
        <v>0</v>
      </c>
      <c r="AI166" s="333">
        <f t="shared" ref="AI166" si="1395">L166*$D166</f>
        <v>0</v>
      </c>
      <c r="AJ166" s="333">
        <f t="shared" ref="AJ166" si="1396">M166*$D166</f>
        <v>884.24</v>
      </c>
      <c r="AK166" s="333">
        <f t="shared" ref="AK166" si="1397">N166*$D166</f>
        <v>0</v>
      </c>
      <c r="AL166" s="333">
        <f t="shared" ref="AL166" si="1398">O166*$D166</f>
        <v>0</v>
      </c>
      <c r="AM166" s="333">
        <f t="shared" ref="AM166" si="1399">P166*$D166</f>
        <v>0</v>
      </c>
      <c r="AN166" s="333">
        <f t="shared" ref="AN166" si="1400">Q166*$D166</f>
        <v>0</v>
      </c>
      <c r="AO166" s="333">
        <f t="shared" ref="AO166" si="1401">R166*$D166</f>
        <v>0</v>
      </c>
      <c r="AP166" s="333">
        <f t="shared" ref="AP166" si="1402">S166*$D166</f>
        <v>0</v>
      </c>
      <c r="AQ166" s="333">
        <f t="shared" ref="AQ166" si="1403">T166*$D166</f>
        <v>0</v>
      </c>
      <c r="AR166" s="333">
        <f t="shared" si="1383"/>
        <v>0</v>
      </c>
      <c r="AS166" s="333">
        <f t="shared" si="1383"/>
        <v>0</v>
      </c>
      <c r="AT166" s="333">
        <f t="shared" si="1383"/>
        <v>0</v>
      </c>
      <c r="AU166" s="333">
        <f t="shared" si="1384"/>
        <v>0</v>
      </c>
      <c r="AV166" s="415"/>
      <c r="AW166" s="346"/>
      <c r="AX166" s="346">
        <f t="shared" ref="AX166" si="1404">IF(AX$149=$E166,SUM(AC166:AF166),0)</f>
        <v>0</v>
      </c>
      <c r="AY166" s="346">
        <f t="shared" si="1385"/>
        <v>0</v>
      </c>
      <c r="AZ166" s="346">
        <f t="shared" si="1386"/>
        <v>0</v>
      </c>
      <c r="BA166" s="346">
        <f t="shared" si="1386"/>
        <v>0</v>
      </c>
      <c r="BB166" s="346">
        <f t="shared" si="1386"/>
        <v>0</v>
      </c>
      <c r="BC166" s="346">
        <f t="shared" si="1386"/>
        <v>0</v>
      </c>
      <c r="BD166" s="346">
        <f t="shared" si="1386"/>
        <v>0</v>
      </c>
      <c r="BE166" s="346">
        <f t="shared" si="1386"/>
        <v>884.24</v>
      </c>
      <c r="BF166" s="346">
        <f t="shared" si="1386"/>
        <v>0</v>
      </c>
      <c r="BG166" s="346">
        <f t="shared" si="1386"/>
        <v>0</v>
      </c>
      <c r="BH166" s="346">
        <f t="shared" si="1386"/>
        <v>0</v>
      </c>
      <c r="BI166" s="346">
        <f t="shared" si="1386"/>
        <v>0</v>
      </c>
      <c r="BJ166" s="346">
        <f t="shared" si="1386"/>
        <v>0</v>
      </c>
      <c r="BK166" s="346">
        <f t="shared" si="1386"/>
        <v>0</v>
      </c>
      <c r="BL166" s="346">
        <f t="shared" si="1386"/>
        <v>0</v>
      </c>
      <c r="BM166" s="346">
        <f t="shared" si="1386"/>
        <v>0</v>
      </c>
      <c r="BN166" s="346">
        <f t="shared" si="1386"/>
        <v>0</v>
      </c>
      <c r="BO166" s="346">
        <f t="shared" si="1386"/>
        <v>0</v>
      </c>
      <c r="BP166" s="346">
        <f t="shared" si="1387"/>
        <v>0</v>
      </c>
      <c r="BQ166" s="346">
        <f t="shared" si="1387"/>
        <v>0</v>
      </c>
      <c r="BR166" s="370">
        <f t="shared" si="575"/>
        <v>0</v>
      </c>
      <c r="BS166" s="402">
        <f t="shared" si="1326"/>
        <v>0</v>
      </c>
      <c r="BT166" s="402">
        <f t="shared" si="1327"/>
        <v>0</v>
      </c>
    </row>
    <row r="167" spans="1:74" s="360" customFormat="1" ht="14.45" hidden="1" customHeight="1" outlineLevel="1" x14ac:dyDescent="0.25">
      <c r="A167" s="360" t="s">
        <v>127</v>
      </c>
      <c r="B167" s="360" t="str">
        <f>VLOOKUP(A167,'DFP-Com'!$A$16:$B$50,2,1)</f>
        <v xml:space="preserve">     1.2.a  TVET</v>
      </c>
      <c r="C167" s="415" t="s">
        <v>198</v>
      </c>
      <c r="D167" s="415">
        <f>SUM(F167:Y167)</f>
        <v>145613.448125</v>
      </c>
      <c r="E167" s="473" t="s">
        <v>195</v>
      </c>
      <c r="F167" s="415">
        <v>0</v>
      </c>
      <c r="G167" s="415">
        <v>0</v>
      </c>
      <c r="H167" s="415">
        <v>0</v>
      </c>
      <c r="I167" s="415">
        <v>0</v>
      </c>
      <c r="J167" s="415">
        <v>8041.6</v>
      </c>
      <c r="K167" s="415">
        <v>8903.2000000000007</v>
      </c>
      <c r="L167" s="415">
        <v>8185.2</v>
      </c>
      <c r="M167" s="415">
        <v>8616</v>
      </c>
      <c r="N167" s="415">
        <v>9190.4</v>
      </c>
      <c r="O167" s="415">
        <v>8616</v>
      </c>
      <c r="P167" s="415">
        <v>8185.2</v>
      </c>
      <c r="Q167" s="415">
        <v>8400.6</v>
      </c>
      <c r="R167" s="415">
        <v>9069.2000000000007</v>
      </c>
      <c r="S167" s="415">
        <v>9651.2000000000007</v>
      </c>
      <c r="T167" s="415">
        <v>8953.75</v>
      </c>
      <c r="U167" s="415">
        <v>9500</v>
      </c>
      <c r="V167" s="415">
        <v>10290.799999999999</v>
      </c>
      <c r="W167" s="415">
        <v>8578.9650000000001</v>
      </c>
      <c r="X167" s="415">
        <v>21431.333125000001</v>
      </c>
      <c r="Y167" s="415">
        <v>0</v>
      </c>
      <c r="Z167" s="415">
        <f>SUM(F167:Y167)</f>
        <v>145613.448125</v>
      </c>
      <c r="AA167" s="415"/>
      <c r="AB167" s="415"/>
      <c r="AC167" s="333">
        <f t="shared" ref="AC167:AV167" si="1405">F167</f>
        <v>0</v>
      </c>
      <c r="AD167" s="333">
        <f t="shared" si="1405"/>
        <v>0</v>
      </c>
      <c r="AE167" s="333">
        <f t="shared" si="1405"/>
        <v>0</v>
      </c>
      <c r="AF167" s="333">
        <f t="shared" si="1405"/>
        <v>0</v>
      </c>
      <c r="AG167" s="333">
        <f t="shared" si="1405"/>
        <v>8041.6</v>
      </c>
      <c r="AH167" s="333">
        <f t="shared" si="1405"/>
        <v>8903.2000000000007</v>
      </c>
      <c r="AI167" s="333">
        <f t="shared" si="1405"/>
        <v>8185.2</v>
      </c>
      <c r="AJ167" s="333">
        <f t="shared" si="1405"/>
        <v>8616</v>
      </c>
      <c r="AK167" s="333">
        <f t="shared" si="1405"/>
        <v>9190.4</v>
      </c>
      <c r="AL167" s="333">
        <f t="shared" si="1405"/>
        <v>8616</v>
      </c>
      <c r="AM167" s="333">
        <f t="shared" si="1405"/>
        <v>8185.2</v>
      </c>
      <c r="AN167" s="333">
        <f>Q167</f>
        <v>8400.6</v>
      </c>
      <c r="AO167" s="333">
        <f t="shared" si="1405"/>
        <v>9069.2000000000007</v>
      </c>
      <c r="AP167" s="333">
        <f t="shared" si="1405"/>
        <v>9651.2000000000007</v>
      </c>
      <c r="AQ167" s="333">
        <f>T167</f>
        <v>8953.75</v>
      </c>
      <c r="AR167" s="333">
        <v>9500</v>
      </c>
      <c r="AS167" s="333">
        <v>10290.799999999999</v>
      </c>
      <c r="AT167" s="333">
        <v>8578.9650000000001</v>
      </c>
      <c r="AU167" s="333">
        <v>21431.333125000001</v>
      </c>
      <c r="AV167" s="415">
        <f t="shared" si="1405"/>
        <v>0</v>
      </c>
      <c r="AW167" s="415"/>
      <c r="AX167" s="415">
        <v>0</v>
      </c>
      <c r="AY167" s="415">
        <v>0</v>
      </c>
      <c r="AZ167" s="415">
        <v>0</v>
      </c>
      <c r="BA167" s="415">
        <v>35002.5</v>
      </c>
      <c r="BB167" s="415">
        <v>0</v>
      </c>
      <c r="BC167" s="415">
        <v>0</v>
      </c>
      <c r="BD167" s="415">
        <v>0</v>
      </c>
      <c r="BE167" s="415">
        <v>35002.5</v>
      </c>
      <c r="BF167" s="415">
        <v>-394.9</v>
      </c>
      <c r="BG167" s="415">
        <v>0</v>
      </c>
      <c r="BH167" s="415">
        <v>0</v>
      </c>
      <c r="BI167" s="415">
        <v>1256.5</v>
      </c>
      <c r="BJ167" s="415">
        <v>18235.150000000001</v>
      </c>
      <c r="BK167" s="415">
        <v>0</v>
      </c>
      <c r="BL167" s="415">
        <f>36757.5-29129.3+2400</f>
        <v>10028.200000000001</v>
      </c>
      <c r="BM167" s="415">
        <v>27911.82</v>
      </c>
      <c r="BN167" s="415">
        <v>0</v>
      </c>
      <c r="BO167" s="415">
        <v>0</v>
      </c>
      <c r="BP167" s="415">
        <v>18571.678125000002</v>
      </c>
      <c r="BQ167" s="415">
        <f>IF(BQ$149=$E167,SUM(AV167:AZ167),0)</f>
        <v>0</v>
      </c>
      <c r="BR167" s="370">
        <f t="shared" si="575"/>
        <v>0</v>
      </c>
      <c r="BS167" s="402">
        <f t="shared" si="1326"/>
        <v>0</v>
      </c>
      <c r="BT167" s="402">
        <f t="shared" si="1327"/>
        <v>0</v>
      </c>
    </row>
    <row r="168" spans="1:74" ht="14.45" hidden="1" customHeight="1" x14ac:dyDescent="0.25">
      <c r="A168" s="235"/>
      <c r="B168" s="235"/>
      <c r="C168" s="308"/>
      <c r="D168" s="308"/>
      <c r="E168" s="308"/>
      <c r="F168" s="308"/>
      <c r="G168" s="327"/>
      <c r="H168" s="327"/>
      <c r="I168" s="327"/>
      <c r="J168" s="327"/>
      <c r="K168" s="327"/>
      <c r="L168" s="327"/>
      <c r="M168" s="327"/>
      <c r="N168" s="327"/>
      <c r="O168" s="327"/>
      <c r="P168" s="327"/>
      <c r="Q168" s="327"/>
      <c r="R168" s="327"/>
      <c r="S168" s="327"/>
      <c r="T168" s="327"/>
      <c r="U168" s="327"/>
      <c r="V168" s="327"/>
      <c r="W168" s="327"/>
      <c r="X168" s="327"/>
      <c r="Y168" s="327"/>
      <c r="Z168" s="327"/>
      <c r="AA168" s="308"/>
      <c r="AB168" s="308"/>
      <c r="AC168" s="347"/>
      <c r="AD168" s="333"/>
      <c r="AE168" s="347"/>
      <c r="AF168" s="347"/>
      <c r="AG168" s="347"/>
      <c r="AH168" s="347"/>
      <c r="AI168" s="347"/>
      <c r="AJ168" s="308"/>
      <c r="AK168" s="308"/>
      <c r="AL168" s="333"/>
      <c r="AM168" s="308"/>
      <c r="AN168" s="308"/>
      <c r="AO168" s="308"/>
      <c r="AP168" s="308"/>
      <c r="AQ168" s="308"/>
      <c r="AR168" s="308"/>
      <c r="AS168" s="308"/>
      <c r="AT168" s="308"/>
      <c r="AU168" s="308"/>
      <c r="AV168" s="308"/>
      <c r="AW168" s="308"/>
      <c r="AX168" s="347"/>
      <c r="AY168" s="347"/>
      <c r="AZ168" s="347"/>
      <c r="BA168" s="347"/>
      <c r="BB168" s="347"/>
      <c r="BC168" s="347"/>
      <c r="BD168" s="347"/>
      <c r="BE168" s="347"/>
      <c r="BF168" s="308"/>
      <c r="BG168" s="308"/>
      <c r="BH168" s="308"/>
      <c r="BI168" s="308"/>
      <c r="BJ168" s="308"/>
      <c r="BK168" s="308"/>
      <c r="BL168" s="308"/>
      <c r="BM168" s="308"/>
      <c r="BN168" s="308"/>
      <c r="BO168" s="308"/>
      <c r="BP168" s="308"/>
      <c r="BQ168" s="308"/>
      <c r="BR168" s="370">
        <f t="shared" si="575"/>
        <v>0</v>
      </c>
      <c r="BS168" s="402">
        <f t="shared" si="1326"/>
        <v>0</v>
      </c>
      <c r="BT168" s="402">
        <f t="shared" si="1327"/>
        <v>0</v>
      </c>
      <c r="BU168" s="235"/>
      <c r="BV168" s="235"/>
    </row>
    <row r="169" spans="1:74" ht="14.45" hidden="1" customHeight="1" x14ac:dyDescent="0.25">
      <c r="A169" s="235" t="s">
        <v>187</v>
      </c>
      <c r="B169" s="235"/>
      <c r="C169" s="308"/>
      <c r="D169" s="308"/>
      <c r="E169" s="308"/>
      <c r="F169" s="308"/>
      <c r="G169" s="327"/>
      <c r="H169" s="327"/>
      <c r="I169" s="327"/>
      <c r="J169" s="327"/>
      <c r="K169" s="327"/>
      <c r="L169" s="327"/>
      <c r="M169" s="327"/>
      <c r="N169" s="327"/>
      <c r="O169" s="327"/>
      <c r="P169" s="327"/>
      <c r="Q169" s="327"/>
      <c r="R169" s="327"/>
      <c r="S169" s="327"/>
      <c r="T169" s="327"/>
      <c r="U169" s="327"/>
      <c r="V169" s="327"/>
      <c r="W169" s="327"/>
      <c r="X169" s="327"/>
      <c r="Y169" s="327"/>
      <c r="Z169" s="327"/>
      <c r="AA169" s="308"/>
      <c r="AB169" s="308"/>
      <c r="AC169" s="347"/>
      <c r="AD169" s="333"/>
      <c r="AE169" s="347"/>
      <c r="AF169" s="347"/>
      <c r="AG169" s="347"/>
      <c r="AH169" s="347"/>
      <c r="AI169" s="347"/>
      <c r="AJ169" s="308"/>
      <c r="AK169" s="308"/>
      <c r="AL169" s="333"/>
      <c r="AM169" s="308"/>
      <c r="AN169" s="308"/>
      <c r="AO169" s="308"/>
      <c r="AP169" s="308"/>
      <c r="AQ169" s="308"/>
      <c r="AR169" s="308"/>
      <c r="AS169" s="308"/>
      <c r="AT169" s="308"/>
      <c r="AU169" s="308"/>
      <c r="AV169" s="308"/>
      <c r="AW169" s="308"/>
      <c r="AX169" s="347"/>
      <c r="AY169" s="347"/>
      <c r="AZ169" s="347"/>
      <c r="BA169" s="347"/>
      <c r="BB169" s="347"/>
      <c r="BC169" s="347"/>
      <c r="BD169" s="347"/>
      <c r="BE169" s="347"/>
      <c r="BF169" s="308"/>
      <c r="BG169" s="308"/>
      <c r="BH169" s="308"/>
      <c r="BI169" s="308"/>
      <c r="BJ169" s="308"/>
      <c r="BK169" s="308"/>
      <c r="BL169" s="308"/>
      <c r="BM169" s="308"/>
      <c r="BN169" s="308"/>
      <c r="BO169" s="308"/>
      <c r="BP169" s="308"/>
      <c r="BQ169" s="308"/>
      <c r="BR169" s="370">
        <f t="shared" si="575"/>
        <v>0</v>
      </c>
      <c r="BS169" s="402">
        <f t="shared" si="1326"/>
        <v>0</v>
      </c>
      <c r="BT169" s="402">
        <f t="shared" si="1327"/>
        <v>0</v>
      </c>
      <c r="BU169" s="235"/>
      <c r="BV169" s="235"/>
    </row>
    <row r="170" spans="1:74" ht="14.45" hidden="1" customHeight="1" x14ac:dyDescent="0.25">
      <c r="A170" s="378" t="s">
        <v>142</v>
      </c>
      <c r="B170" s="398" t="str">
        <f>VLOOKUP(A170,'DFP-Com'!$A$16:$B$50,2,1)</f>
        <v xml:space="preserve">     4.1.d  Other</v>
      </c>
      <c r="C170" s="405" t="s">
        <v>181</v>
      </c>
      <c r="D170" s="403">
        <v>143500</v>
      </c>
      <c r="E170" s="379"/>
      <c r="F170" s="368"/>
      <c r="G170" s="368">
        <v>1000</v>
      </c>
      <c r="H170" s="368">
        <v>0</v>
      </c>
      <c r="I170" s="368">
        <v>1672.1</v>
      </c>
      <c r="J170" s="368">
        <v>0</v>
      </c>
      <c r="K170" s="368">
        <v>0</v>
      </c>
      <c r="L170" s="368">
        <v>0</v>
      </c>
      <c r="M170" s="368">
        <v>0</v>
      </c>
      <c r="N170" s="368">
        <v>0</v>
      </c>
      <c r="O170" s="368">
        <v>0</v>
      </c>
      <c r="P170" s="368">
        <v>0</v>
      </c>
      <c r="Q170" s="368">
        <v>0</v>
      </c>
      <c r="R170" s="368">
        <v>2500</v>
      </c>
      <c r="S170" s="368">
        <v>0</v>
      </c>
      <c r="T170" s="368">
        <v>2269.38</v>
      </c>
      <c r="U170" s="368">
        <v>0</v>
      </c>
      <c r="V170" s="368">
        <v>2000</v>
      </c>
      <c r="W170" s="368">
        <v>1327.9</v>
      </c>
      <c r="X170" s="368">
        <f>10000+129730.62-7000</f>
        <v>132730.62</v>
      </c>
      <c r="Y170" s="368"/>
      <c r="Z170" s="368">
        <f>SUM(F170:Y170)</f>
        <v>143500</v>
      </c>
      <c r="AA170" s="379"/>
      <c r="AB170" s="379"/>
      <c r="AC170" s="381">
        <f t="shared" ref="AC170:AC173" si="1406">F170</f>
        <v>0</v>
      </c>
      <c r="AD170" s="369">
        <f t="shared" ref="AD170:AD173" si="1407">G170</f>
        <v>1000</v>
      </c>
      <c r="AE170" s="381">
        <f t="shared" ref="AE170:AE173" si="1408">H170</f>
        <v>0</v>
      </c>
      <c r="AF170" s="381">
        <f t="shared" ref="AF170" si="1409">I170</f>
        <v>1672.1</v>
      </c>
      <c r="AG170" s="381">
        <f t="shared" ref="AG170" si="1410">J170</f>
        <v>0</v>
      </c>
      <c r="AH170" s="381">
        <f t="shared" ref="AH170" si="1411">K170</f>
        <v>0</v>
      </c>
      <c r="AI170" s="381">
        <f t="shared" ref="AI170" si="1412">L170</f>
        <v>0</v>
      </c>
      <c r="AJ170" s="368">
        <f t="shared" ref="AJ170" si="1413">M170</f>
        <v>0</v>
      </c>
      <c r="AK170" s="368">
        <f>N170</f>
        <v>0</v>
      </c>
      <c r="AL170" s="369">
        <f t="shared" ref="AL170" si="1414">O170</f>
        <v>0</v>
      </c>
      <c r="AM170" s="346">
        <f t="shared" ref="AM170" si="1415">P170</f>
        <v>0</v>
      </c>
      <c r="AN170" s="431">
        <f t="shared" ref="AN170" si="1416">Q170</f>
        <v>0</v>
      </c>
      <c r="AO170" s="346">
        <f t="shared" ref="AO170" si="1417">R170</f>
        <v>2500</v>
      </c>
      <c r="AP170" s="333">
        <f t="shared" ref="AP170" si="1418">S170</f>
        <v>0</v>
      </c>
      <c r="AQ170" s="346">
        <f t="shared" ref="AQ170" si="1419">T170</f>
        <v>2269.38</v>
      </c>
      <c r="AR170" s="346">
        <f>U170</f>
        <v>0</v>
      </c>
      <c r="AS170" s="346">
        <f t="shared" ref="AS170" si="1420">V170</f>
        <v>2000</v>
      </c>
      <c r="AT170" s="346">
        <f t="shared" ref="AT170" si="1421">W170</f>
        <v>1327.9</v>
      </c>
      <c r="AU170" s="436">
        <f t="shared" ref="AU170" si="1422">X170</f>
        <v>132730.62</v>
      </c>
      <c r="AV170" s="346"/>
      <c r="AW170" s="346"/>
      <c r="AX170" s="346">
        <f t="shared" ref="AX170:BL173" si="1423">AC170</f>
        <v>0</v>
      </c>
      <c r="AY170" s="346">
        <f t="shared" si="1423"/>
        <v>1000</v>
      </c>
      <c r="AZ170" s="346">
        <f t="shared" si="1423"/>
        <v>0</v>
      </c>
      <c r="BA170" s="346">
        <f t="shared" si="1423"/>
        <v>1672.1</v>
      </c>
      <c r="BB170" s="346">
        <f t="shared" si="1423"/>
        <v>0</v>
      </c>
      <c r="BC170" s="346">
        <f t="shared" si="1423"/>
        <v>0</v>
      </c>
      <c r="BD170" s="346">
        <f t="shared" si="1423"/>
        <v>0</v>
      </c>
      <c r="BE170" s="346">
        <f t="shared" si="1423"/>
        <v>0</v>
      </c>
      <c r="BF170" s="346">
        <f t="shared" si="1423"/>
        <v>0</v>
      </c>
      <c r="BG170" s="346">
        <f t="shared" si="1423"/>
        <v>0</v>
      </c>
      <c r="BH170" s="346">
        <f t="shared" si="1423"/>
        <v>0</v>
      </c>
      <c r="BI170" s="346">
        <f t="shared" si="1423"/>
        <v>0</v>
      </c>
      <c r="BJ170" s="346">
        <f t="shared" si="1423"/>
        <v>2500</v>
      </c>
      <c r="BK170" s="346">
        <v>2269.38</v>
      </c>
      <c r="BL170" s="346">
        <v>0</v>
      </c>
      <c r="BM170" s="346">
        <f t="shared" ref="BM170" si="1424">AR170</f>
        <v>0</v>
      </c>
      <c r="BN170" s="333">
        <f t="shared" ref="BN170:BN173" si="1425">AS170</f>
        <v>2000</v>
      </c>
      <c r="BO170" s="333">
        <f t="shared" ref="BO170:BO173" si="1426">AT170</f>
        <v>1327.9</v>
      </c>
      <c r="BP170" s="333">
        <f t="shared" ref="BP170:BQ173" si="1427">AU170</f>
        <v>132730.62</v>
      </c>
      <c r="BQ170" s="346">
        <f t="shared" si="1427"/>
        <v>0</v>
      </c>
      <c r="BR170" s="370">
        <f t="shared" si="575"/>
        <v>0</v>
      </c>
      <c r="BS170" s="402">
        <f t="shared" si="1326"/>
        <v>0</v>
      </c>
      <c r="BT170" s="402">
        <f t="shared" si="1327"/>
        <v>0</v>
      </c>
      <c r="BU170" s="235"/>
      <c r="BV170" s="235"/>
    </row>
    <row r="171" spans="1:74" s="285" customFormat="1" ht="14.45" hidden="1" customHeight="1" x14ac:dyDescent="0.25">
      <c r="A171" s="378" t="s">
        <v>142</v>
      </c>
      <c r="B171" s="398" t="str">
        <f>VLOOKUP(A171,'DFP-Com'!$A$16:$B$50,2,1)</f>
        <v xml:space="preserve">     4.1.d  Other</v>
      </c>
      <c r="C171" s="379" t="s">
        <v>372</v>
      </c>
      <c r="D171" s="381">
        <v>1317.87</v>
      </c>
      <c r="E171" s="379" t="s">
        <v>350</v>
      </c>
      <c r="F171" s="382"/>
      <c r="G171" s="382">
        <v>0</v>
      </c>
      <c r="H171" s="382">
        <v>0</v>
      </c>
      <c r="I171" s="382">
        <v>0</v>
      </c>
      <c r="J171" s="383"/>
      <c r="K171" s="383"/>
      <c r="L171" s="383">
        <v>0</v>
      </c>
      <c r="M171" s="383">
        <v>0</v>
      </c>
      <c r="N171" s="383">
        <v>0</v>
      </c>
      <c r="O171" s="396">
        <v>0</v>
      </c>
      <c r="P171" s="383"/>
      <c r="Q171" s="383"/>
      <c r="R171" s="383"/>
      <c r="S171" s="397">
        <v>0</v>
      </c>
      <c r="T171" s="383"/>
      <c r="U171" s="383">
        <v>1</v>
      </c>
      <c r="V171" s="383"/>
      <c r="W171" s="383"/>
      <c r="X171" s="383"/>
      <c r="Y171" s="383"/>
      <c r="Z171" s="380">
        <f>SUM(F171:Y171)</f>
        <v>1</v>
      </c>
      <c r="AA171" s="379"/>
      <c r="AB171" s="379"/>
      <c r="AC171" s="381">
        <f t="shared" ref="AC171" si="1428">F171*$D171</f>
        <v>0</v>
      </c>
      <c r="AD171" s="369">
        <f t="shared" ref="AD171" si="1429">G171*$D171</f>
        <v>0</v>
      </c>
      <c r="AE171" s="381">
        <f t="shared" ref="AE171" si="1430">H171*$D171</f>
        <v>0</v>
      </c>
      <c r="AF171" s="381">
        <f t="shared" ref="AF171" si="1431">I171*$D171</f>
        <v>0</v>
      </c>
      <c r="AG171" s="381">
        <f t="shared" ref="AG171" si="1432">J171*$D171</f>
        <v>0</v>
      </c>
      <c r="AH171" s="381">
        <f t="shared" ref="AH171" si="1433">K171*$D171</f>
        <v>0</v>
      </c>
      <c r="AI171" s="381">
        <f t="shared" ref="AI171" si="1434">L171*$D171</f>
        <v>0</v>
      </c>
      <c r="AJ171" s="381">
        <f t="shared" ref="AJ171" si="1435">M171*$D171</f>
        <v>0</v>
      </c>
      <c r="AK171" s="368">
        <f t="shared" ref="AK171" si="1436">N171*$D171</f>
        <v>0</v>
      </c>
      <c r="AL171" s="369">
        <f t="shared" ref="AL171" si="1437">O171*$D171</f>
        <v>0</v>
      </c>
      <c r="AM171" s="346">
        <f t="shared" ref="AM171" si="1438">P171*$D171</f>
        <v>0</v>
      </c>
      <c r="AN171" s="333">
        <f t="shared" ref="AN171" si="1439">Q171*$D171</f>
        <v>0</v>
      </c>
      <c r="AO171" s="346">
        <f t="shared" ref="AO171" si="1440">R171*$D171</f>
        <v>0</v>
      </c>
      <c r="AP171" s="333">
        <f t="shared" ref="AP171" si="1441">S171*$D171</f>
        <v>0</v>
      </c>
      <c r="AQ171" s="346">
        <f t="shared" ref="AQ171" si="1442">T171*$D171</f>
        <v>0</v>
      </c>
      <c r="AR171" s="346">
        <f t="shared" ref="AR171" si="1443">U171*$D171</f>
        <v>1317.87</v>
      </c>
      <c r="AS171" s="346">
        <f t="shared" ref="AS171" si="1444">V171*$D171</f>
        <v>0</v>
      </c>
      <c r="AT171" s="346">
        <f t="shared" ref="AT171" si="1445">W171*$D171</f>
        <v>0</v>
      </c>
      <c r="AU171" s="346">
        <f t="shared" ref="AU171" si="1446">X171*$D171</f>
        <v>0</v>
      </c>
      <c r="AV171" s="346"/>
      <c r="AW171" s="346"/>
      <c r="AX171" s="346">
        <f t="shared" ref="AX171:BQ172" si="1447">IF(AX$3=$E171,$D171,0)</f>
        <v>0</v>
      </c>
      <c r="AY171" s="346">
        <f t="shared" si="1447"/>
        <v>0</v>
      </c>
      <c r="AZ171" s="346">
        <f t="shared" si="1447"/>
        <v>0</v>
      </c>
      <c r="BA171" s="346">
        <f t="shared" si="1447"/>
        <v>0</v>
      </c>
      <c r="BB171" s="346">
        <f t="shared" si="1447"/>
        <v>0</v>
      </c>
      <c r="BC171" s="346">
        <f t="shared" si="1447"/>
        <v>0</v>
      </c>
      <c r="BD171" s="346">
        <f t="shared" si="1447"/>
        <v>0</v>
      </c>
      <c r="BE171" s="346">
        <f t="shared" si="1447"/>
        <v>0</v>
      </c>
      <c r="BF171" s="346">
        <f t="shared" si="1447"/>
        <v>0</v>
      </c>
      <c r="BG171" s="346">
        <f t="shared" si="1447"/>
        <v>0</v>
      </c>
      <c r="BH171" s="346">
        <f t="shared" si="1447"/>
        <v>0</v>
      </c>
      <c r="BI171" s="346">
        <f t="shared" si="1447"/>
        <v>0</v>
      </c>
      <c r="BJ171" s="346">
        <f t="shared" si="1447"/>
        <v>0</v>
      </c>
      <c r="BK171" s="346">
        <f t="shared" si="1447"/>
        <v>0</v>
      </c>
      <c r="BL171" s="346">
        <f t="shared" si="1447"/>
        <v>0</v>
      </c>
      <c r="BM171" s="346">
        <f t="shared" si="1447"/>
        <v>1317.87</v>
      </c>
      <c r="BN171" s="346">
        <f t="shared" si="1447"/>
        <v>0</v>
      </c>
      <c r="BO171" s="346">
        <f t="shared" si="1447"/>
        <v>0</v>
      </c>
      <c r="BP171" s="346">
        <f t="shared" si="1447"/>
        <v>0</v>
      </c>
      <c r="BQ171" s="346">
        <f t="shared" si="1447"/>
        <v>0</v>
      </c>
      <c r="BR171" s="370">
        <f t="shared" ref="BR171" si="1448">SUM(AC171:AV171)-SUM(AX171:BQ171)</f>
        <v>0</v>
      </c>
      <c r="BS171" s="402">
        <f t="shared" si="1326"/>
        <v>0</v>
      </c>
      <c r="BT171" s="402">
        <f t="shared" si="1327"/>
        <v>0</v>
      </c>
      <c r="BU171" s="235"/>
      <c r="BV171" s="235"/>
    </row>
    <row r="172" spans="1:74" s="285" customFormat="1" ht="14.45" hidden="1" customHeight="1" x14ac:dyDescent="0.25">
      <c r="A172" s="378" t="s">
        <v>142</v>
      </c>
      <c r="B172" s="398" t="str">
        <f>VLOOKUP(A172,'DFP-Com'!$A$16:$B$50,2,1)</f>
        <v xml:space="preserve">     4.1.d  Other</v>
      </c>
      <c r="C172" s="379" t="s">
        <v>340</v>
      </c>
      <c r="D172" s="381">
        <v>3200</v>
      </c>
      <c r="E172" s="379" t="s">
        <v>305</v>
      </c>
      <c r="F172" s="382"/>
      <c r="G172" s="382">
        <v>0</v>
      </c>
      <c r="H172" s="382">
        <v>0</v>
      </c>
      <c r="I172" s="382">
        <v>0</v>
      </c>
      <c r="J172" s="383"/>
      <c r="K172" s="383"/>
      <c r="L172" s="383">
        <v>0</v>
      </c>
      <c r="M172" s="383">
        <v>0</v>
      </c>
      <c r="N172" s="383">
        <v>0</v>
      </c>
      <c r="O172" s="396">
        <v>0</v>
      </c>
      <c r="P172" s="383"/>
      <c r="Q172" s="383"/>
      <c r="R172" s="383"/>
      <c r="S172" s="397">
        <v>1</v>
      </c>
      <c r="T172" s="383"/>
      <c r="U172" s="383"/>
      <c r="V172" s="383"/>
      <c r="W172" s="383"/>
      <c r="X172" s="383"/>
      <c r="Y172" s="383"/>
      <c r="Z172" s="380">
        <f>SUM(F172:Y172)</f>
        <v>1</v>
      </c>
      <c r="AA172" s="379"/>
      <c r="AB172" s="379"/>
      <c r="AC172" s="381">
        <f t="shared" ref="AC172" si="1449">F172*$D172</f>
        <v>0</v>
      </c>
      <c r="AD172" s="369">
        <f t="shared" ref="AD172" si="1450">G172*$D172</f>
        <v>0</v>
      </c>
      <c r="AE172" s="381">
        <f t="shared" ref="AE172" si="1451">H172*$D172</f>
        <v>0</v>
      </c>
      <c r="AF172" s="381">
        <f t="shared" ref="AF172" si="1452">I172*$D172</f>
        <v>0</v>
      </c>
      <c r="AG172" s="381">
        <f t="shared" ref="AG172" si="1453">J172*$D172</f>
        <v>0</v>
      </c>
      <c r="AH172" s="381">
        <f t="shared" ref="AH172" si="1454">K172*$D172</f>
        <v>0</v>
      </c>
      <c r="AI172" s="381">
        <f t="shared" ref="AI172" si="1455">L172*$D172</f>
        <v>0</v>
      </c>
      <c r="AJ172" s="381">
        <f t="shared" ref="AJ172" si="1456">M172*$D172</f>
        <v>0</v>
      </c>
      <c r="AK172" s="368">
        <f t="shared" ref="AK172" si="1457">N172*$D172</f>
        <v>0</v>
      </c>
      <c r="AL172" s="369">
        <f t="shared" ref="AL172" si="1458">O172*$D172</f>
        <v>0</v>
      </c>
      <c r="AM172" s="346">
        <f t="shared" ref="AM172" si="1459">P172*$D172</f>
        <v>0</v>
      </c>
      <c r="AN172" s="333">
        <f t="shared" ref="AN172" si="1460">Q172*$D172</f>
        <v>0</v>
      </c>
      <c r="AO172" s="346">
        <f t="shared" ref="AO172" si="1461">R172*$D172</f>
        <v>0</v>
      </c>
      <c r="AP172" s="333">
        <f t="shared" ref="AP172" si="1462">S172*$D172</f>
        <v>3200</v>
      </c>
      <c r="AQ172" s="346">
        <f t="shared" ref="AQ172" si="1463">T172*$D172</f>
        <v>0</v>
      </c>
      <c r="AR172" s="346">
        <f t="shared" ref="AR172" si="1464">U172*$D172</f>
        <v>0</v>
      </c>
      <c r="AS172" s="346">
        <f t="shared" ref="AS172" si="1465">V172*$D172</f>
        <v>0</v>
      </c>
      <c r="AT172" s="346">
        <f t="shared" ref="AT172" si="1466">W172*$D172</f>
        <v>0</v>
      </c>
      <c r="AU172" s="346">
        <f t="shared" ref="AU172" si="1467">X172*$D172</f>
        <v>0</v>
      </c>
      <c r="AV172" s="346"/>
      <c r="AW172" s="346"/>
      <c r="AX172" s="346">
        <f t="shared" si="1447"/>
        <v>0</v>
      </c>
      <c r="AY172" s="346">
        <f t="shared" si="1447"/>
        <v>0</v>
      </c>
      <c r="AZ172" s="346">
        <f t="shared" si="1447"/>
        <v>0</v>
      </c>
      <c r="BA172" s="346">
        <f t="shared" si="1447"/>
        <v>0</v>
      </c>
      <c r="BB172" s="346">
        <f t="shared" si="1447"/>
        <v>0</v>
      </c>
      <c r="BC172" s="346">
        <f t="shared" si="1447"/>
        <v>0</v>
      </c>
      <c r="BD172" s="346">
        <f t="shared" si="1447"/>
        <v>0</v>
      </c>
      <c r="BE172" s="346">
        <f t="shared" si="1447"/>
        <v>0</v>
      </c>
      <c r="BF172" s="346">
        <f t="shared" si="1447"/>
        <v>0</v>
      </c>
      <c r="BG172" s="346">
        <f t="shared" si="1447"/>
        <v>0</v>
      </c>
      <c r="BH172" s="346">
        <f t="shared" si="1447"/>
        <v>0</v>
      </c>
      <c r="BI172" s="346">
        <f t="shared" si="1447"/>
        <v>0</v>
      </c>
      <c r="BJ172" s="346">
        <f t="shared" si="1447"/>
        <v>3200</v>
      </c>
      <c r="BK172" s="346">
        <f t="shared" si="1447"/>
        <v>0</v>
      </c>
      <c r="BL172" s="346">
        <f t="shared" si="1447"/>
        <v>0</v>
      </c>
      <c r="BM172" s="346">
        <f t="shared" si="1447"/>
        <v>0</v>
      </c>
      <c r="BN172" s="346">
        <f t="shared" si="1447"/>
        <v>0</v>
      </c>
      <c r="BO172" s="346">
        <f t="shared" si="1447"/>
        <v>0</v>
      </c>
      <c r="BP172" s="346">
        <f t="shared" si="1447"/>
        <v>0</v>
      </c>
      <c r="BQ172" s="346">
        <f t="shared" si="1447"/>
        <v>0</v>
      </c>
      <c r="BR172" s="370">
        <f t="shared" ref="BR172" si="1468">SUM(AC172:AV172)-SUM(AX172:BQ172)</f>
        <v>0</v>
      </c>
      <c r="BS172" s="402">
        <f t="shared" si="1326"/>
        <v>0</v>
      </c>
      <c r="BT172" s="402">
        <f t="shared" si="1327"/>
        <v>0</v>
      </c>
      <c r="BU172" s="235"/>
      <c r="BV172" s="235"/>
    </row>
    <row r="173" spans="1:74" ht="14.45" hidden="1" customHeight="1" x14ac:dyDescent="0.25">
      <c r="A173" s="378" t="s">
        <v>140</v>
      </c>
      <c r="B173" s="398" t="str">
        <f>VLOOKUP(A173,'DFP-Com'!$A$16:$B$50,2,1)</f>
        <v xml:space="preserve">     4.1.b  Travel*</v>
      </c>
      <c r="C173" s="405" t="s">
        <v>182</v>
      </c>
      <c r="D173" s="404">
        <v>78000</v>
      </c>
      <c r="E173" s="399"/>
      <c r="F173" s="400">
        <v>0</v>
      </c>
      <c r="G173" s="400">
        <v>0</v>
      </c>
      <c r="H173" s="400">
        <v>573.21</v>
      </c>
      <c r="I173" s="400">
        <v>2945.2999999999997</v>
      </c>
      <c r="J173" s="400">
        <v>276.14</v>
      </c>
      <c r="K173" s="400">
        <v>0</v>
      </c>
      <c r="L173" s="400">
        <v>2619.6499999999996</v>
      </c>
      <c r="M173" s="400">
        <v>13337.339999999998</v>
      </c>
      <c r="N173" s="400">
        <v>4226.3999999999996</v>
      </c>
      <c r="O173" s="400">
        <v>3660.32</v>
      </c>
      <c r="P173" s="368">
        <v>161.88</v>
      </c>
      <c r="Q173" s="368">
        <v>632.48</v>
      </c>
      <c r="R173" s="368">
        <v>3382.5899999999997</v>
      </c>
      <c r="S173" s="368">
        <f>12459.14+51.77+70</f>
        <v>12580.91</v>
      </c>
      <c r="T173" s="378">
        <v>4303.54</v>
      </c>
      <c r="U173" s="378">
        <v>0</v>
      </c>
      <c r="V173" s="378">
        <v>2000</v>
      </c>
      <c r="W173" s="378">
        <v>24696.46</v>
      </c>
      <c r="X173" s="378">
        <f>2725.55-51.77</f>
        <v>2673.78</v>
      </c>
      <c r="Y173" s="381"/>
      <c r="Z173" s="368">
        <f>SUM(F173:X173)</f>
        <v>78070</v>
      </c>
      <c r="AA173" s="379"/>
      <c r="AB173" s="379"/>
      <c r="AC173" s="401">
        <f t="shared" si="1406"/>
        <v>0</v>
      </c>
      <c r="AD173" s="401">
        <f t="shared" si="1407"/>
        <v>0</v>
      </c>
      <c r="AE173" s="401">
        <f t="shared" si="1408"/>
        <v>573.21</v>
      </c>
      <c r="AF173" s="401">
        <f t="shared" ref="AF173" si="1469">I173</f>
        <v>2945.2999999999997</v>
      </c>
      <c r="AG173" s="401">
        <f t="shared" ref="AG173" si="1470">J173</f>
        <v>276.14</v>
      </c>
      <c r="AH173" s="401">
        <f t="shared" ref="AH173" si="1471">K173</f>
        <v>0</v>
      </c>
      <c r="AI173" s="401">
        <f t="shared" ref="AI173" si="1472">L173</f>
        <v>2619.6499999999996</v>
      </c>
      <c r="AJ173" s="401">
        <f t="shared" ref="AJ173" si="1473">M173</f>
        <v>13337.339999999998</v>
      </c>
      <c r="AK173" s="401">
        <f t="shared" ref="AK173" si="1474">N173</f>
        <v>4226.3999999999996</v>
      </c>
      <c r="AL173" s="401">
        <f t="shared" ref="AL173" si="1475">O173</f>
        <v>3660.32</v>
      </c>
      <c r="AM173" s="432">
        <f t="shared" ref="AM173" si="1476">P173</f>
        <v>161.88</v>
      </c>
      <c r="AN173" s="432">
        <f t="shared" ref="AN173" si="1477">Q173</f>
        <v>632.48</v>
      </c>
      <c r="AO173" s="432">
        <f t="shared" ref="AO173" si="1478">R173</f>
        <v>3382.5899999999997</v>
      </c>
      <c r="AP173" s="432">
        <f t="shared" ref="AP173" si="1479">S173</f>
        <v>12580.91</v>
      </c>
      <c r="AQ173" s="431">
        <f t="shared" ref="AQ173" si="1480">T173</f>
        <v>4303.54</v>
      </c>
      <c r="AR173" s="431">
        <f t="shared" ref="AR173" si="1481">U173</f>
        <v>0</v>
      </c>
      <c r="AS173" s="431">
        <f t="shared" ref="AS173" si="1482">V173</f>
        <v>2000</v>
      </c>
      <c r="AT173" s="432">
        <f t="shared" ref="AT173" si="1483">W173</f>
        <v>24696.46</v>
      </c>
      <c r="AU173" s="437">
        <f t="shared" ref="AU173" si="1484">X173</f>
        <v>2673.78</v>
      </c>
      <c r="AV173" s="346"/>
      <c r="AW173" s="346"/>
      <c r="AX173" s="333">
        <f t="shared" si="1423"/>
        <v>0</v>
      </c>
      <c r="AY173" s="431">
        <f t="shared" si="1423"/>
        <v>0</v>
      </c>
      <c r="AZ173" s="431">
        <f t="shared" si="1423"/>
        <v>573.21</v>
      </c>
      <c r="BA173" s="431">
        <f t="shared" si="1423"/>
        <v>2945.2999999999997</v>
      </c>
      <c r="BB173" s="431">
        <f t="shared" si="1423"/>
        <v>276.14</v>
      </c>
      <c r="BC173" s="431">
        <f t="shared" si="1423"/>
        <v>0</v>
      </c>
      <c r="BD173" s="431">
        <f>AI173</f>
        <v>2619.6499999999996</v>
      </c>
      <c r="BE173" s="431">
        <f t="shared" si="1423"/>
        <v>13337.339999999998</v>
      </c>
      <c r="BF173" s="431">
        <f t="shared" si="1423"/>
        <v>4226.3999999999996</v>
      </c>
      <c r="BG173" s="431">
        <f t="shared" si="1423"/>
        <v>3660.32</v>
      </c>
      <c r="BH173" s="333">
        <f t="shared" si="1423"/>
        <v>161.88</v>
      </c>
      <c r="BI173" s="346">
        <f t="shared" si="1423"/>
        <v>632.48</v>
      </c>
      <c r="BJ173" s="346">
        <v>4719.59</v>
      </c>
      <c r="BK173" s="423">
        <f>11042.38+79.76+51.77+70</f>
        <v>11243.91</v>
      </c>
      <c r="BL173" s="333">
        <f t="shared" si="1423"/>
        <v>4303.54</v>
      </c>
      <c r="BM173" s="346">
        <v>0</v>
      </c>
      <c r="BN173" s="346">
        <f t="shared" si="1425"/>
        <v>2000</v>
      </c>
      <c r="BO173" s="346">
        <f t="shared" si="1426"/>
        <v>24696.46</v>
      </c>
      <c r="BP173" s="346">
        <f t="shared" si="1427"/>
        <v>2673.78</v>
      </c>
      <c r="BQ173" s="346">
        <f t="shared" si="1427"/>
        <v>0</v>
      </c>
      <c r="BR173" s="433">
        <f t="shared" si="575"/>
        <v>0</v>
      </c>
      <c r="BS173" s="402">
        <f t="shared" si="1326"/>
        <v>-70</v>
      </c>
      <c r="BT173" s="402">
        <f t="shared" si="1327"/>
        <v>-70</v>
      </c>
      <c r="BU173" s="235"/>
      <c r="BV173" s="235"/>
    </row>
    <row r="174" spans="1:74" s="235" customFormat="1" ht="14.45" hidden="1" customHeight="1" x14ac:dyDescent="0.25">
      <c r="A174" s="236"/>
      <c r="D174" s="237"/>
      <c r="H174" s="308"/>
      <c r="T174" s="285"/>
      <c r="U174" s="285"/>
      <c r="V174" s="285"/>
      <c r="W174" s="285"/>
      <c r="X174" s="285"/>
      <c r="Z174" s="238"/>
      <c r="AC174" s="232"/>
      <c r="AD174" s="360"/>
      <c r="AE174" s="232"/>
      <c r="AF174" s="232"/>
      <c r="AG174" s="232"/>
      <c r="AH174" s="232"/>
      <c r="AI174" s="232"/>
      <c r="AJ174" s="232"/>
      <c r="AK174" s="232"/>
      <c r="AL174" s="360"/>
      <c r="AM174" s="232"/>
      <c r="AN174" s="232"/>
      <c r="AO174" s="232"/>
      <c r="AP174" s="232"/>
      <c r="AQ174" s="232"/>
      <c r="AS174" s="232"/>
      <c r="AU174" s="232"/>
      <c r="AV174" s="232"/>
      <c r="BR174" s="370">
        <f t="shared" si="575"/>
        <v>0</v>
      </c>
      <c r="BS174" s="402">
        <f t="shared" si="1326"/>
        <v>0</v>
      </c>
      <c r="BT174" s="402">
        <f t="shared" si="1327"/>
        <v>0</v>
      </c>
    </row>
    <row r="175" spans="1:74" ht="14.45" hidden="1" customHeight="1" x14ac:dyDescent="0.25">
      <c r="A175" s="235"/>
      <c r="B175" s="243" t="s">
        <v>201</v>
      </c>
      <c r="C175" s="235"/>
      <c r="D175" s="242">
        <f>SUM(D4:D173)</f>
        <v>25026302.393125009</v>
      </c>
      <c r="E175" s="243"/>
      <c r="F175" s="243"/>
      <c r="G175" s="243"/>
      <c r="H175" s="308"/>
      <c r="I175" s="243"/>
      <c r="J175" s="243"/>
      <c r="K175" s="243"/>
      <c r="L175" s="243"/>
      <c r="M175" s="243"/>
      <c r="N175" s="243"/>
      <c r="O175" s="243"/>
      <c r="P175" s="243"/>
      <c r="Q175" s="243"/>
      <c r="R175" s="243"/>
      <c r="S175" s="235"/>
      <c r="T175" s="285"/>
      <c r="Y175" s="326"/>
      <c r="Z175" s="243"/>
      <c r="AA175" s="235"/>
      <c r="AB175" s="235"/>
      <c r="AC175" s="232" t="s">
        <v>100</v>
      </c>
      <c r="AD175" s="360"/>
      <c r="AE175" s="235"/>
      <c r="AF175" s="235"/>
      <c r="AG175" s="235"/>
      <c r="AH175" s="235"/>
      <c r="AI175" s="235"/>
      <c r="AJ175" s="235"/>
      <c r="AK175" s="235"/>
      <c r="AL175" s="360"/>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35"/>
      <c r="BK175" s="235"/>
      <c r="BL175" s="235"/>
      <c r="BM175" s="235"/>
      <c r="BN175" s="235"/>
      <c r="BO175" s="235"/>
      <c r="BP175" s="235"/>
      <c r="BQ175" s="235"/>
      <c r="BR175" s="370">
        <f t="shared" si="575"/>
        <v>0</v>
      </c>
      <c r="BS175" s="402">
        <f t="shared" si="1326"/>
        <v>25026302.393125009</v>
      </c>
      <c r="BT175" s="402">
        <f t="shared" si="1327"/>
        <v>25026302.393125009</v>
      </c>
      <c r="BU175" s="235"/>
      <c r="BV175" s="235"/>
    </row>
    <row r="176" spans="1:74" ht="14.45" hidden="1" customHeight="1" x14ac:dyDescent="0.25">
      <c r="A176" s="235"/>
      <c r="B176" s="235"/>
      <c r="C176" s="235"/>
      <c r="D176" s="242"/>
      <c r="E176" s="243"/>
      <c r="F176" s="243"/>
      <c r="G176" s="243"/>
      <c r="H176" s="308"/>
      <c r="I176" s="243"/>
      <c r="J176" s="243"/>
      <c r="K176" s="243"/>
      <c r="L176" s="243"/>
      <c r="M176" s="243"/>
      <c r="N176" s="243"/>
      <c r="O176" s="243"/>
      <c r="P176" s="243"/>
      <c r="Q176" s="243"/>
      <c r="R176" s="243"/>
      <c r="S176" s="243"/>
      <c r="T176" s="285"/>
      <c r="Y176" s="243"/>
      <c r="Z176" s="243"/>
      <c r="AA176" s="235"/>
      <c r="AB176" s="235"/>
      <c r="AC176" s="232"/>
      <c r="AD176" s="360"/>
      <c r="AE176" s="235"/>
      <c r="AF176" s="235"/>
      <c r="AG176" s="235"/>
      <c r="AH176" s="235"/>
      <c r="AI176" s="235"/>
      <c r="AJ176" s="235"/>
      <c r="AK176" s="235"/>
      <c r="AL176" s="360"/>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35"/>
      <c r="BL176" s="235"/>
      <c r="BM176" s="235"/>
      <c r="BN176" s="235"/>
      <c r="BO176" s="235"/>
      <c r="BP176" s="235"/>
      <c r="BQ176" s="235"/>
      <c r="BR176" s="370">
        <f t="shared" si="575"/>
        <v>0</v>
      </c>
      <c r="BS176" s="402">
        <f t="shared" si="1326"/>
        <v>0</v>
      </c>
      <c r="BT176" s="402">
        <f t="shared" si="1327"/>
        <v>0</v>
      </c>
      <c r="BU176" s="235"/>
      <c r="BV176" s="235"/>
    </row>
    <row r="177" spans="1:74" ht="14.45" hidden="1" customHeight="1" x14ac:dyDescent="0.25">
      <c r="A177" s="384" t="s">
        <v>124</v>
      </c>
      <c r="B177" s="524" t="str">
        <f>VLOOKUP(A177,'DFP-Com'!$A$16:$B$50,2,1)</f>
        <v xml:space="preserve">     1.1.a  Education Project Implementation Contract</v>
      </c>
      <c r="C177" s="524"/>
      <c r="D177" s="385">
        <f>SUMIF($A$4:$A$174,"="&amp;A177,$D$4:$D$174)</f>
        <v>7593016.0899999999</v>
      </c>
      <c r="E177" s="235"/>
      <c r="F177" s="235"/>
      <c r="G177" s="235"/>
      <c r="H177" s="308"/>
      <c r="I177" s="235"/>
      <c r="J177" s="235"/>
      <c r="K177" s="235"/>
      <c r="L177" s="235"/>
      <c r="M177" s="235"/>
      <c r="N177" s="235"/>
      <c r="O177" s="235"/>
      <c r="P177" s="235"/>
      <c r="Q177" s="235"/>
      <c r="R177" s="235"/>
      <c r="S177" s="232"/>
      <c r="T177" s="28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35"/>
      <c r="BL177" s="235"/>
      <c r="BM177" s="235"/>
      <c r="BN177" s="235"/>
      <c r="BO177" s="235"/>
      <c r="BP177" s="235"/>
      <c r="BQ177" s="235"/>
      <c r="BR177" s="370">
        <f t="shared" si="575"/>
        <v>0</v>
      </c>
      <c r="BS177" s="402">
        <f t="shared" si="1326"/>
        <v>7593016.0899999999</v>
      </c>
      <c r="BT177" s="402">
        <f t="shared" si="1327"/>
        <v>7593016.0899999999</v>
      </c>
      <c r="BU177" s="235"/>
      <c r="BV177" s="235"/>
    </row>
    <row r="178" spans="1:74" ht="14.45" hidden="1" customHeight="1" x14ac:dyDescent="0.25">
      <c r="A178" s="384" t="s">
        <v>125</v>
      </c>
      <c r="B178" s="524" t="str">
        <f>VLOOKUP(A178,'DFP-Com'!$A$16:$B$50,2,1)</f>
        <v xml:space="preserve">     1.1.b  Grants to Universities for Teacher Training (Diplomados)</v>
      </c>
      <c r="C178" s="524"/>
      <c r="D178" s="390">
        <f>SUMIF($A$4:$A$174,"="&amp;A178,$D$4:$D$174)</f>
        <v>4390617.6500000004</v>
      </c>
      <c r="E178" s="235"/>
      <c r="F178" s="235"/>
      <c r="G178" s="235"/>
      <c r="H178" s="308"/>
      <c r="I178" s="235"/>
      <c r="J178" s="235"/>
      <c r="K178" s="235"/>
      <c r="L178" s="235"/>
      <c r="M178" s="235"/>
      <c r="N178" s="235"/>
      <c r="O178" s="235"/>
      <c r="P178" s="235"/>
      <c r="Q178" s="235"/>
      <c r="R178" s="235"/>
      <c r="S178" s="235"/>
      <c r="T178" s="235"/>
      <c r="U178" s="235"/>
      <c r="V178" s="235"/>
      <c r="W178" s="235"/>
      <c r="X178" s="235"/>
      <c r="Y178" s="235"/>
      <c r="Z178" s="235"/>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35"/>
      <c r="BK178" s="235"/>
      <c r="BL178" s="235"/>
      <c r="BM178" s="235"/>
      <c r="BN178" s="235"/>
      <c r="BO178" s="235"/>
      <c r="BP178" s="235"/>
      <c r="BQ178" s="235"/>
      <c r="BR178" s="370">
        <f t="shared" si="575"/>
        <v>0</v>
      </c>
      <c r="BS178" s="402">
        <f t="shared" si="1326"/>
        <v>4390617.6500000004</v>
      </c>
      <c r="BT178" s="402">
        <f t="shared" si="1327"/>
        <v>4390617.6500000004</v>
      </c>
      <c r="BU178" s="235"/>
      <c r="BV178" s="235"/>
    </row>
    <row r="179" spans="1:74" ht="14.45" hidden="1" customHeight="1" x14ac:dyDescent="0.25">
      <c r="A179" s="384" t="s">
        <v>127</v>
      </c>
      <c r="B179" s="524" t="str">
        <f>VLOOKUP(A179,'DFP-Com'!$A$16:$B$50,2,1)</f>
        <v xml:space="preserve">     1.2.a  TVET</v>
      </c>
      <c r="C179" s="524"/>
      <c r="D179" s="385">
        <f>SUMIF($A$4:$A$174,"="&amp;A179,$D$4:$D$174)</f>
        <v>4712594.5281250002</v>
      </c>
      <c r="E179" s="235"/>
      <c r="F179" s="235"/>
      <c r="G179" s="235"/>
      <c r="H179" s="308"/>
      <c r="I179" s="235"/>
      <c r="J179" s="235"/>
      <c r="K179" s="235"/>
      <c r="L179" s="235"/>
      <c r="M179" s="235"/>
      <c r="N179" s="235"/>
      <c r="O179" s="235"/>
      <c r="P179" s="235"/>
      <c r="Q179" s="235"/>
      <c r="R179" s="235"/>
      <c r="S179" s="235"/>
      <c r="T179" s="232"/>
      <c r="U179" s="235"/>
      <c r="V179" s="235"/>
      <c r="W179" s="235"/>
      <c r="X179" s="235"/>
      <c r="Y179" s="235"/>
      <c r="Z179" s="235"/>
      <c r="AA179" s="235"/>
      <c r="AB179" s="235"/>
      <c r="AC179" s="407"/>
      <c r="AD179" s="407"/>
      <c r="AE179" s="407"/>
      <c r="AF179" s="407"/>
      <c r="AG179" s="407"/>
      <c r="AH179" s="407"/>
      <c r="AI179" s="407"/>
      <c r="AJ179" s="407"/>
      <c r="AK179" s="407"/>
      <c r="AL179" s="407"/>
      <c r="AM179" s="407"/>
      <c r="AN179" s="407"/>
      <c r="AO179" s="407"/>
      <c r="AP179" s="407"/>
      <c r="AQ179" s="407"/>
      <c r="AR179" s="407"/>
      <c r="AS179" s="360"/>
      <c r="AT179" s="360"/>
      <c r="AU179" s="360"/>
      <c r="AV179" s="235"/>
      <c r="AW179" s="235"/>
      <c r="AX179" s="235"/>
      <c r="AY179" s="235"/>
      <c r="AZ179" s="235"/>
      <c r="BA179" s="235"/>
      <c r="BB179" s="235"/>
      <c r="BC179" s="235"/>
      <c r="BD179" s="235"/>
      <c r="BE179" s="235"/>
      <c r="BF179" s="235"/>
      <c r="BG179" s="235"/>
      <c r="BH179" s="235"/>
      <c r="BI179" s="235"/>
      <c r="BJ179" s="235"/>
      <c r="BK179" s="235"/>
      <c r="BL179" s="235"/>
      <c r="BM179" s="235"/>
      <c r="BN179" s="235"/>
      <c r="BO179" s="235"/>
      <c r="BP179" s="235"/>
      <c r="BQ179" s="235"/>
      <c r="BR179" s="370">
        <f t="shared" si="575"/>
        <v>0</v>
      </c>
      <c r="BS179" s="402">
        <f t="shared" si="1326"/>
        <v>4712594.5281250002</v>
      </c>
      <c r="BT179" s="402">
        <f t="shared" si="1327"/>
        <v>4712594.5281250002</v>
      </c>
      <c r="BU179" s="235"/>
      <c r="BV179" s="235"/>
    </row>
    <row r="180" spans="1:74" ht="14.45" customHeight="1" x14ac:dyDescent="0.25">
      <c r="A180" s="384" t="s">
        <v>128</v>
      </c>
      <c r="B180" s="524"/>
      <c r="C180" s="524"/>
      <c r="D180" s="385">
        <f>SUMIF($A$4:$A$174,"="&amp;A180,$D$4:$D$174)</f>
        <v>2947876.18</v>
      </c>
      <c r="E180" s="235"/>
      <c r="F180" s="235"/>
      <c r="G180" s="235"/>
      <c r="H180" s="308"/>
      <c r="I180" s="235"/>
      <c r="J180" s="235"/>
      <c r="K180" s="235"/>
      <c r="L180" s="235"/>
      <c r="M180" s="235"/>
      <c r="N180" s="235"/>
      <c r="O180" s="235"/>
      <c r="P180" s="235"/>
      <c r="Q180" s="235"/>
      <c r="R180" s="235"/>
      <c r="S180" s="235"/>
      <c r="T180" s="232"/>
      <c r="U180" s="235"/>
      <c r="V180" s="235"/>
      <c r="W180" s="235"/>
      <c r="X180" s="235"/>
      <c r="Y180" s="235"/>
      <c r="Z180" s="235"/>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35"/>
      <c r="BK180" s="235"/>
      <c r="BL180" s="235"/>
      <c r="BM180" s="235"/>
      <c r="BN180" s="235"/>
      <c r="BO180" s="235"/>
      <c r="BP180" s="235"/>
      <c r="BQ180" s="235"/>
      <c r="BR180" s="370">
        <f t="shared" si="575"/>
        <v>0</v>
      </c>
      <c r="BS180" s="402">
        <f t="shared" si="1326"/>
        <v>2947876.18</v>
      </c>
      <c r="BT180" s="402">
        <f t="shared" si="1327"/>
        <v>2947876.18</v>
      </c>
      <c r="BU180" s="235"/>
      <c r="BV180" s="235"/>
    </row>
    <row r="181" spans="1:74" ht="14.45" customHeight="1" x14ac:dyDescent="0.25">
      <c r="A181" s="384" t="s">
        <v>129</v>
      </c>
      <c r="B181" s="524"/>
      <c r="C181" s="524"/>
      <c r="D181" s="385">
        <f>SUMIF($A$4:$A$174,"="&amp;A181,$D$4:$D$174)</f>
        <v>324786.03500000003</v>
      </c>
      <c r="E181" s="235"/>
      <c r="F181" s="235"/>
      <c r="G181" s="235"/>
      <c r="H181" s="308"/>
      <c r="I181" s="235"/>
      <c r="J181" s="235"/>
      <c r="K181" s="235"/>
      <c r="L181" s="235"/>
      <c r="M181" s="235"/>
      <c r="N181" s="235"/>
      <c r="O181" s="235"/>
      <c r="P181" s="235"/>
      <c r="Q181" s="235"/>
      <c r="R181" s="235"/>
      <c r="S181" s="235"/>
      <c r="T181" s="235"/>
      <c r="U181" s="235"/>
      <c r="V181" s="235"/>
      <c r="W181" s="235"/>
      <c r="X181" s="235"/>
      <c r="Y181" s="235"/>
      <c r="Z181" s="235"/>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35"/>
      <c r="BK181" s="235"/>
      <c r="BL181" s="235"/>
      <c r="BM181" s="235"/>
      <c r="BN181" s="235"/>
      <c r="BO181" s="235"/>
      <c r="BP181" s="235"/>
      <c r="BQ181" s="235"/>
      <c r="BR181" s="370">
        <f t="shared" si="575"/>
        <v>0</v>
      </c>
      <c r="BS181" s="402">
        <f t="shared" si="1326"/>
        <v>324786.03500000003</v>
      </c>
      <c r="BT181" s="402">
        <f t="shared" si="1327"/>
        <v>324786.03500000003</v>
      </c>
      <c r="BU181" s="235"/>
      <c r="BV181" s="235"/>
    </row>
    <row r="182" spans="1:74" s="285" customFormat="1" ht="14.45" hidden="1" customHeight="1" x14ac:dyDescent="0.25">
      <c r="A182" s="235"/>
      <c r="B182" s="371" t="s">
        <v>218</v>
      </c>
      <c r="C182" s="371"/>
      <c r="D182" s="372">
        <f>SUM(D177:D181)</f>
        <v>19968890.483125001</v>
      </c>
      <c r="E182" s="321"/>
      <c r="F182" s="232"/>
      <c r="G182" s="235"/>
      <c r="H182" s="308"/>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360"/>
      <c r="AE182" s="235"/>
      <c r="AF182" s="235"/>
      <c r="AG182" s="235"/>
      <c r="AH182" s="235"/>
      <c r="AI182" s="235"/>
      <c r="AJ182" s="235"/>
      <c r="AK182" s="235"/>
      <c r="AL182" s="360"/>
      <c r="AM182" s="235"/>
      <c r="AN182" s="235"/>
      <c r="AO182" s="235"/>
      <c r="AP182" s="402"/>
      <c r="AQ182" s="235"/>
      <c r="AR182" s="235"/>
      <c r="AS182" s="235"/>
      <c r="AT182" s="235"/>
      <c r="AU182" s="235"/>
      <c r="AV182" s="235"/>
      <c r="AW182" s="235"/>
      <c r="AX182" s="235"/>
      <c r="AY182" s="235"/>
      <c r="AZ182" s="235"/>
      <c r="BA182" s="235"/>
      <c r="BB182" s="235"/>
      <c r="BC182" s="235"/>
      <c r="BD182" s="235"/>
      <c r="BE182" s="235"/>
      <c r="BF182" s="235"/>
      <c r="BG182" s="235"/>
      <c r="BH182" s="235"/>
      <c r="BI182" s="235"/>
      <c r="BJ182" s="235"/>
      <c r="BK182" s="235"/>
      <c r="BL182" s="235"/>
      <c r="BM182" s="235"/>
      <c r="BN182" s="235"/>
      <c r="BO182" s="235"/>
      <c r="BP182" s="235"/>
      <c r="BQ182" s="235"/>
      <c r="BR182" s="370">
        <f t="shared" si="575"/>
        <v>0</v>
      </c>
      <c r="BS182" s="402">
        <f t="shared" si="1326"/>
        <v>19968890.483125001</v>
      </c>
      <c r="BT182" s="402">
        <f t="shared" si="1327"/>
        <v>19968890.483125001</v>
      </c>
      <c r="BU182" s="235"/>
      <c r="BV182" s="235"/>
    </row>
    <row r="183" spans="1:74" ht="15" hidden="1" customHeight="1" x14ac:dyDescent="0.25">
      <c r="A183" s="384" t="s">
        <v>131</v>
      </c>
      <c r="B183" s="524" t="str">
        <f>VLOOKUP(A183,'DFP-Com'!$A$16:$B$50,2,1)</f>
        <v xml:space="preserve">     2.1.a  Tax and Customs</v>
      </c>
      <c r="C183" s="524"/>
      <c r="D183" s="406">
        <f>SUMIF($A$4:$A$174,"="&amp;A183,$D$4:$D$174)</f>
        <v>1041167.88</v>
      </c>
      <c r="E183" s="235"/>
      <c r="F183" s="235"/>
      <c r="G183" s="235"/>
      <c r="H183" s="308"/>
      <c r="I183" s="235"/>
      <c r="J183" s="235"/>
      <c r="K183" s="235"/>
      <c r="L183" s="235"/>
      <c r="M183" s="235"/>
      <c r="N183" s="235"/>
      <c r="O183" s="235"/>
      <c r="P183" s="235"/>
      <c r="Q183" s="235"/>
      <c r="R183" s="235"/>
      <c r="S183" s="235"/>
      <c r="T183" s="235"/>
      <c r="U183" s="235"/>
      <c r="V183" s="235"/>
      <c r="W183" s="235"/>
      <c r="X183" s="235"/>
      <c r="Y183" s="235"/>
      <c r="Z183" s="235"/>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35"/>
      <c r="BK183" s="235"/>
      <c r="BL183" s="235"/>
      <c r="BM183" s="235"/>
      <c r="BN183" s="235"/>
      <c r="BO183" s="235"/>
      <c r="BP183" s="235"/>
      <c r="BQ183" s="235"/>
      <c r="BR183" s="370">
        <f t="shared" ref="BR183:BR199" si="1485">SUM(AC183:AV183)-SUM(AX183:BQ183)</f>
        <v>0</v>
      </c>
      <c r="BS183" s="402">
        <f t="shared" si="1326"/>
        <v>1041167.88</v>
      </c>
      <c r="BT183" s="402">
        <f t="shared" si="1327"/>
        <v>1041167.88</v>
      </c>
      <c r="BU183" s="235"/>
      <c r="BV183" s="235"/>
    </row>
    <row r="184" spans="1:74" s="285" customFormat="1" ht="14.45" hidden="1" customHeight="1" x14ac:dyDescent="0.25">
      <c r="A184" s="235"/>
      <c r="B184" s="371" t="s">
        <v>219</v>
      </c>
      <c r="C184" s="371"/>
      <c r="D184" s="373">
        <f>D183</f>
        <v>1041167.88</v>
      </c>
      <c r="E184" s="321">
        <f>'QFR - B'!J20</f>
        <v>1215000</v>
      </c>
      <c r="F184" s="232">
        <f>E184-D184</f>
        <v>173832.12</v>
      </c>
      <c r="G184" s="235"/>
      <c r="H184" s="308"/>
      <c r="I184" s="235"/>
      <c r="J184" s="235"/>
      <c r="K184" s="235"/>
      <c r="L184" s="235"/>
      <c r="M184" s="235"/>
      <c r="N184" s="235"/>
      <c r="O184" s="235"/>
      <c r="P184" s="235"/>
      <c r="Q184" s="235"/>
      <c r="R184" s="235"/>
      <c r="S184" s="235"/>
      <c r="T184" s="235"/>
      <c r="U184" s="235"/>
      <c r="V184" s="235"/>
      <c r="W184" s="235"/>
      <c r="X184" s="235"/>
      <c r="Y184" s="235"/>
      <c r="Z184" s="235"/>
      <c r="AA184" s="235"/>
      <c r="AB184" s="235"/>
      <c r="AC184" s="235"/>
      <c r="AD184" s="360"/>
      <c r="AE184" s="235"/>
      <c r="AF184" s="235"/>
      <c r="AG184" s="235"/>
      <c r="AH184" s="235"/>
      <c r="AI184" s="235"/>
      <c r="AJ184" s="235"/>
      <c r="AK184" s="235"/>
      <c r="AL184" s="360"/>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35"/>
      <c r="BK184" s="235"/>
      <c r="BL184" s="235"/>
      <c r="BM184" s="235"/>
      <c r="BN184" s="235"/>
      <c r="BO184" s="235"/>
      <c r="BP184" s="235"/>
      <c r="BQ184" s="235"/>
      <c r="BR184" s="370">
        <f t="shared" si="1485"/>
        <v>0</v>
      </c>
      <c r="BS184" s="402">
        <f t="shared" si="1326"/>
        <v>1041167.88</v>
      </c>
      <c r="BT184" s="402">
        <f t="shared" si="1327"/>
        <v>1041167.88</v>
      </c>
      <c r="BU184" s="235"/>
      <c r="BV184" s="235"/>
    </row>
    <row r="185" spans="1:74" ht="14.45" hidden="1" customHeight="1" x14ac:dyDescent="0.25">
      <c r="A185" s="384" t="s">
        <v>132</v>
      </c>
      <c r="B185" s="524" t="str">
        <f>VLOOKUP(A185,'DFP-Com'!$A$16:$B$50,2,1)</f>
        <v xml:space="preserve">     2.2.a  Advisors</v>
      </c>
      <c r="C185" s="524"/>
      <c r="D185" s="386">
        <f>SUMIF($A$4:$A$174,"="&amp;A185,$D$4:$D$174)</f>
        <v>511547.67000000004</v>
      </c>
      <c r="E185" s="235"/>
      <c r="F185" s="235"/>
      <c r="G185" s="235"/>
      <c r="H185" s="308"/>
      <c r="I185" s="235"/>
      <c r="J185" s="235"/>
      <c r="K185" s="235"/>
      <c r="L185" s="235"/>
      <c r="M185" s="235"/>
      <c r="N185" s="235"/>
      <c r="O185" s="235"/>
      <c r="P185" s="235"/>
      <c r="Q185" s="235"/>
      <c r="R185" s="235"/>
      <c r="S185" s="235"/>
      <c r="T185" s="235"/>
      <c r="U185" s="235"/>
      <c r="V185" s="235"/>
      <c r="W185" s="235"/>
      <c r="X185" s="235"/>
      <c r="Y185" s="235"/>
      <c r="Z185" s="235"/>
      <c r="AA185" s="235"/>
      <c r="AB185" s="235"/>
      <c r="AC185" s="235"/>
      <c r="AD185" s="235"/>
      <c r="AE185" s="235"/>
      <c r="AF185" s="235"/>
      <c r="AG185" s="235"/>
      <c r="AH185" s="235"/>
      <c r="AI185" s="235"/>
      <c r="AJ185" s="235"/>
      <c r="AK185" s="235"/>
      <c r="AL185" s="360"/>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35"/>
      <c r="BK185" s="235"/>
      <c r="BL185" s="235"/>
      <c r="BM185" s="235"/>
      <c r="BN185" s="235"/>
      <c r="BO185" s="235"/>
      <c r="BP185" s="235"/>
      <c r="BQ185" s="235"/>
      <c r="BR185" s="370">
        <f t="shared" si="1485"/>
        <v>0</v>
      </c>
      <c r="BS185" s="402">
        <f t="shared" si="1326"/>
        <v>511547.67000000004</v>
      </c>
      <c r="BT185" s="402">
        <f t="shared" si="1327"/>
        <v>511547.67000000004</v>
      </c>
      <c r="BU185" s="235"/>
      <c r="BV185" s="235"/>
    </row>
    <row r="186" spans="1:74" ht="14.45" hidden="1" customHeight="1" x14ac:dyDescent="0.25">
      <c r="A186" s="384" t="s">
        <v>133</v>
      </c>
      <c r="B186" s="524" t="str">
        <f>VLOOKUP(A186,'DFP-Com'!$A$16:$B$50,2,1)</f>
        <v xml:space="preserve">     2.2.b  Feasiblity Studies/  Transaction Advisory Services</v>
      </c>
      <c r="C186" s="524"/>
      <c r="D186" s="386">
        <f>SUMIF($A$4:$A$174,"="&amp;A186,$D$4:$D$174)</f>
        <v>1030229</v>
      </c>
      <c r="E186" s="235"/>
      <c r="F186" s="235"/>
      <c r="G186" s="235"/>
      <c r="H186" s="308"/>
      <c r="I186" s="235"/>
      <c r="J186" s="235"/>
      <c r="K186" s="235"/>
      <c r="L186" s="235"/>
      <c r="M186" s="235"/>
      <c r="N186" s="235"/>
      <c r="O186" s="235"/>
      <c r="P186" s="235"/>
      <c r="Q186" s="235"/>
      <c r="R186" s="235"/>
      <c r="S186" s="235"/>
      <c r="T186" s="235"/>
      <c r="U186" s="235"/>
      <c r="V186" s="235"/>
      <c r="W186" s="235"/>
      <c r="X186" s="235"/>
      <c r="Y186" s="235"/>
      <c r="Z186" s="235"/>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35"/>
      <c r="BK186" s="235"/>
      <c r="BL186" s="235"/>
      <c r="BM186" s="235"/>
      <c r="BN186" s="235"/>
      <c r="BO186" s="235"/>
      <c r="BP186" s="235"/>
      <c r="BQ186" s="235"/>
      <c r="BR186" s="370">
        <f t="shared" si="1485"/>
        <v>0</v>
      </c>
      <c r="BS186" s="402">
        <f t="shared" si="1326"/>
        <v>1030229</v>
      </c>
      <c r="BT186" s="402">
        <f t="shared" si="1327"/>
        <v>1030229</v>
      </c>
      <c r="BU186" s="235"/>
      <c r="BV186" s="235"/>
    </row>
    <row r="187" spans="1:74" s="285" customFormat="1" ht="14.45" hidden="1" customHeight="1" x14ac:dyDescent="0.25">
      <c r="A187" s="235"/>
      <c r="B187" s="371" t="s">
        <v>220</v>
      </c>
      <c r="C187" s="371"/>
      <c r="D187" s="373">
        <f>SUM(D185:D186)</f>
        <v>1541776.67</v>
      </c>
      <c r="E187" s="321">
        <f>'QFR - B'!J21</f>
        <v>2152400</v>
      </c>
      <c r="F187" s="232">
        <f>E187-D187</f>
        <v>610623.33000000007</v>
      </c>
      <c r="G187" s="235"/>
      <c r="H187" s="308"/>
      <c r="I187" s="235"/>
      <c r="J187" s="235"/>
      <c r="K187" s="235"/>
      <c r="L187" s="235"/>
      <c r="M187" s="235"/>
      <c r="N187" s="235"/>
      <c r="O187" s="235"/>
      <c r="P187" s="235"/>
      <c r="Q187" s="235"/>
      <c r="R187" s="235"/>
      <c r="S187" s="235"/>
      <c r="T187" s="235"/>
      <c r="U187" s="235"/>
      <c r="V187" s="235"/>
      <c r="W187" s="235"/>
      <c r="X187" s="235"/>
      <c r="Y187" s="235"/>
      <c r="Z187" s="235"/>
      <c r="AA187" s="235"/>
      <c r="AB187" s="235"/>
      <c r="AC187" s="235"/>
      <c r="AD187" s="360"/>
      <c r="AE187" s="235"/>
      <c r="AF187" s="235"/>
      <c r="AG187" s="235"/>
      <c r="AH187" s="235"/>
      <c r="AI187" s="235"/>
      <c r="AJ187" s="235"/>
      <c r="AK187" s="235"/>
      <c r="AL187" s="360"/>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35"/>
      <c r="BK187" s="235"/>
      <c r="BL187" s="235"/>
      <c r="BM187" s="235"/>
      <c r="BN187" s="235"/>
      <c r="BO187" s="235"/>
      <c r="BP187" s="235"/>
      <c r="BQ187" s="235"/>
      <c r="BR187" s="370">
        <f t="shared" si="1485"/>
        <v>0</v>
      </c>
      <c r="BS187" s="402">
        <f t="shared" si="1326"/>
        <v>1541776.67</v>
      </c>
      <c r="BT187" s="402">
        <f t="shared" si="1327"/>
        <v>1541776.67</v>
      </c>
      <c r="BU187" s="235"/>
      <c r="BV187" s="235"/>
    </row>
    <row r="188" spans="1:74" ht="14.45" hidden="1" customHeight="1" x14ac:dyDescent="0.25">
      <c r="A188" s="384" t="s">
        <v>135</v>
      </c>
      <c r="B188" s="524" t="str">
        <f>VLOOKUP(A188,'DFP-Com'!$A$16:$B$50,2,1)</f>
        <v xml:space="preserve">     3.1.a  Student Assessment</v>
      </c>
      <c r="C188" s="524"/>
      <c r="D188" s="386">
        <f>SUMIF($A$4:$A$174,"="&amp;A188,$D$4:$D$174)</f>
        <v>686235.5</v>
      </c>
      <c r="E188" s="235"/>
      <c r="F188" s="235"/>
      <c r="G188" s="235"/>
      <c r="H188" s="308"/>
      <c r="I188" s="235"/>
      <c r="J188" s="235"/>
      <c r="K188" s="235"/>
      <c r="L188" s="235"/>
      <c r="M188" s="235"/>
      <c r="N188" s="235"/>
      <c r="O188" s="235"/>
      <c r="P188" s="235"/>
      <c r="Q188" s="235"/>
      <c r="R188" s="235"/>
      <c r="S188" s="235"/>
      <c r="T188" s="235"/>
      <c r="U188" s="235"/>
      <c r="V188" s="235"/>
      <c r="W188" s="235"/>
      <c r="X188" s="235"/>
      <c r="Y188" s="235"/>
      <c r="Z188" s="235"/>
      <c r="AA188" s="235"/>
      <c r="AB188" s="235"/>
      <c r="AC188" s="235"/>
      <c r="AD188" s="235"/>
      <c r="AE188" s="235"/>
      <c r="AF188" s="235"/>
      <c r="AG188" s="235"/>
      <c r="AH188" s="360"/>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35"/>
      <c r="BK188" s="235"/>
      <c r="BL188" s="235"/>
      <c r="BM188" s="235"/>
      <c r="BN188" s="235"/>
      <c r="BO188" s="235"/>
      <c r="BP188" s="235"/>
      <c r="BQ188" s="235"/>
      <c r="BR188" s="370">
        <f t="shared" si="1485"/>
        <v>0</v>
      </c>
      <c r="BS188" s="402">
        <f t="shared" si="1326"/>
        <v>686235.5</v>
      </c>
      <c r="BT188" s="402">
        <f t="shared" si="1327"/>
        <v>686235.5</v>
      </c>
      <c r="BU188" s="235"/>
      <c r="BV188" s="235"/>
    </row>
    <row r="189" spans="1:74" ht="14.45" hidden="1" customHeight="1" x14ac:dyDescent="0.25">
      <c r="A189" s="384" t="s">
        <v>136</v>
      </c>
      <c r="B189" s="524" t="str">
        <f>VLOOKUP(A189,'DFP-Com'!$A$16:$B$50,2,1)</f>
        <v xml:space="preserve">     3.1.b  Teacher Evaluations</v>
      </c>
      <c r="C189" s="524"/>
      <c r="D189" s="386">
        <f>SUMIF($A$4:$A$174,"="&amp;A189,$D$4:$D$174)</f>
        <v>0</v>
      </c>
      <c r="E189" s="235"/>
      <c r="F189" s="235"/>
      <c r="G189" s="235"/>
      <c r="H189" s="308"/>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35"/>
      <c r="BK189" s="235"/>
      <c r="BL189" s="235"/>
      <c r="BM189" s="235"/>
      <c r="BN189" s="235"/>
      <c r="BO189" s="235"/>
      <c r="BP189" s="235"/>
      <c r="BQ189" s="235"/>
      <c r="BR189" s="370">
        <f t="shared" si="1485"/>
        <v>0</v>
      </c>
      <c r="BS189" s="402">
        <f t="shared" si="1326"/>
        <v>0</v>
      </c>
      <c r="BT189" s="402">
        <f t="shared" si="1327"/>
        <v>0</v>
      </c>
      <c r="BU189" s="235"/>
      <c r="BV189" s="235"/>
    </row>
    <row r="190" spans="1:74" ht="14.45" hidden="1" customHeight="1" x14ac:dyDescent="0.25">
      <c r="A190" s="384" t="s">
        <v>137</v>
      </c>
      <c r="B190" s="524" t="str">
        <f>VLOOKUP(A190,'DFP-Com'!$A$16:$B$50,2,1)</f>
        <v xml:space="preserve">     3.1.c  Voc Ed Tracer Studies</v>
      </c>
      <c r="C190" s="524"/>
      <c r="D190" s="386">
        <f>SUMIF($A$4:$A$174,"="&amp;A190,$D$4:$D$174)</f>
        <v>0</v>
      </c>
      <c r="E190" s="235"/>
      <c r="F190" s="235"/>
      <c r="G190" s="235"/>
      <c r="H190" s="308"/>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35"/>
      <c r="BK190" s="235"/>
      <c r="BL190" s="235"/>
      <c r="BM190" s="235"/>
      <c r="BN190" s="235"/>
      <c r="BO190" s="235"/>
      <c r="BP190" s="235"/>
      <c r="BQ190" s="235"/>
      <c r="BR190" s="370">
        <f t="shared" si="1485"/>
        <v>0</v>
      </c>
      <c r="BS190" s="402">
        <f t="shared" si="1326"/>
        <v>0</v>
      </c>
      <c r="BT190" s="402">
        <f t="shared" si="1327"/>
        <v>0</v>
      </c>
      <c r="BU190" s="235"/>
      <c r="BV190" s="235"/>
    </row>
    <row r="191" spans="1:74" ht="14.45" hidden="1" customHeight="1" x14ac:dyDescent="0.25">
      <c r="A191" s="384" t="s">
        <v>138</v>
      </c>
      <c r="B191" s="524" t="str">
        <f>VLOOKUP(A191,'DFP-Com'!$A$16:$B$50,2,1)</f>
        <v xml:space="preserve">     3.1 d Other</v>
      </c>
      <c r="C191" s="524"/>
      <c r="D191" s="385">
        <f>SUMIF($A$4:$A$174,"="&amp;A191,$D$4:$D$174)</f>
        <v>274484.01999999996</v>
      </c>
      <c r="E191" s="235"/>
      <c r="F191" s="235"/>
      <c r="G191" s="235"/>
      <c r="H191" s="308"/>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35"/>
      <c r="BK191" s="235"/>
      <c r="BL191" s="235"/>
      <c r="BM191" s="235"/>
      <c r="BN191" s="235"/>
      <c r="BO191" s="235"/>
      <c r="BP191" s="235"/>
      <c r="BQ191" s="235"/>
      <c r="BR191" s="370">
        <f t="shared" si="1485"/>
        <v>0</v>
      </c>
      <c r="BS191" s="402">
        <f t="shared" si="1326"/>
        <v>274484.01999999996</v>
      </c>
      <c r="BT191" s="402">
        <f t="shared" si="1327"/>
        <v>274484.01999999996</v>
      </c>
      <c r="BU191" s="235"/>
      <c r="BV191" s="235"/>
    </row>
    <row r="192" spans="1:74" s="285" customFormat="1" ht="14.45" hidden="1" customHeight="1" x14ac:dyDescent="0.25">
      <c r="A192" s="235"/>
      <c r="B192" s="371" t="s">
        <v>200</v>
      </c>
      <c r="C192" s="371"/>
      <c r="D192" s="373">
        <f>SUM(D188:D191)</f>
        <v>960719.52</v>
      </c>
      <c r="E192" s="321">
        <f>'QFR - B'!J24</f>
        <v>1431000</v>
      </c>
      <c r="F192" s="232">
        <f>E192-D192</f>
        <v>470280.48</v>
      </c>
      <c r="G192" s="235"/>
      <c r="H192" s="308"/>
      <c r="I192" s="235"/>
      <c r="J192" s="235"/>
      <c r="K192" s="235"/>
      <c r="L192" s="235"/>
      <c r="M192" s="235"/>
      <c r="N192" s="235"/>
      <c r="O192" s="235"/>
      <c r="P192" s="235"/>
      <c r="Q192" s="235"/>
      <c r="R192" s="235"/>
      <c r="S192" s="235"/>
      <c r="T192" s="235"/>
      <c r="U192" s="235"/>
      <c r="V192" s="235"/>
      <c r="W192" s="235"/>
      <c r="X192" s="235"/>
      <c r="Y192" s="235"/>
      <c r="Z192" s="235"/>
      <c r="AA192" s="235"/>
      <c r="AB192" s="235"/>
      <c r="AC192" s="235"/>
      <c r="AD192" s="360"/>
      <c r="AE192" s="235"/>
      <c r="AF192" s="235"/>
      <c r="AG192" s="235"/>
      <c r="AH192" s="235"/>
      <c r="AI192" s="235"/>
      <c r="AJ192" s="235"/>
      <c r="AK192" s="235"/>
      <c r="AL192" s="360"/>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35"/>
      <c r="BK192" s="235"/>
      <c r="BL192" s="235"/>
      <c r="BM192" s="235"/>
      <c r="BN192" s="235"/>
      <c r="BO192" s="235"/>
      <c r="BP192" s="235"/>
      <c r="BQ192" s="235"/>
      <c r="BR192" s="370">
        <f t="shared" si="1485"/>
        <v>0</v>
      </c>
      <c r="BS192" s="402">
        <f t="shared" si="1326"/>
        <v>960719.52</v>
      </c>
      <c r="BT192" s="402">
        <f t="shared" si="1327"/>
        <v>960719.52</v>
      </c>
      <c r="BU192" s="235"/>
      <c r="BV192" s="235"/>
    </row>
    <row r="193" spans="1:74" ht="14.45" hidden="1" customHeight="1" x14ac:dyDescent="0.25">
      <c r="A193" s="384" t="s">
        <v>139</v>
      </c>
      <c r="B193" s="524" t="str">
        <f>VLOOKUP(A193,'DFP-Com'!$A$16:$B$50,2,1)</f>
        <v xml:space="preserve">     4.1.a  Staff Compensation*</v>
      </c>
      <c r="C193" s="524"/>
      <c r="D193" s="386">
        <f>SUMIF($A$4:$A$174,"="&amp;A193,$D$4:$D$174)</f>
        <v>1028474.3300000001</v>
      </c>
      <c r="E193" s="235"/>
      <c r="F193" s="235"/>
      <c r="G193" s="235"/>
      <c r="H193" s="308"/>
      <c r="I193" s="235"/>
      <c r="J193" s="235"/>
      <c r="K193" s="235"/>
      <c r="L193" s="235"/>
      <c r="M193" s="235"/>
      <c r="N193" s="235"/>
      <c r="O193" s="235"/>
      <c r="P193" s="235"/>
      <c r="Q193" s="235"/>
      <c r="R193" s="235"/>
      <c r="S193" s="235"/>
      <c r="T193" s="235"/>
      <c r="U193" s="235"/>
      <c r="V193" s="235"/>
      <c r="W193" s="235"/>
      <c r="X193" s="235"/>
      <c r="Y193" s="235"/>
      <c r="Z193" s="235"/>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360"/>
      <c r="BF193" s="235"/>
      <c r="BG193" s="235"/>
      <c r="BH193" s="235"/>
      <c r="BI193" s="235"/>
      <c r="BJ193" s="235"/>
      <c r="BK193" s="235"/>
      <c r="BL193" s="360"/>
      <c r="BM193" s="235"/>
      <c r="BN193" s="235"/>
      <c r="BO193" s="235"/>
      <c r="BP193" s="235"/>
      <c r="BQ193" s="235"/>
      <c r="BR193" s="370">
        <f t="shared" si="1485"/>
        <v>0</v>
      </c>
      <c r="BS193" s="402">
        <f t="shared" si="1326"/>
        <v>1028474.3300000001</v>
      </c>
      <c r="BT193" s="402">
        <f t="shared" si="1327"/>
        <v>1028474.3300000001</v>
      </c>
      <c r="BU193" s="235"/>
      <c r="BV193" s="235"/>
    </row>
    <row r="194" spans="1:74" ht="14.45" hidden="1" customHeight="1" x14ac:dyDescent="0.25">
      <c r="A194" s="384" t="s">
        <v>140</v>
      </c>
      <c r="B194" s="524" t="str">
        <f>VLOOKUP(A194,'DFP-Com'!$A$16:$B$50,2,1)</f>
        <v xml:space="preserve">     4.1.b  Travel*</v>
      </c>
      <c r="C194" s="524"/>
      <c r="D194" s="386">
        <f>SUMIF($A$4:$A$174,"="&amp;A194,$D$4:$D$174)</f>
        <v>78000</v>
      </c>
      <c r="E194" s="235"/>
      <c r="F194" s="235"/>
      <c r="G194" s="235"/>
      <c r="H194" s="308"/>
      <c r="I194" s="235"/>
      <c r="J194" s="235"/>
      <c r="K194" s="235"/>
      <c r="L194" s="235"/>
      <c r="M194" s="235"/>
      <c r="N194" s="235"/>
      <c r="O194" s="235"/>
      <c r="P194" s="235"/>
      <c r="Q194" s="235"/>
      <c r="R194" s="235"/>
      <c r="S194" s="235"/>
      <c r="T194" s="235"/>
      <c r="U194" s="235"/>
      <c r="V194" s="235"/>
      <c r="W194" s="235"/>
      <c r="X194" s="235"/>
      <c r="Y194" s="235"/>
      <c r="Z194" s="235"/>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35"/>
      <c r="BK194" s="235"/>
      <c r="BL194" s="235"/>
      <c r="BM194" s="235"/>
      <c r="BN194" s="235"/>
      <c r="BO194" s="235"/>
      <c r="BP194" s="235"/>
      <c r="BQ194" s="235"/>
      <c r="BR194" s="370">
        <f t="shared" si="1485"/>
        <v>0</v>
      </c>
      <c r="BS194" s="402">
        <f t="shared" si="1326"/>
        <v>78000</v>
      </c>
      <c r="BT194" s="402">
        <f t="shared" si="1327"/>
        <v>78000</v>
      </c>
      <c r="BU194" s="235"/>
      <c r="BV194" s="235"/>
    </row>
    <row r="195" spans="1:74" ht="14.45" hidden="1" customHeight="1" x14ac:dyDescent="0.25">
      <c r="A195" s="384" t="s">
        <v>141</v>
      </c>
      <c r="B195" s="524" t="str">
        <f>VLOOKUP(A195,'DFP-Com'!$A$16:$B$50,2,1)</f>
        <v xml:space="preserve">     4.1.c  Audit</v>
      </c>
      <c r="C195" s="524"/>
      <c r="D195" s="386">
        <f>SUMIF($A$4:$A$174,"="&amp;A195,$D$4:$D$174)</f>
        <v>120000</v>
      </c>
      <c r="E195" s="235"/>
      <c r="F195" s="235"/>
      <c r="G195" s="235"/>
      <c r="H195" s="308"/>
      <c r="I195" s="235"/>
      <c r="J195" s="235"/>
      <c r="K195" s="235"/>
      <c r="L195" s="235"/>
      <c r="M195" s="235"/>
      <c r="N195" s="235"/>
      <c r="O195" s="235"/>
      <c r="P195" s="235"/>
      <c r="Q195" s="235"/>
      <c r="R195" s="235"/>
      <c r="S195" s="235"/>
      <c r="T195" s="235"/>
      <c r="U195" s="235"/>
      <c r="V195" s="235"/>
      <c r="W195" s="235"/>
      <c r="X195" s="235"/>
      <c r="Y195" s="235"/>
      <c r="Z195" s="235"/>
      <c r="AA195" s="235"/>
      <c r="AB195" s="235"/>
      <c r="AC195" s="235"/>
      <c r="AD195" s="235"/>
      <c r="AE195" s="235"/>
      <c r="AF195" s="235"/>
      <c r="AG195" s="235"/>
      <c r="AH195" s="235"/>
      <c r="AI195" s="235"/>
      <c r="AJ195" s="235"/>
      <c r="AK195" s="235"/>
      <c r="AL195" s="374"/>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35"/>
      <c r="BK195" s="235"/>
      <c r="BL195" s="235"/>
      <c r="BM195" s="235"/>
      <c r="BN195" s="235"/>
      <c r="BO195" s="235"/>
      <c r="BP195" s="235"/>
      <c r="BQ195" s="235"/>
      <c r="BR195" s="370">
        <f t="shared" si="1485"/>
        <v>0</v>
      </c>
      <c r="BS195" s="402">
        <f t="shared" si="1326"/>
        <v>120000</v>
      </c>
      <c r="BT195" s="402">
        <f t="shared" si="1327"/>
        <v>120000</v>
      </c>
      <c r="BU195" s="235"/>
      <c r="BV195" s="235"/>
    </row>
    <row r="196" spans="1:74" ht="14.45" hidden="1" customHeight="1" x14ac:dyDescent="0.25">
      <c r="A196" s="384" t="s">
        <v>142</v>
      </c>
      <c r="B196" s="524" t="str">
        <f>VLOOKUP(A196,'DFP-Com'!$A$16:$B$50,2,1)</f>
        <v xml:space="preserve">     4.1.d  Other</v>
      </c>
      <c r="C196" s="524"/>
      <c r="D196" s="386">
        <f>SUMIF($A$4:$A$174,"="&amp;A196,$D$4:$D$174)</f>
        <v>243840.67</v>
      </c>
      <c r="E196" s="235"/>
      <c r="F196" s="235"/>
      <c r="G196" s="235"/>
      <c r="H196" s="308"/>
      <c r="I196" s="235"/>
      <c r="J196" s="235"/>
      <c r="K196" s="235"/>
      <c r="L196" s="235"/>
      <c r="M196" s="235"/>
      <c r="N196" s="235"/>
      <c r="O196" s="235"/>
      <c r="P196" s="235"/>
      <c r="Q196" s="235"/>
      <c r="R196" s="235"/>
      <c r="S196" s="235"/>
      <c r="T196" s="235"/>
      <c r="U196" s="235"/>
      <c r="V196" s="235"/>
      <c r="W196" s="235"/>
      <c r="X196" s="235"/>
      <c r="Y196" s="235"/>
      <c r="Z196" s="235"/>
      <c r="AA196" s="235"/>
      <c r="AB196" s="235"/>
      <c r="AC196" s="235"/>
      <c r="AD196" s="360"/>
      <c r="AE196" s="235"/>
      <c r="AF196" s="235"/>
      <c r="AG196" s="235"/>
      <c r="AH196" s="235"/>
      <c r="AI196" s="235"/>
      <c r="AJ196" s="235"/>
      <c r="AK196" s="235"/>
      <c r="AL196" s="360"/>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35"/>
      <c r="BK196" s="235"/>
      <c r="BL196" s="235"/>
      <c r="BM196" s="235"/>
      <c r="BN196" s="235"/>
      <c r="BO196" s="235"/>
      <c r="BP196" s="235"/>
      <c r="BQ196" s="235"/>
      <c r="BR196" s="370">
        <f t="shared" si="1485"/>
        <v>0</v>
      </c>
      <c r="BS196" s="402">
        <f t="shared" si="1326"/>
        <v>243840.67</v>
      </c>
      <c r="BT196" s="402">
        <f t="shared" si="1327"/>
        <v>243840.67</v>
      </c>
      <c r="BU196" s="235"/>
      <c r="BV196" s="235"/>
    </row>
    <row r="197" spans="1:74" s="285" customFormat="1" ht="14.45" hidden="1" customHeight="1" x14ac:dyDescent="0.25">
      <c r="A197" s="235"/>
      <c r="B197" s="371" t="s">
        <v>221</v>
      </c>
      <c r="C197" s="371"/>
      <c r="D197" s="373">
        <f>SUM(D193:D196)</f>
        <v>1470315</v>
      </c>
      <c r="E197" s="321">
        <f>'QFR - B'!J27</f>
        <v>1511000</v>
      </c>
      <c r="F197" s="232">
        <f>E197-D197</f>
        <v>40685</v>
      </c>
      <c r="G197" s="235"/>
      <c r="H197" s="308"/>
      <c r="I197" s="235"/>
      <c r="J197" s="235"/>
      <c r="K197" s="235"/>
      <c r="L197" s="235"/>
      <c r="M197" s="235"/>
      <c r="N197" s="235"/>
      <c r="O197" s="235"/>
      <c r="P197" s="235"/>
      <c r="Q197" s="235"/>
      <c r="R197" s="235"/>
      <c r="S197" s="235"/>
      <c r="T197" s="235"/>
      <c r="U197" s="235"/>
      <c r="V197" s="235"/>
      <c r="W197" s="235"/>
      <c r="X197" s="235"/>
      <c r="Y197" s="235"/>
      <c r="Z197" s="235"/>
      <c r="AA197" s="235"/>
      <c r="AB197" s="235"/>
      <c r="AC197" s="235"/>
      <c r="AD197" s="235"/>
      <c r="AE197" s="235"/>
      <c r="AF197" s="235"/>
      <c r="AG197" s="235"/>
      <c r="AH197" s="235"/>
      <c r="AI197" s="235"/>
      <c r="AJ197" s="235"/>
      <c r="AK197" s="235"/>
      <c r="AL197" s="360"/>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35"/>
      <c r="BK197" s="235"/>
      <c r="BL197" s="235"/>
      <c r="BM197" s="235"/>
      <c r="BN197" s="235"/>
      <c r="BO197" s="235"/>
      <c r="BP197" s="235"/>
      <c r="BQ197" s="235"/>
      <c r="BR197" s="370">
        <f t="shared" si="1485"/>
        <v>0</v>
      </c>
      <c r="BS197" s="402">
        <f t="shared" si="1326"/>
        <v>1470315</v>
      </c>
      <c r="BT197" s="402">
        <f t="shared" si="1327"/>
        <v>1470315</v>
      </c>
      <c r="BU197" s="235"/>
      <c r="BV197" s="235"/>
    </row>
    <row r="198" spans="1:74" ht="8.25" customHeight="1" x14ac:dyDescent="0.25">
      <c r="A198" s="235"/>
      <c r="B198" s="235"/>
      <c r="C198" s="235"/>
      <c r="D198" s="360"/>
      <c r="E198" s="235"/>
      <c r="F198" s="235"/>
      <c r="G198" s="235"/>
      <c r="H198" s="308"/>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360"/>
      <c r="AM198" s="235"/>
      <c r="AN198" s="235"/>
      <c r="AO198" s="37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35"/>
      <c r="BK198" s="235"/>
      <c r="BL198" s="360"/>
      <c r="BM198" s="235"/>
      <c r="BN198" s="235"/>
      <c r="BO198" s="235"/>
      <c r="BP198" s="235"/>
      <c r="BQ198" s="235"/>
      <c r="BR198" s="370">
        <f t="shared" si="1485"/>
        <v>0</v>
      </c>
      <c r="BS198" s="402">
        <f t="shared" si="1326"/>
        <v>0</v>
      </c>
      <c r="BT198" s="402">
        <f t="shared" si="1327"/>
        <v>0</v>
      </c>
    </row>
    <row r="199" spans="1:74" x14ac:dyDescent="0.25">
      <c r="A199" s="235"/>
      <c r="B199" s="235"/>
      <c r="C199" s="235"/>
      <c r="D199" s="360">
        <f t="shared" ref="D199:U199" si="1486">SUBTOTAL(9,D4:D198)</f>
        <v>6545741.040000001</v>
      </c>
      <c r="E199" s="360">
        <f t="shared" si="1486"/>
        <v>0</v>
      </c>
      <c r="F199" s="360">
        <f t="shared" si="1486"/>
        <v>0</v>
      </c>
      <c r="G199" s="360">
        <f t="shared" si="1486"/>
        <v>1400</v>
      </c>
      <c r="H199" s="360">
        <f t="shared" si="1486"/>
        <v>9000</v>
      </c>
      <c r="I199" s="360">
        <f t="shared" si="1486"/>
        <v>9000</v>
      </c>
      <c r="J199" s="360">
        <f t="shared" si="1486"/>
        <v>10232.64</v>
      </c>
      <c r="K199" s="360">
        <f t="shared" si="1486"/>
        <v>13489.194766353252</v>
      </c>
      <c r="L199" s="360">
        <f t="shared" si="1486"/>
        <v>16624.496074764942</v>
      </c>
      <c r="M199" s="360">
        <f t="shared" si="1486"/>
        <v>17564.75476635325</v>
      </c>
      <c r="N199" s="360">
        <f t="shared" si="1486"/>
        <v>18336.277383176624</v>
      </c>
      <c r="O199" s="360">
        <f t="shared" si="1486"/>
        <v>16426.821682243597</v>
      </c>
      <c r="P199" s="360">
        <f t="shared" si="1486"/>
        <v>18367.736074765911</v>
      </c>
      <c r="Q199" s="360">
        <f t="shared" si="1486"/>
        <v>19450.709532706507</v>
      </c>
      <c r="R199" s="360">
        <f t="shared" si="1486"/>
        <v>20067.246728972001</v>
      </c>
      <c r="S199" s="360">
        <f t="shared" si="1486"/>
        <v>19924.920000000002</v>
      </c>
      <c r="T199" s="360">
        <f t="shared" si="1486"/>
        <v>20797.009532706506</v>
      </c>
      <c r="U199" s="360">
        <f t="shared" si="1486"/>
        <v>21243.717383176627</v>
      </c>
      <c r="V199" s="360"/>
      <c r="W199" s="360"/>
      <c r="X199" s="360"/>
      <c r="Y199" s="360"/>
      <c r="Z199" s="360"/>
      <c r="AA199" s="360">
        <f t="shared" ref="AA199:AV199" si="1487">SUBTOTAL(9,AA4:AA198)</f>
        <v>0</v>
      </c>
      <c r="AB199" s="360">
        <f t="shared" si="1487"/>
        <v>0</v>
      </c>
      <c r="AC199" s="391">
        <f t="shared" si="1487"/>
        <v>0</v>
      </c>
      <c r="AD199" s="391">
        <f t="shared" si="1487"/>
        <v>1400</v>
      </c>
      <c r="AE199" s="391">
        <f t="shared" si="1487"/>
        <v>9000</v>
      </c>
      <c r="AF199" s="391">
        <f t="shared" si="1487"/>
        <v>9000</v>
      </c>
      <c r="AG199" s="391">
        <f t="shared" si="1487"/>
        <v>10232.64</v>
      </c>
      <c r="AH199" s="391">
        <f t="shared" si="1487"/>
        <v>220806.96</v>
      </c>
      <c r="AI199" s="391">
        <f t="shared" si="1487"/>
        <v>172135.81000760934</v>
      </c>
      <c r="AJ199" s="391">
        <f t="shared" si="1487"/>
        <v>225136.14999239059</v>
      </c>
      <c r="AK199" s="391">
        <f t="shared" si="1487"/>
        <v>122131.15000000001</v>
      </c>
      <c r="AL199" s="391">
        <f t="shared" si="1487"/>
        <v>742039.02</v>
      </c>
      <c r="AM199" s="391">
        <f t="shared" si="1487"/>
        <v>173856.06269999998</v>
      </c>
      <c r="AN199" s="391">
        <f t="shared" si="1487"/>
        <v>434086.24</v>
      </c>
      <c r="AO199" s="391">
        <f t="shared" si="1487"/>
        <v>149640.85337500001</v>
      </c>
      <c r="AP199" s="391">
        <f t="shared" si="1487"/>
        <v>19924.920000000002</v>
      </c>
      <c r="AQ199" s="407">
        <f t="shared" si="1487"/>
        <v>435432.54</v>
      </c>
      <c r="AR199" s="407">
        <f t="shared" si="1487"/>
        <v>124902.6</v>
      </c>
      <c r="AS199" s="407">
        <f t="shared" si="1487"/>
        <v>179417.38392500073</v>
      </c>
      <c r="AT199" s="391">
        <f t="shared" si="1487"/>
        <v>142086.31999999998</v>
      </c>
      <c r="AU199" s="391">
        <f t="shared" si="1487"/>
        <v>101850.175</v>
      </c>
      <c r="AV199" s="391">
        <f t="shared" si="1487"/>
        <v>0</v>
      </c>
      <c r="AW199" s="360"/>
      <c r="AX199" s="376">
        <f t="shared" ref="AX199:BQ199" si="1488">SUBTOTAL(9,AX4:AX198)</f>
        <v>0</v>
      </c>
      <c r="AY199" s="376">
        <f t="shared" si="1488"/>
        <v>43635.199999999997</v>
      </c>
      <c r="AZ199" s="376">
        <f t="shared" si="1488"/>
        <v>0</v>
      </c>
      <c r="BA199" s="376">
        <f t="shared" si="1488"/>
        <v>2772876.18</v>
      </c>
      <c r="BB199" s="376">
        <f t="shared" si="1488"/>
        <v>0</v>
      </c>
      <c r="BC199" s="376">
        <f t="shared" si="1488"/>
        <v>25000</v>
      </c>
      <c r="BD199" s="376">
        <f t="shared" si="1488"/>
        <v>43502.310000000005</v>
      </c>
      <c r="BE199" s="376">
        <f t="shared" si="1488"/>
        <v>198.71</v>
      </c>
      <c r="BF199" s="376">
        <f t="shared" si="1488"/>
        <v>136.99</v>
      </c>
      <c r="BG199" s="376">
        <f t="shared" si="1488"/>
        <v>29991</v>
      </c>
      <c r="BH199" s="376">
        <f t="shared" si="1488"/>
        <v>48122</v>
      </c>
      <c r="BI199" s="376">
        <f t="shared" si="1488"/>
        <v>-1</v>
      </c>
      <c r="BJ199" s="376">
        <f t="shared" si="1488"/>
        <v>0</v>
      </c>
      <c r="BK199" s="376">
        <f t="shared" si="1488"/>
        <v>5553.76</v>
      </c>
      <c r="BL199" s="376">
        <f t="shared" si="1488"/>
        <v>83518.5</v>
      </c>
      <c r="BM199" s="376">
        <f t="shared" si="1488"/>
        <v>0</v>
      </c>
      <c r="BN199" s="376">
        <f t="shared" si="1488"/>
        <v>175000</v>
      </c>
      <c r="BO199" s="376">
        <f t="shared" si="1488"/>
        <v>0</v>
      </c>
      <c r="BP199" s="376">
        <f t="shared" si="1488"/>
        <v>45545.175000000003</v>
      </c>
      <c r="BQ199" s="376">
        <f t="shared" si="1488"/>
        <v>0</v>
      </c>
      <c r="BR199" s="394">
        <f t="shared" si="1485"/>
        <v>0</v>
      </c>
    </row>
    <row r="200" spans="1:74" x14ac:dyDescent="0.25">
      <c r="A200" s="235"/>
      <c r="B200" s="235"/>
      <c r="C200" s="235"/>
      <c r="D200" s="235"/>
      <c r="E200" s="235"/>
      <c r="F200" s="235"/>
      <c r="G200" s="235"/>
      <c r="H200" s="308"/>
      <c r="I200" s="235"/>
      <c r="J200" s="235"/>
      <c r="K200" s="235"/>
      <c r="L200" s="235"/>
      <c r="M200" s="235"/>
      <c r="N200" s="235"/>
      <c r="O200" s="235"/>
      <c r="P200" s="235"/>
      <c r="Q200" s="235"/>
      <c r="R200" s="235"/>
      <c r="S200" s="235"/>
      <c r="T200" s="235"/>
      <c r="U200" s="235"/>
      <c r="V200" s="235"/>
      <c r="W200" s="235"/>
      <c r="X200" s="235"/>
      <c r="Y200" s="235"/>
      <c r="Z200" s="235"/>
      <c r="AA200" s="235"/>
      <c r="AB200" s="235"/>
      <c r="AC200" s="392">
        <f>+AC199</f>
        <v>0</v>
      </c>
      <c r="AD200" s="393">
        <f>+AC200+AD199</f>
        <v>1400</v>
      </c>
      <c r="AE200" s="393">
        <f>+AD200+AE199</f>
        <v>10400</v>
      </c>
      <c r="AF200" s="393">
        <f>+AE200+AF199</f>
        <v>19400</v>
      </c>
      <c r="AG200" s="393">
        <f t="shared" ref="AG200:AV200" si="1489">+AF200+AG199</f>
        <v>29632.639999999999</v>
      </c>
      <c r="AH200" s="393">
        <f t="shared" si="1489"/>
        <v>250439.59999999998</v>
      </c>
      <c r="AI200" s="393">
        <f t="shared" si="1489"/>
        <v>422575.41000760929</v>
      </c>
      <c r="AJ200" s="393">
        <f t="shared" si="1489"/>
        <v>647711.55999999982</v>
      </c>
      <c r="AK200" s="393">
        <f t="shared" si="1489"/>
        <v>769842.70999999985</v>
      </c>
      <c r="AL200" s="393">
        <f t="shared" si="1489"/>
        <v>1511881.73</v>
      </c>
      <c r="AM200" s="393">
        <f t="shared" si="1489"/>
        <v>1685737.7926999999</v>
      </c>
      <c r="AN200" s="393">
        <f t="shared" si="1489"/>
        <v>2119824.0326999999</v>
      </c>
      <c r="AO200" s="393">
        <f t="shared" si="1489"/>
        <v>2269464.8860749998</v>
      </c>
      <c r="AP200" s="393">
        <f t="shared" si="1489"/>
        <v>2289389.8060749997</v>
      </c>
      <c r="AQ200" s="393">
        <f t="shared" si="1489"/>
        <v>2724822.3460749998</v>
      </c>
      <c r="AR200" s="393">
        <f t="shared" si="1489"/>
        <v>2849724.9460749999</v>
      </c>
      <c r="AS200" s="393">
        <f t="shared" si="1489"/>
        <v>3029142.3300000005</v>
      </c>
      <c r="AT200" s="393">
        <f t="shared" si="1489"/>
        <v>3171228.6500000004</v>
      </c>
      <c r="AU200" s="393">
        <f t="shared" si="1489"/>
        <v>3273078.8250000002</v>
      </c>
      <c r="AV200" s="393">
        <f t="shared" si="1489"/>
        <v>3273078.8250000002</v>
      </c>
      <c r="AW200" s="235"/>
      <c r="AX200" s="395">
        <f>+AX199</f>
        <v>0</v>
      </c>
      <c r="AY200" s="377">
        <f>+AX200+AY199</f>
        <v>43635.199999999997</v>
      </c>
      <c r="AZ200" s="377">
        <f>+AY200+AZ199</f>
        <v>43635.199999999997</v>
      </c>
      <c r="BA200" s="377">
        <f>+AZ200+BA199</f>
        <v>2816511.3800000004</v>
      </c>
      <c r="BB200" s="377">
        <f t="shared" ref="BB200:BQ200" si="1490">+BA200+BB199</f>
        <v>2816511.3800000004</v>
      </c>
      <c r="BC200" s="377">
        <f t="shared" si="1490"/>
        <v>2841511.3800000004</v>
      </c>
      <c r="BD200" s="377">
        <f t="shared" si="1490"/>
        <v>2885013.6900000004</v>
      </c>
      <c r="BE200" s="377">
        <f t="shared" si="1490"/>
        <v>2885212.4000000004</v>
      </c>
      <c r="BF200" s="377">
        <f t="shared" si="1490"/>
        <v>2885349.3900000006</v>
      </c>
      <c r="BG200" s="377">
        <f t="shared" si="1490"/>
        <v>2915340.3900000006</v>
      </c>
      <c r="BH200" s="377">
        <f t="shared" si="1490"/>
        <v>2963462.3900000006</v>
      </c>
      <c r="BI200" s="377">
        <f t="shared" si="1490"/>
        <v>2963461.3900000006</v>
      </c>
      <c r="BJ200" s="377">
        <f t="shared" si="1490"/>
        <v>2963461.3900000006</v>
      </c>
      <c r="BK200" s="377">
        <f t="shared" si="1490"/>
        <v>2969015.1500000004</v>
      </c>
      <c r="BL200" s="377">
        <f t="shared" si="1490"/>
        <v>3052533.6500000004</v>
      </c>
      <c r="BM200" s="377">
        <f t="shared" si="1490"/>
        <v>3052533.6500000004</v>
      </c>
      <c r="BN200" s="377">
        <f t="shared" si="1490"/>
        <v>3227533.6500000004</v>
      </c>
      <c r="BO200" s="377">
        <f t="shared" si="1490"/>
        <v>3227533.6500000004</v>
      </c>
      <c r="BP200" s="377">
        <f t="shared" si="1490"/>
        <v>3273078.8250000002</v>
      </c>
      <c r="BQ200" s="377">
        <f t="shared" si="1490"/>
        <v>3273078.8250000002</v>
      </c>
      <c r="BR200" s="394"/>
    </row>
    <row r="201" spans="1:74" ht="21" x14ac:dyDescent="0.35">
      <c r="D201" s="323">
        <f>+D76++D71</f>
        <v>147000</v>
      </c>
      <c r="N201" s="240"/>
      <c r="P201" s="288"/>
      <c r="V201" s="288"/>
      <c r="AC201" s="522" t="s">
        <v>345</v>
      </c>
      <c r="AD201" s="522"/>
      <c r="AE201" s="522"/>
      <c r="AF201" s="522"/>
      <c r="AG201" s="522"/>
      <c r="AH201" s="522"/>
      <c r="AI201" s="522"/>
      <c r="AJ201" s="522"/>
      <c r="AK201" s="522"/>
      <c r="AL201" s="522"/>
      <c r="AM201" s="522"/>
      <c r="AN201" s="522"/>
      <c r="AO201" s="522"/>
      <c r="AP201" s="522"/>
      <c r="AQ201" s="522"/>
      <c r="AR201" s="522"/>
      <c r="AS201" s="522"/>
      <c r="AT201" s="522"/>
      <c r="AU201" s="522"/>
      <c r="AV201" s="522"/>
      <c r="AX201" s="523" t="s">
        <v>346</v>
      </c>
      <c r="AY201" s="523"/>
      <c r="AZ201" s="523"/>
      <c r="BA201" s="523"/>
      <c r="BB201" s="523"/>
      <c r="BC201" s="523"/>
      <c r="BD201" s="523"/>
      <c r="BE201" s="523"/>
      <c r="BF201" s="523"/>
      <c r="BG201" s="523"/>
      <c r="BH201" s="523"/>
      <c r="BI201" s="523"/>
      <c r="BJ201" s="523"/>
      <c r="BK201" s="523"/>
      <c r="BL201" s="523"/>
      <c r="BM201" s="523"/>
      <c r="BN201" s="523"/>
      <c r="BO201" s="523"/>
      <c r="BP201" s="523"/>
      <c r="BQ201" s="523"/>
      <c r="BR201" s="523"/>
    </row>
    <row r="202" spans="1:74" x14ac:dyDescent="0.25">
      <c r="S202" s="241"/>
      <c r="U202" s="241"/>
      <c r="Z202" s="332">
        <f>+D170-Z170</f>
        <v>0</v>
      </c>
      <c r="AF202" s="240"/>
      <c r="AI202" s="240"/>
      <c r="AJ202" s="241"/>
      <c r="AK202" s="241"/>
      <c r="AL202" s="241"/>
      <c r="AM202" s="240"/>
      <c r="AN202" s="241"/>
      <c r="AO202" s="241"/>
      <c r="AP202" s="393"/>
      <c r="AQ202">
        <v>65487.500000000007</v>
      </c>
      <c r="AS202" s="486"/>
      <c r="BE202" s="241"/>
      <c r="BF202" s="241"/>
      <c r="BG202" s="241"/>
      <c r="BH202" s="241"/>
      <c r="BI202" s="241"/>
      <c r="BK202" s="285"/>
      <c r="BQ202" s="285">
        <v>1431000</v>
      </c>
    </row>
    <row r="203" spans="1:74" x14ac:dyDescent="0.25">
      <c r="S203" s="241"/>
      <c r="V203" s="240"/>
      <c r="AK203" s="241"/>
      <c r="AO203" s="241"/>
      <c r="AP203" s="240"/>
      <c r="AQ203" s="240"/>
      <c r="AR203" s="240"/>
      <c r="AS203" s="241"/>
      <c r="AV203" s="241"/>
      <c r="BH203" s="241"/>
      <c r="BI203" s="241"/>
      <c r="BJ203" s="241"/>
      <c r="BK203" s="241"/>
      <c r="BL203" s="240"/>
      <c r="BP203" s="289"/>
      <c r="BQ203" s="241">
        <f>+BQ200-BQ202</f>
        <v>1842078.8250000002</v>
      </c>
      <c r="BR203" s="289">
        <v>1833.4850000000151</v>
      </c>
    </row>
    <row r="204" spans="1:74" x14ac:dyDescent="0.25">
      <c r="D204" s="241"/>
      <c r="V204" s="300"/>
      <c r="AQ204" s="241"/>
      <c r="BJ204" s="241"/>
      <c r="BK204" s="289" t="s">
        <v>379</v>
      </c>
      <c r="BM204" s="241"/>
      <c r="BQ204" s="285">
        <v>30000</v>
      </c>
    </row>
    <row r="205" spans="1:74" x14ac:dyDescent="0.25">
      <c r="D205" s="241"/>
      <c r="V205" s="300"/>
      <c r="AP205" s="240"/>
      <c r="AR205" s="240"/>
      <c r="BG205" s="241"/>
      <c r="BK205" s="241"/>
      <c r="BM205" s="241"/>
      <c r="BQ205" s="241">
        <f>+BQ203-BQ204</f>
        <v>1812078.8250000002</v>
      </c>
    </row>
    <row r="206" spans="1:74" x14ac:dyDescent="0.25">
      <c r="O206" s="241"/>
      <c r="R206" s="241"/>
      <c r="T206" s="241"/>
      <c r="V206" s="300"/>
      <c r="AQ206" s="408"/>
      <c r="AR206" s="285"/>
      <c r="AU206" s="241"/>
      <c r="BK206" s="241"/>
      <c r="BL206" s="289"/>
    </row>
    <row r="207" spans="1:74" x14ac:dyDescent="0.25">
      <c r="AS207" s="241">
        <f>+AR173+AS173</f>
        <v>2000</v>
      </c>
      <c r="BL207" s="289"/>
    </row>
    <row r="208" spans="1:74" x14ac:dyDescent="0.25">
      <c r="Q208" s="241"/>
      <c r="AL208" s="300"/>
    </row>
    <row r="209" spans="38:47" x14ac:dyDescent="0.25">
      <c r="AL209" s="300"/>
      <c r="AO209" s="285"/>
      <c r="AP209" s="285"/>
      <c r="AQ209" s="285"/>
      <c r="AR209" s="285"/>
      <c r="AS209" s="241"/>
      <c r="AU209" s="332"/>
    </row>
    <row r="210" spans="38:47" x14ac:dyDescent="0.25">
      <c r="AP210" s="285"/>
      <c r="AQ210" s="285"/>
    </row>
    <row r="213" spans="38:47" x14ac:dyDescent="0.25">
      <c r="AO213" s="285"/>
      <c r="AP213" s="285"/>
      <c r="AQ213" s="285"/>
      <c r="AR213" s="285"/>
    </row>
    <row r="214" spans="38:47" x14ac:dyDescent="0.25">
      <c r="AO214" s="285"/>
      <c r="AP214" s="285"/>
      <c r="AQ214" s="285"/>
      <c r="AR214" s="285"/>
    </row>
    <row r="215" spans="38:47" x14ac:dyDescent="0.25">
      <c r="AP215" s="285"/>
      <c r="AQ215" s="285"/>
    </row>
  </sheetData>
  <autoFilter ref="A3:BR197">
    <filterColumn colId="0">
      <filters>
        <filter val="1.3.a"/>
        <filter val="1.3.b"/>
        <filter val="1.3.c"/>
      </filters>
    </filterColumn>
  </autoFilter>
  <sortState ref="A4:BE72">
    <sortCondition ref="A72"/>
  </sortState>
  <mergeCells count="18">
    <mergeCell ref="B193:C193"/>
    <mergeCell ref="B194:C194"/>
    <mergeCell ref="AC201:AV201"/>
    <mergeCell ref="AX201:BR201"/>
    <mergeCell ref="B196:C196"/>
    <mergeCell ref="B177:C177"/>
    <mergeCell ref="B178:C178"/>
    <mergeCell ref="B179:C179"/>
    <mergeCell ref="B180:C180"/>
    <mergeCell ref="B181:C181"/>
    <mergeCell ref="B183:C183"/>
    <mergeCell ref="B185:C185"/>
    <mergeCell ref="B186:C186"/>
    <mergeCell ref="B188:C188"/>
    <mergeCell ref="B195:C195"/>
    <mergeCell ref="B189:C189"/>
    <mergeCell ref="B190:C190"/>
    <mergeCell ref="B191:C191"/>
  </mergeCells>
  <phoneticPr fontId="28" type="noConversion"/>
  <pageMargins left="0.7" right="0.7" top="0.75" bottom="0.75" header="0.3" footer="0.3"/>
  <pageSetup scale="1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O54"/>
  <sheetViews>
    <sheetView showGridLines="0" topLeftCell="A14" workbookViewId="0">
      <selection activeCell="I14" sqref="I1:I1048576"/>
    </sheetView>
  </sheetViews>
  <sheetFormatPr baseColWidth="10" defaultColWidth="8.85546875" defaultRowHeight="15" x14ac:dyDescent="0.25"/>
  <cols>
    <col min="1" max="1" width="47" customWidth="1"/>
    <col min="2" max="2" width="7" customWidth="1"/>
    <col min="3" max="7" width="8.5703125" customWidth="1"/>
    <col min="8" max="8" width="17.42578125" style="332" bestFit="1" customWidth="1"/>
    <col min="9" max="9" width="13.5703125" style="332" bestFit="1" customWidth="1"/>
    <col min="10" max="10" width="13.140625" style="332" bestFit="1" customWidth="1"/>
    <col min="11" max="11" width="4.85546875" style="332" customWidth="1"/>
    <col min="12" max="15" width="4.85546875" style="285" customWidth="1"/>
  </cols>
  <sheetData>
    <row r="1" spans="1:11" s="285" customFormat="1" hidden="1" x14ac:dyDescent="0.25">
      <c r="H1" s="332"/>
      <c r="I1" s="332"/>
      <c r="J1" s="332"/>
      <c r="K1" s="332"/>
    </row>
    <row r="2" spans="1:11" s="285" customFormat="1" hidden="1" x14ac:dyDescent="0.25">
      <c r="H2" s="332"/>
      <c r="I2" s="332"/>
      <c r="J2" s="332"/>
      <c r="K2" s="332"/>
    </row>
    <row r="3" spans="1:11" s="285" customFormat="1" hidden="1" x14ac:dyDescent="0.25">
      <c r="H3" s="332"/>
      <c r="I3" s="332"/>
      <c r="J3" s="332"/>
      <c r="K3" s="332"/>
    </row>
    <row r="4" spans="1:11" s="285" customFormat="1" hidden="1" x14ac:dyDescent="0.25">
      <c r="H4" s="332"/>
      <c r="I4" s="332"/>
      <c r="J4" s="332"/>
      <c r="K4" s="332"/>
    </row>
    <row r="5" spans="1:11" s="285" customFormat="1" hidden="1" x14ac:dyDescent="0.25">
      <c r="H5" s="332"/>
      <c r="I5" s="332"/>
      <c r="J5" s="332"/>
      <c r="K5" s="332"/>
    </row>
    <row r="6" spans="1:11" s="285" customFormat="1" hidden="1" x14ac:dyDescent="0.25">
      <c r="H6" s="332"/>
      <c r="I6" s="332"/>
      <c r="J6" s="332"/>
      <c r="K6" s="332"/>
    </row>
    <row r="7" spans="1:11" s="285" customFormat="1" hidden="1" x14ac:dyDescent="0.25">
      <c r="H7" s="332"/>
      <c r="I7" s="332"/>
      <c r="J7" s="332"/>
      <c r="K7" s="332"/>
    </row>
    <row r="8" spans="1:11" s="285" customFormat="1" hidden="1" x14ac:dyDescent="0.25">
      <c r="H8" s="332"/>
      <c r="I8" s="332"/>
      <c r="J8" s="332"/>
      <c r="K8" s="332"/>
    </row>
    <row r="9" spans="1:11" s="285" customFormat="1" hidden="1" x14ac:dyDescent="0.25">
      <c r="H9" s="332"/>
      <c r="I9" s="332"/>
      <c r="J9" s="332"/>
      <c r="K9" s="332"/>
    </row>
    <row r="10" spans="1:11" s="285" customFormat="1" hidden="1" x14ac:dyDescent="0.25">
      <c r="H10" s="332"/>
      <c r="I10" s="332"/>
      <c r="J10" s="332"/>
      <c r="K10" s="332"/>
    </row>
    <row r="11" spans="1:11" s="285" customFormat="1" hidden="1" x14ac:dyDescent="0.25">
      <c r="H11" s="332"/>
      <c r="I11" s="332"/>
      <c r="J11" s="332"/>
      <c r="K11" s="332"/>
    </row>
    <row r="12" spans="1:11" s="285" customFormat="1" hidden="1" x14ac:dyDescent="0.25">
      <c r="H12" s="332"/>
      <c r="I12" s="332"/>
      <c r="J12" s="332"/>
      <c r="K12" s="332"/>
    </row>
    <row r="13" spans="1:11" hidden="1" x14ac:dyDescent="0.25">
      <c r="A13" s="285"/>
    </row>
    <row r="14" spans="1:11" x14ac:dyDescent="0.25">
      <c r="A14" s="183" t="s">
        <v>85</v>
      </c>
    </row>
    <row r="15" spans="1:11" s="350" customFormat="1" x14ac:dyDescent="0.25">
      <c r="A15" s="349"/>
      <c r="C15" s="355"/>
      <c r="D15" s="355"/>
      <c r="E15" s="525"/>
      <c r="F15" s="526"/>
      <c r="G15" s="527"/>
      <c r="H15" s="356"/>
      <c r="I15" s="356"/>
      <c r="J15" s="356"/>
      <c r="K15" s="351"/>
    </row>
    <row r="16" spans="1:11" x14ac:dyDescent="0.25">
      <c r="A16" s="44" t="s">
        <v>67</v>
      </c>
      <c r="C16" s="352"/>
      <c r="D16" s="353"/>
      <c r="E16" s="353"/>
      <c r="F16" s="353"/>
      <c r="G16" s="353"/>
      <c r="H16" s="354"/>
      <c r="I16" s="354"/>
      <c r="J16" s="354"/>
    </row>
    <row r="17" spans="1:10" x14ac:dyDescent="0.25">
      <c r="A17" s="49" t="s">
        <v>68</v>
      </c>
      <c r="B17" s="240">
        <f>IF('DFP-Com'!L15-'DFP-CASH'!L17=0,"ok",'DFP-Com'!L15-'DFP-CASH'!L17)</f>
        <v>7.9794973134994507E-4</v>
      </c>
      <c r="C17" s="353" t="str">
        <f>IF(SUM('DFP-CASH'!$C17:C17)&gt;SUM('DFP-Com'!$C15:D15),SUM('DFP-CASH'!$C17:C17)-SUM('DFP-Com'!$C15:D15),"ok")</f>
        <v>ok</v>
      </c>
      <c r="D17" s="353" t="str">
        <f>IF(SUM('DFP-CASH'!$C17:D17)&gt;SUM('DFP-Com'!$C15:E15),SUM('DFP-CASH'!$C17:D17)-SUM('DFP-Com'!$C15:E15),"ok")</f>
        <v>ok</v>
      </c>
      <c r="E17" s="353" t="str">
        <f>IF(SUM('DFP-CASH'!$C17:E17)&gt;SUM('DFP-Com'!$C15:F15),SUM('DFP-CASH'!$C17:E17)-SUM('DFP-Com'!$C15:F15),"ok")</f>
        <v>ok</v>
      </c>
      <c r="F17" s="353" t="str">
        <f>IF(SUM('DFP-CASH'!$C17:F17)&gt;SUM('DFP-Com'!$C15:G15),SUM('DFP-CASH'!$C17:F17)-SUM('DFP-Com'!$C15:G15),"ok")</f>
        <v>ok</v>
      </c>
      <c r="G17" s="353" t="str">
        <f>IF(SUM('DFP-CASH'!$C17:G17)&gt;SUM('DFP-Com'!$C15:G15),SUM('DFP-CASH'!$C17:G17)-SUM('DFP-Com'!$C15:G15),"ok")</f>
        <v>ok</v>
      </c>
      <c r="H17" s="353" t="e">
        <f>IF(SUM('DFP-CASH'!$C17:$G17)+('DFP-CASH'!#REF!)&gt;SUM('DFP-Com'!$C15:H15),SUM('DFP-CASH'!$C17:G17)-SUM('DFP-Com'!$C15:H15),"ok")</f>
        <v>#REF!</v>
      </c>
      <c r="I17" s="353" t="str">
        <f>IF(SUM('DFP-CASH'!$C17:$G17)+('DFP-CASH'!H17)&gt;SUM('DFP-Com'!$C15:I15),SUM('DFP-CASH'!$C17:H17)-SUM('DFP-Com'!$C15:I15),"ok")</f>
        <v>ok</v>
      </c>
      <c r="J17" s="353" t="str">
        <f>IF(SUM('DFP-CASH'!$C17:$G17)+('DFP-CASH'!I17)&gt;SUM('DFP-Com'!$C15:J15),SUM('DFP-CASH'!$C17:I17)-SUM('DFP-Com'!$C15:J15),"ok")</f>
        <v>ok</v>
      </c>
    </row>
    <row r="18" spans="1:10" x14ac:dyDescent="0.25">
      <c r="A18" s="195" t="s">
        <v>94</v>
      </c>
      <c r="B18" s="240">
        <f>IF('DFP-Com'!L16-'DFP-CASH'!L18=0,"ok",'DFP-Com'!L16-'DFP-CASH'!L18)</f>
        <v>7.9794973134994507E-4</v>
      </c>
      <c r="C18" s="353" t="str">
        <f>IF(SUM('DFP-CASH'!$C18:C18)&gt;SUM('DFP-Com'!$C16:C16),SUM('DFP-CASH'!$C18:C18)-SUM('DFP-Com'!$C16:C16),"ok")</f>
        <v>ok</v>
      </c>
      <c r="D18" s="353" t="str">
        <f>IF(SUM('DFP-CASH'!$C18:D18)&gt;SUM('DFP-Com'!$C16:E16),SUM('DFP-CASH'!$C18:D18)-SUM('DFP-Com'!$C16:E16),"ok")</f>
        <v>ok</v>
      </c>
      <c r="E18" s="353" t="str">
        <f>IF(SUM('DFP-CASH'!$C18:E18)&gt;SUM('DFP-Com'!$C16:F16),SUM('DFP-CASH'!$C18:E18)-SUM('DFP-Com'!$C16:F16),"ok")</f>
        <v>ok</v>
      </c>
      <c r="F18" s="353" t="str">
        <f>IF(SUM('DFP-CASH'!$C18:F18)&gt;SUM('DFP-Com'!$C16:G16),SUM('DFP-CASH'!$C18:F18)-SUM('DFP-Com'!$C16:G16),"ok")</f>
        <v>ok</v>
      </c>
      <c r="G18" s="353" t="str">
        <f>IF(SUM('DFP-CASH'!$C18:G18)&gt;SUM('DFP-Com'!$C16:G16),SUM('DFP-CASH'!$C18:G18)-SUM('DFP-Com'!$C16:G16),"ok")</f>
        <v>ok</v>
      </c>
      <c r="H18" s="353" t="e">
        <f>IF(SUM('DFP-CASH'!$C18:$G18)+('DFP-CASH'!#REF!)&gt;SUM('DFP-Com'!$C16:H16),SUM('DFP-CASH'!$C18:G18)-SUM('DFP-Com'!$C16:H16),"ok")</f>
        <v>#REF!</v>
      </c>
      <c r="I18" s="353" t="str">
        <f>IF(SUM('DFP-CASH'!$C18:$G18)+('DFP-CASH'!H18)&gt;SUM('DFP-Com'!$C16:I16),SUM('DFP-CASH'!$C18:H18)-SUM('DFP-Com'!$C16:I16),"ok")</f>
        <v>ok</v>
      </c>
      <c r="J18" s="353" t="str">
        <f>IF(SUM('DFP-CASH'!$C18:$G18)+('DFP-CASH'!I18)&gt;SUM('DFP-Com'!$C16:J16),SUM('DFP-CASH'!$C18:I18)-SUM('DFP-Com'!$C16:J16),"ok")</f>
        <v>ok</v>
      </c>
    </row>
    <row r="19" spans="1:10" x14ac:dyDescent="0.25">
      <c r="A19" s="195" t="s">
        <v>95</v>
      </c>
      <c r="B19" s="240" t="str">
        <f>IF('DFP-Com'!L17-'DFP-CASH'!L19=0,"ok",'DFP-Com'!L17-'DFP-CASH'!L19)</f>
        <v>ok</v>
      </c>
      <c r="C19" s="353" t="str">
        <f>IF(SUM('DFP-CASH'!$C19:C19)&gt;SUM('DFP-Com'!$C17:C17),SUM('DFP-CASH'!$C19:C19)-SUM('DFP-Com'!$C17:C17),"ok")</f>
        <v>ok</v>
      </c>
      <c r="D19" s="353" t="str">
        <f>IF(SUM('DFP-CASH'!$C19:D19)&gt;SUM('DFP-Com'!$C17:D17),SUM('DFP-CASH'!$C19:D19)-SUM('DFP-Com'!$C17:D17),"ok")</f>
        <v>ok</v>
      </c>
      <c r="E19" s="353" t="str">
        <f>IF(SUM('DFP-CASH'!$C19:E19)&gt;SUM('DFP-Com'!$C17:E17),SUM('DFP-CASH'!$C19:E19)-SUM('DFP-Com'!$C17:E17),"ok")</f>
        <v>ok</v>
      </c>
      <c r="F19" s="353" t="str">
        <f>IF(SUM('DFP-CASH'!$C19:F19)&gt;SUM('DFP-Com'!$C17:F17),SUM('DFP-CASH'!$C19:F19)-SUM('DFP-Com'!$C17:F17),"ok")</f>
        <v>ok</v>
      </c>
      <c r="G19" s="353" t="str">
        <f>IF(SUM('DFP-CASH'!$C19:G19)&gt;SUM('DFP-Com'!$C17:G17),SUM('DFP-CASH'!$C19:G19)-SUM('DFP-Com'!$C17:G17),"ok")</f>
        <v>ok</v>
      </c>
      <c r="H19" s="353" t="e">
        <f>IF(SUM('DFP-CASH'!$C19:$G19)+('DFP-CASH'!#REF!)&gt;SUM('DFP-Com'!$C17:H17),SUM('DFP-CASH'!$C19:G19)-SUM('DFP-Com'!$C17:H17),"ok")</f>
        <v>#REF!</v>
      </c>
      <c r="I19" s="353">
        <f>IF(SUM('DFP-CASH'!$C19:$G19)+('DFP-CASH'!H19)&gt;SUM('DFP-Com'!$C17:I17),SUM('DFP-CASH'!$C19:H19)-SUM('DFP-Com'!$C17:I17),"ok")</f>
        <v>12697.350000000559</v>
      </c>
      <c r="J19" s="353" t="str">
        <f>IF(SUM('DFP-CASH'!$C19:$G19)+('DFP-CASH'!I19)&gt;SUM('DFP-Com'!$C17:J17),SUM('DFP-CASH'!$C19:I19)-SUM('DFP-Com'!$C17:J17),"ok")</f>
        <v>ok</v>
      </c>
    </row>
    <row r="20" spans="1:10" x14ac:dyDescent="0.25">
      <c r="A20" s="195" t="s">
        <v>102</v>
      </c>
      <c r="B20" s="240" t="str">
        <f>IF('DFP-Com'!L18-'DFP-CASH'!L20=0,"ok",'DFP-Com'!L18-'DFP-CASH'!L20)</f>
        <v>ok</v>
      </c>
      <c r="C20" s="353" t="str">
        <f>IF(SUM('DFP-CASH'!$C20:C20)&gt;SUM('DFP-Com'!$C18:D18),SUM('DFP-CASH'!$C20:C20)-SUM('DFP-Com'!$C18:D18),"ok")</f>
        <v>ok</v>
      </c>
      <c r="D20" s="353" t="str">
        <f>IF(SUM('DFP-CASH'!$C20:D20)&gt;SUM('DFP-Com'!$C18:E18),SUM('DFP-CASH'!$C20:D20)-SUM('DFP-Com'!$C18:E18),"ok")</f>
        <v>ok</v>
      </c>
      <c r="E20" s="353" t="str">
        <f>IF(SUM('DFP-CASH'!$C20:E20)&gt;SUM('DFP-Com'!$C18:F18),SUM('DFP-CASH'!$C20:E20)-SUM('DFP-Com'!$C18:F18),"ok")</f>
        <v>ok</v>
      </c>
      <c r="F20" s="353" t="str">
        <f>IF(SUM('DFP-CASH'!$C20:F20)&gt;SUM('DFP-Com'!$C18:G18),SUM('DFP-CASH'!$C20:F20)-SUM('DFP-Com'!$C18:G18),"ok")</f>
        <v>ok</v>
      </c>
      <c r="G20" s="353" t="str">
        <f>IF(SUM('DFP-CASH'!$C20:G20)&gt;SUM('DFP-Com'!$C18:G18),SUM('DFP-CASH'!$C20:G20)-SUM('DFP-Com'!$C18:G18),"ok")</f>
        <v>ok</v>
      </c>
      <c r="H20" s="353" t="e">
        <f>IF(SUM('DFP-CASH'!$C20:$G20)+('DFP-CASH'!#REF!)&gt;SUM('DFP-Com'!$C18:H18),SUM('DFP-CASH'!$C20:G20)-SUM('DFP-Com'!$C18:H18),"ok")</f>
        <v>#REF!</v>
      </c>
      <c r="I20" s="353" t="str">
        <f>IF(SUM('DFP-CASH'!$C20:$G20)+('DFP-CASH'!H20)&gt;SUM('DFP-Com'!$C18:I18),SUM('DFP-CASH'!$C20:H20)-SUM('DFP-Com'!$C18:I18),"ok")</f>
        <v>ok</v>
      </c>
      <c r="J20" s="353" t="str">
        <f>IF(SUM('DFP-CASH'!$C20:$G20)+('DFP-CASH'!I20)&gt;SUM('DFP-Com'!$C18:J18),SUM('DFP-CASH'!$C20:I20)-SUM('DFP-Com'!$C18:J18),"ok")</f>
        <v>ok</v>
      </c>
    </row>
    <row r="21" spans="1:10" ht="25.5" x14ac:dyDescent="0.25">
      <c r="A21" s="49" t="s">
        <v>69</v>
      </c>
      <c r="B21" s="240" t="str">
        <f>IF('DFP-Com'!L19-'DFP-CASH'!L21=0,"ok",'DFP-Com'!L19-'DFP-CASH'!L21)</f>
        <v>ok</v>
      </c>
      <c r="C21" s="353" t="str">
        <f>IF(SUM('DFP-CASH'!$C21:C21)&gt;SUM('DFP-Com'!$C19:D19),SUM('DFP-CASH'!$C21:C21)-SUM('DFP-Com'!$C19:D19),"ok")</f>
        <v>ok</v>
      </c>
      <c r="D21" s="353" t="str">
        <f>IF(SUM('DFP-CASH'!$C21:D21)&gt;SUM('DFP-Com'!$C19:E19),SUM('DFP-CASH'!$C21:D21)-SUM('DFP-Com'!$C19:E19),"ok")</f>
        <v>ok</v>
      </c>
      <c r="E21" s="353" t="str">
        <f>IF(SUM('DFP-CASH'!$C21:E21)&gt;SUM('DFP-Com'!$C19:F19),SUM('DFP-CASH'!$C21:E21)-SUM('DFP-Com'!$C19:F19),"ok")</f>
        <v>ok</v>
      </c>
      <c r="F21" s="353" t="str">
        <f>IF(SUM('DFP-CASH'!$C21:F21)&gt;SUM('DFP-Com'!$C19:G19),SUM('DFP-CASH'!$C21:F21)-SUM('DFP-Com'!$C19:G19),"ok")</f>
        <v>ok</v>
      </c>
      <c r="G21" s="353" t="str">
        <f>IF(SUM('DFP-CASH'!$C21:G21)&gt;SUM('DFP-Com'!$C19:G19),SUM('DFP-CASH'!$C21:G21)-SUM('DFP-Com'!$C19:G19),"ok")</f>
        <v>ok</v>
      </c>
      <c r="H21" s="353" t="e">
        <f>IF(SUM('DFP-CASH'!$C21:$G21)+('DFP-CASH'!#REF!)&gt;SUM('DFP-Com'!$C19:H19),SUM('DFP-CASH'!$C21:G21)-SUM('DFP-Com'!$C19:H19),"ok")</f>
        <v>#REF!</v>
      </c>
      <c r="I21" s="353" t="str">
        <f>IF(SUM('DFP-CASH'!$C21:$G21)+('DFP-CASH'!H21)&gt;SUM('DFP-Com'!$C19:I19),SUM('DFP-CASH'!$C21:H21)-SUM('DFP-Com'!$C19:I19),"ok")</f>
        <v>ok</v>
      </c>
      <c r="J21" s="353" t="str">
        <f>IF(SUM('DFP-CASH'!$C21:$G21)+('DFP-CASH'!I21)&gt;SUM('DFP-Com'!$C19:J19),SUM('DFP-CASH'!$C21:I21)-SUM('DFP-Com'!$C19:J19),"ok")</f>
        <v>ok</v>
      </c>
    </row>
    <row r="22" spans="1:10" x14ac:dyDescent="0.25">
      <c r="A22" s="195" t="s">
        <v>103</v>
      </c>
      <c r="B22" s="240" t="str">
        <f>IF('DFP-Com'!L20-'DFP-CASH'!L22=0,"ok",'DFP-Com'!L20-'DFP-CASH'!L22)</f>
        <v>ok</v>
      </c>
      <c r="C22" s="353" t="str">
        <f>IF(SUM('DFP-CASH'!$C22:C22)&gt;SUM('DFP-Com'!$C20:D20),SUM('DFP-CASH'!$C22:C22)-SUM('DFP-Com'!$C20:D20),"ok")</f>
        <v>ok</v>
      </c>
      <c r="D22" s="353" t="str">
        <f>IF(SUM('DFP-CASH'!$C22:D22)&gt;SUM('DFP-Com'!$C20:E20),SUM('DFP-CASH'!$C22:D22)-SUM('DFP-Com'!$C20:E20),"ok")</f>
        <v>ok</v>
      </c>
      <c r="E22" s="353" t="str">
        <f>IF(SUM('DFP-CASH'!$C22:E22)&gt;SUM('DFP-Com'!$C20:F20),SUM('DFP-CASH'!$C22:E22)-SUM('DFP-Com'!$C20:F20),"ok")</f>
        <v>ok</v>
      </c>
      <c r="F22" s="353" t="str">
        <f>IF(SUM('DFP-CASH'!$C22:F22)&gt;SUM('DFP-Com'!$C20:G20),SUM('DFP-CASH'!$C22:F22)-SUM('DFP-Com'!$C20:G20),"ok")</f>
        <v>ok</v>
      </c>
      <c r="G22" s="353" t="str">
        <f>IF(SUM('DFP-CASH'!$C22:G22)&gt;SUM('DFP-Com'!$C20:G20),SUM('DFP-CASH'!$C22:G22)-SUM('DFP-Com'!$C20:G20),"ok")</f>
        <v>ok</v>
      </c>
      <c r="H22" s="353" t="e">
        <f>IF(SUM('DFP-CASH'!$C22:$G22)+('DFP-CASH'!#REF!)&gt;SUM('DFP-Com'!$C20:H20),SUM('DFP-CASH'!$C22:G22)-SUM('DFP-Com'!$C20:H20),"ok")</f>
        <v>#REF!</v>
      </c>
      <c r="I22" s="353" t="str">
        <f>IF(SUM('DFP-CASH'!$C22:$G22)+('DFP-CASH'!H22)&gt;SUM('DFP-Com'!$C20:I20),SUM('DFP-CASH'!$C22:H22)-SUM('DFP-Com'!$C20:I20),"ok")</f>
        <v>ok</v>
      </c>
      <c r="J22" s="353" t="str">
        <f>IF(SUM('DFP-CASH'!$C22:$G22)+('DFP-CASH'!I22)&gt;SUM('DFP-Com'!$C20:J20),SUM('DFP-CASH'!$C22:I22)-SUM('DFP-Com'!$C20:J20),"ok")</f>
        <v>ok</v>
      </c>
    </row>
    <row r="23" spans="1:10" ht="25.5" x14ac:dyDescent="0.25">
      <c r="A23" s="49" t="s">
        <v>70</v>
      </c>
      <c r="B23" s="240">
        <f>IF('DFP-Com'!L21-'DFP-CASH'!L23=0,"ok",'DFP-Com'!L21-'DFP-CASH'!L23)</f>
        <v>6.0749994590878487E-3</v>
      </c>
      <c r="C23" s="353" t="str">
        <f>IF(SUM('DFP-CASH'!$C23:C23)&gt;SUM('DFP-Com'!$C21:D21),SUM('DFP-CASH'!$C23:C23)-SUM('DFP-Com'!$C21:D21),"ok")</f>
        <v>ok</v>
      </c>
      <c r="D23" s="353" t="str">
        <f>IF(SUM('DFP-CASH'!$C23:D23)&gt;SUM('DFP-Com'!$C21:E21),SUM('DFP-CASH'!$C23:D23)-SUM('DFP-Com'!$C21:E21),"ok")</f>
        <v>ok</v>
      </c>
      <c r="E23" s="353" t="str">
        <f>IF(SUM('DFP-CASH'!$C23:E23)&gt;SUM('DFP-Com'!$C21:F21),SUM('DFP-CASH'!$C23:E23)-SUM('DFP-Com'!$C21:F21),"ok")</f>
        <v>ok</v>
      </c>
      <c r="F23" s="353" t="str">
        <f>IF(SUM('DFP-CASH'!$C23:F23)&gt;SUM('DFP-Com'!$C21:G21),SUM('DFP-CASH'!$C23:F23)-SUM('DFP-Com'!$C21:G21),"ok")</f>
        <v>ok</v>
      </c>
      <c r="G23" s="353" t="str">
        <f>IF(SUM('DFP-CASH'!$C23:G23)&gt;SUM('DFP-Com'!$C21:G21),SUM('DFP-CASH'!$C23:G23)-SUM('DFP-Com'!$C21:G21),"ok")</f>
        <v>ok</v>
      </c>
      <c r="H23" s="353" t="e">
        <f>IF(SUM('DFP-CASH'!$C23:$G23)+('DFP-CASH'!#REF!)&gt;SUM('DFP-Com'!$C21:H21),SUM('DFP-CASH'!$C23:G23)-SUM('DFP-Com'!$C21:H21),"ok")</f>
        <v>#REF!</v>
      </c>
      <c r="I23" s="353" t="str">
        <f>IF(SUM('DFP-CASH'!$C23:$G23)+('DFP-CASH'!H23)&gt;SUM('DFP-Com'!$C21:I21),SUM('DFP-CASH'!$C23:H23)-SUM('DFP-Com'!$C21:I21),"ok")</f>
        <v>ok</v>
      </c>
      <c r="J23" s="353" t="str">
        <f>IF(SUM('DFP-CASH'!$C23:$G23)+('DFP-CASH'!I23)&gt;SUM('DFP-Com'!$C21:J21),SUM('DFP-CASH'!$C23:I23)-SUM('DFP-Com'!$C21:J21),"ok")</f>
        <v>ok</v>
      </c>
    </row>
    <row r="24" spans="1:10" x14ac:dyDescent="0.25">
      <c r="A24" s="195" t="s">
        <v>96</v>
      </c>
      <c r="B24" s="240">
        <f>IF('DFP-Com'!L22-'DFP-CASH'!L24=0,"ok",'DFP-Com'!L22-'DFP-CASH'!L24)</f>
        <v>6.0749994590878487E-3</v>
      </c>
      <c r="C24" s="353" t="str">
        <f>IF(SUM('DFP-CASH'!$C24:C24)&gt;SUM('DFP-Com'!$C22:F22),SUM('DFP-CASH'!$C24:C24)-SUM('DFP-Com'!$C22:F22),"ok")</f>
        <v>ok</v>
      </c>
      <c r="D24" s="353" t="str">
        <f>IF(SUM('DFP-CASH'!$C24:G24)&gt;SUM('DFP-Com'!$C22:F22),SUM('DFP-CASH'!$C24:G24)-SUM('DFP-Com'!$C22:F22),"ok")</f>
        <v>ok</v>
      </c>
      <c r="E24" s="353" t="str">
        <f>IF(SUM('DFP-CASH'!$C24:G24)&gt;SUM('DFP-Com'!$C22:F22),SUM('DFP-CASH'!$C24:G24)-SUM('DFP-Com'!$C22:F22),"ok")</f>
        <v>ok</v>
      </c>
      <c r="F24" s="353" t="str">
        <f>IF(SUM('DFP-CASH'!$C24:G24)&gt;SUM('DFP-Com'!$C22:G22),SUM('DFP-CASH'!$C24:G24)-SUM('DFP-Com'!$C22:G22),"ok")</f>
        <v>ok</v>
      </c>
      <c r="G24" s="353" t="str">
        <f>IF(SUM('DFP-CASH'!$C24:G24)&gt;SUM('DFP-Com'!$C22:G22),SUM('DFP-CASH'!$C24:G24)-SUM('DFP-Com'!$C22:G22),"ok")</f>
        <v>ok</v>
      </c>
      <c r="H24" s="353" t="e">
        <f>IF(SUM('DFP-CASH'!$C24:$G24)+('DFP-CASH'!#REF!)&gt;SUM('DFP-Com'!$C22:H22),SUM('DFP-CASH'!$C24:G24)-SUM('DFP-Com'!$C22:H22),"ok")</f>
        <v>#REF!</v>
      </c>
      <c r="I24" s="353" t="str">
        <f>IF(SUM('DFP-CASH'!$C24:$G24)+('DFP-CASH'!H24)&gt;SUM('DFP-Com'!$C22:I22),SUM('DFP-CASH'!$C24:H24)-SUM('DFP-Com'!$C22:I22),"ok")</f>
        <v>ok</v>
      </c>
      <c r="J24" s="353" t="str">
        <f>IF(SUM('DFP-CASH'!$C24:$G24)+('DFP-CASH'!I24)&gt;SUM('DFP-Com'!$C22:J22),SUM('DFP-CASH'!$C24:I24)-SUM('DFP-Com'!$C22:J22),"ok")</f>
        <v>ok</v>
      </c>
    </row>
    <row r="25" spans="1:10" x14ac:dyDescent="0.25">
      <c r="A25" s="195" t="s">
        <v>112</v>
      </c>
      <c r="B25" s="240">
        <f>IF('DFP-Com'!L23-'DFP-CASH'!L25=0,"ok",'DFP-Com'!L23-'DFP-CASH'!L25)</f>
        <v>-5.8207660913467407E-11</v>
      </c>
      <c r="C25" s="353" t="str">
        <f>IF(SUM('DFP-CASH'!$C25:C25)&gt;SUM('DFP-Com'!$C23:D23),SUM('DFP-CASH'!$C25:C25)-SUM('DFP-Com'!$C23:D23),"ok")</f>
        <v>ok</v>
      </c>
      <c r="D25" s="353" t="str">
        <f>IF(SUM('DFP-CASH'!$C25:D25)&gt;SUM('DFP-Com'!$C23:E23),SUM('DFP-CASH'!$C25:D25)-SUM('DFP-Com'!$C23:E23),"ok")</f>
        <v>ok</v>
      </c>
      <c r="E25" s="353" t="str">
        <f>IF(SUM('DFP-CASH'!$C25:E25)&gt;SUM('DFP-Com'!$C23:F23),SUM('DFP-CASH'!$C25:E25)-SUM('DFP-Com'!$C23:F23),"ok")</f>
        <v>ok</v>
      </c>
      <c r="F25" s="353" t="str">
        <f>IF(SUM('DFP-CASH'!$C25:F25)&gt;SUM('DFP-Com'!$C23:G23),SUM('DFP-CASH'!$C25:F25)-SUM('DFP-Com'!$C23:G23),"ok")</f>
        <v>ok</v>
      </c>
      <c r="G25" s="353" t="str">
        <f>IF(SUM('DFP-CASH'!$C25:G25)&gt;SUM('DFP-Com'!$C23:G23),SUM('DFP-CASH'!$C25:G25)-SUM('DFP-Com'!$C23:G23),"ok")</f>
        <v>ok</v>
      </c>
      <c r="H25" s="353" t="e">
        <f>IF(SUM('DFP-CASH'!$C25:$G25)+('DFP-CASH'!#REF!)&gt;SUM('DFP-Com'!$C23:H23),SUM('DFP-CASH'!$C25:G25)-SUM('DFP-Com'!$C23:H23),"ok")</f>
        <v>#REF!</v>
      </c>
      <c r="I25" s="353">
        <f>IF(SUM('DFP-CASH'!$C25:$G25)+('DFP-CASH'!H25)&gt;SUM('DFP-Com'!$C23:I23),SUM('DFP-CASH'!$C25:H25)-SUM('DFP-Com'!$C23:I23),"ok")</f>
        <v>537.64000000001397</v>
      </c>
      <c r="J25" s="353" t="str">
        <f>IF(SUM('DFP-CASH'!$C25:$G25)+('DFP-CASH'!I25)&gt;SUM('DFP-Com'!$C23:J23),SUM('DFP-CASH'!$C25:I25)-SUM('DFP-Com'!$C23:J23),"ok")</f>
        <v>ok</v>
      </c>
    </row>
    <row r="26" spans="1:10" x14ac:dyDescent="0.25">
      <c r="A26" s="195" t="s">
        <v>111</v>
      </c>
      <c r="B26" s="240">
        <f>IF('DFP-Com'!L24-'DFP-CASH'!L26=0,"ok",'DFP-Com'!L24-'DFP-CASH'!L26)</f>
        <v>3.4106051316484809E-13</v>
      </c>
      <c r="C26" s="353" t="str">
        <f>IF(SUM('DFP-CASH'!$C26:C26)&gt;SUM('DFP-Com'!$C24:D24),SUM('DFP-CASH'!$C26:C26)-SUM('DFP-Com'!$C24:D24),"ok")</f>
        <v>ok</v>
      </c>
      <c r="D26" s="353" t="str">
        <f>IF(SUM('DFP-CASH'!$C26:D26)&gt;SUM('DFP-Com'!$C24:E24),SUM('DFP-CASH'!$C26:D26)-SUM('DFP-Com'!$C24:E24),"ok")</f>
        <v>ok</v>
      </c>
      <c r="E26" s="353" t="str">
        <f>IF(SUM('DFP-CASH'!$C26:E26)&gt;SUM('DFP-Com'!$C24:F24),SUM('DFP-CASH'!$C26:E26)-SUM('DFP-Com'!$C24:F24),"ok")</f>
        <v>ok</v>
      </c>
      <c r="F26" s="353" t="str">
        <f>IF(SUM('DFP-CASH'!$C26:F26)&gt;SUM('DFP-Com'!$C24:G24),SUM('DFP-CASH'!$C26:F26)-SUM('DFP-Com'!$C24:G24),"ok")</f>
        <v>ok</v>
      </c>
      <c r="G26" s="353" t="str">
        <f>IF(SUM('DFP-CASH'!$C26:G26)&gt;SUM('DFP-Com'!$C24:G24),SUM('DFP-CASH'!$C26:G26)-SUM('DFP-Com'!$C24:G24),"ok")</f>
        <v>ok</v>
      </c>
      <c r="H26" s="353" t="e">
        <f>IF(SUM('DFP-CASH'!$C26:$G26)+('DFP-CASH'!#REF!)&gt;SUM('DFP-Com'!$C24:H24),SUM('DFP-CASH'!$C26:G26)-SUM('DFP-Com'!$C24:H24),"ok")</f>
        <v>#REF!</v>
      </c>
      <c r="I26" s="353" t="str">
        <f>IF(SUM('DFP-CASH'!$C26:$G26)+('DFP-CASH'!H26)&gt;SUM('DFP-Com'!$C24:I24),SUM('DFP-CASH'!$C26:H26)-SUM('DFP-Com'!$C24:I24),"ok")</f>
        <v>ok</v>
      </c>
      <c r="J26" s="353" t="str">
        <f>IF(SUM('DFP-CASH'!$C26:$G26)+('DFP-CASH'!I26)&gt;SUM('DFP-Com'!$C24:J24),SUM('DFP-CASH'!$C26:I26)-SUM('DFP-Com'!$C24:J24),"ok")</f>
        <v>ok</v>
      </c>
    </row>
    <row r="27" spans="1:10" x14ac:dyDescent="0.25">
      <c r="A27" s="50" t="s">
        <v>61</v>
      </c>
      <c r="B27" s="240">
        <f>IF('DFP-Com'!L25-'DFP-CASH'!L27=0,"ok",'DFP-Com'!L25-'DFP-CASH'!L27)</f>
        <v>6.8729519844055176E-3</v>
      </c>
      <c r="C27" s="353" t="str">
        <f>IF(SUM('DFP-CASH'!$C27:C27)&gt;SUM('DFP-Com'!$C25:D25),SUM('DFP-CASH'!$C27:C27)-SUM('DFP-Com'!$C25:D25),"ok")</f>
        <v>ok</v>
      </c>
      <c r="D27" s="353" t="str">
        <f>IF(SUM('DFP-CASH'!$C27:D27)&gt;SUM('DFP-Com'!$C25:E25),SUM('DFP-CASH'!$C27:D27)-SUM('DFP-Com'!$C25:E25),"ok")</f>
        <v>ok</v>
      </c>
      <c r="E27" s="353" t="str">
        <f>IF(SUM('DFP-CASH'!$C27:E27)&gt;SUM('DFP-Com'!$C25:F25),SUM('DFP-CASH'!$C27:E27)-SUM('DFP-Com'!$C25:F25),"ok")</f>
        <v>ok</v>
      </c>
      <c r="F27" s="353" t="str">
        <f>IF(SUM('DFP-CASH'!$C27:F27)&gt;SUM('DFP-Com'!$C25:G25),SUM('DFP-CASH'!$C27:F27)-SUM('DFP-Com'!$C25:G25),"ok")</f>
        <v>ok</v>
      </c>
      <c r="G27" s="353" t="str">
        <f>IF(SUM('DFP-CASH'!$C27:G27)&gt;SUM('DFP-Com'!$C25:G25),SUM('DFP-CASH'!$C27:G27)-SUM('DFP-Com'!$C25:G25),"ok")</f>
        <v>ok</v>
      </c>
      <c r="H27" s="353" t="e">
        <f>IF(SUM('DFP-CASH'!$C27:$G27)+('DFP-CASH'!#REF!)&gt;SUM('DFP-Com'!$C25:H25),SUM('DFP-CASH'!$C27:G27)-SUM('DFP-Com'!$C25:H25),"ok")</f>
        <v>#REF!</v>
      </c>
      <c r="I27" s="353" t="str">
        <f>IF(SUM('DFP-CASH'!$C27:$G27)+('DFP-CASH'!H27)&gt;SUM('DFP-Com'!$C25:I25),SUM('DFP-CASH'!$C27:H27)-SUM('DFP-Com'!$C25:I25),"ok")</f>
        <v>ok</v>
      </c>
      <c r="J27" s="353" t="str">
        <f>IF(SUM('DFP-CASH'!$C27:$G27)+('DFP-CASH'!I27)&gt;SUM('DFP-Com'!$C25:J25),SUM('DFP-CASH'!$C27:I27)-SUM('DFP-Com'!$C25:J25),"ok")</f>
        <v>ok</v>
      </c>
    </row>
    <row r="28" spans="1:10" x14ac:dyDescent="0.25">
      <c r="A28" s="52"/>
      <c r="B28" s="240" t="str">
        <f>IF('DFP-Com'!L26-'DFP-CASH'!L28=0,"ok",'DFP-Com'!L26-'DFP-CASH'!L28)</f>
        <v>ok</v>
      </c>
      <c r="C28" s="353" t="str">
        <f>IF(SUM('DFP-CASH'!$C28:C28)&gt;SUM('DFP-Com'!$C26:D26),SUM('DFP-CASH'!$C28:C28)-SUM('DFP-Com'!$C26:D26),"ok")</f>
        <v>ok</v>
      </c>
      <c r="D28" s="353" t="str">
        <f>IF(SUM('DFP-CASH'!$C28:D28)&gt;SUM('DFP-Com'!$C26:E26),SUM('DFP-CASH'!$C28:D28)-SUM('DFP-Com'!$C26:E26),"ok")</f>
        <v>ok</v>
      </c>
      <c r="E28" s="353" t="str">
        <f>IF(SUM('DFP-CASH'!$C28:E28)&gt;SUM('DFP-Com'!$C26:F26),SUM('DFP-CASH'!$C28:E28)-SUM('DFP-Com'!$C26:F26),"ok")</f>
        <v>ok</v>
      </c>
      <c r="F28" s="353" t="str">
        <f>IF(SUM('DFP-CASH'!$C28:F28)&gt;SUM('DFP-Com'!$C26:G26),SUM('DFP-CASH'!$C28:F28)-SUM('DFP-Com'!$C26:G26),"ok")</f>
        <v>ok</v>
      </c>
      <c r="G28" s="353" t="str">
        <f>IF(SUM('DFP-CASH'!$C28:G28)&gt;SUM('DFP-Com'!$C26:G26),SUM('DFP-CASH'!$C28:G28)-SUM('DFP-Com'!$C26:G26),"ok")</f>
        <v>ok</v>
      </c>
      <c r="H28" s="353" t="e">
        <f>IF(SUM('DFP-CASH'!$C28:$G28)+('DFP-CASH'!#REF!)&gt;SUM('DFP-Com'!$C26:H26),SUM('DFP-CASH'!$C28:G28)-SUM('DFP-Com'!$C26:H26),"ok")</f>
        <v>#REF!</v>
      </c>
      <c r="I28" s="353" t="str">
        <f>IF(SUM('DFP-CASH'!$C28:$G28)+('DFP-CASH'!H28)&gt;SUM('DFP-Com'!$C26:I26),SUM('DFP-CASH'!$C28:H28)-SUM('DFP-Com'!$C26:I26),"ok")</f>
        <v>ok</v>
      </c>
      <c r="J28" s="353" t="str">
        <f>IF(SUM('DFP-CASH'!$C28:$G28)+('DFP-CASH'!I28)&gt;SUM('DFP-Com'!$C26:J26),SUM('DFP-CASH'!$C28:I28)-SUM('DFP-Com'!$C26:J26),"ok")</f>
        <v>ok</v>
      </c>
    </row>
    <row r="29" spans="1:10" x14ac:dyDescent="0.25">
      <c r="A29" s="44" t="s">
        <v>73</v>
      </c>
      <c r="B29" s="240" t="str">
        <f>IF('DFP-Com'!L27-'DFP-CASH'!L29=0,"ok",'DFP-Com'!L27-'DFP-CASH'!L29)</f>
        <v>ok</v>
      </c>
      <c r="C29" s="353" t="str">
        <f>IF(SUM('DFP-CASH'!$C29:C29)&gt;SUM('DFP-Com'!$C27:D27),SUM('DFP-CASH'!$C29:C29)-SUM('DFP-Com'!$C27:D27),"ok")</f>
        <v>ok</v>
      </c>
      <c r="D29" s="353" t="str">
        <f>IF(SUM('DFP-CASH'!$C29:D29)&gt;SUM('DFP-Com'!$C27:E27),SUM('DFP-CASH'!$C29:D29)-SUM('DFP-Com'!$C27:E27),"ok")</f>
        <v>ok</v>
      </c>
      <c r="E29" s="353" t="str">
        <f>IF(SUM('DFP-CASH'!$C29:E29)&gt;SUM('DFP-Com'!$C27:F27),SUM('DFP-CASH'!$C29:E29)-SUM('DFP-Com'!$C27:F27),"ok")</f>
        <v>ok</v>
      </c>
      <c r="F29" s="353" t="str">
        <f>IF(SUM('DFP-CASH'!$C29:F29)&gt;SUM('DFP-Com'!$C27:G27),SUM('DFP-CASH'!$C29:F29)-SUM('DFP-Com'!$C27:G27),"ok")</f>
        <v>ok</v>
      </c>
      <c r="G29" s="353" t="str">
        <f>IF(SUM('DFP-CASH'!$C29:G29)&gt;SUM('DFP-Com'!$C27:G27),SUM('DFP-CASH'!$C29:G29)-SUM('DFP-Com'!$C27:G27),"ok")</f>
        <v>ok</v>
      </c>
      <c r="H29" s="353" t="e">
        <f>IF(SUM('DFP-CASH'!$C29:$G29)+('DFP-CASH'!#REF!)&gt;SUM('DFP-Com'!$C27:H27),SUM('DFP-CASH'!$C29:G29)-SUM('DFP-Com'!$C27:H27),"ok")</f>
        <v>#REF!</v>
      </c>
      <c r="I29" s="353" t="str">
        <f>IF(SUM('DFP-CASH'!$C29:$G29)+('DFP-CASH'!H29)&gt;SUM('DFP-Com'!$C27:I27),SUM('DFP-CASH'!$C29:H29)-SUM('DFP-Com'!$C27:I27),"ok")</f>
        <v>ok</v>
      </c>
      <c r="J29" s="353" t="str">
        <f>IF(SUM('DFP-CASH'!$C29:$G29)+('DFP-CASH'!I29)&gt;SUM('DFP-Com'!$C27:J27),SUM('DFP-CASH'!$C29:I29)-SUM('DFP-Com'!$C27:J27),"ok")</f>
        <v>ok</v>
      </c>
    </row>
    <row r="30" spans="1:10" x14ac:dyDescent="0.25">
      <c r="A30" s="49" t="s">
        <v>113</v>
      </c>
      <c r="B30" s="240" t="str">
        <f>IF('DFP-Com'!L28-'DFP-CASH'!L30=0,"ok",'DFP-Com'!L28-'DFP-CASH'!L30)</f>
        <v>ok</v>
      </c>
      <c r="C30" s="353" t="str">
        <f>IF(SUM('DFP-CASH'!$C30:C30)&gt;SUM('DFP-Com'!$C28:D28),SUM('DFP-CASH'!$C30:C30)-SUM('DFP-Com'!$C28:D28),"ok")</f>
        <v>ok</v>
      </c>
      <c r="D30" s="353" t="str">
        <f>IF(SUM('DFP-CASH'!$C30:D30)&gt;SUM('DFP-Com'!$C28:E28),SUM('DFP-CASH'!$C30:D30)-SUM('DFP-Com'!$C28:E28),"ok")</f>
        <v>ok</v>
      </c>
      <c r="E30" s="353" t="str">
        <f>IF(SUM('DFP-CASH'!$C30:E30)&gt;SUM('DFP-Com'!$C28:F28),SUM('DFP-CASH'!$C30:E30)-SUM('DFP-Com'!$C28:F28),"ok")</f>
        <v>ok</v>
      </c>
      <c r="F30" s="353" t="str">
        <f>IF(SUM('DFP-CASH'!$C30:F30)&gt;SUM('DFP-Com'!$C28:G28),SUM('DFP-CASH'!$C30:F30)-SUM('DFP-Com'!$C28:G28),"ok")</f>
        <v>ok</v>
      </c>
      <c r="G30" s="353" t="str">
        <f>IF(SUM('DFP-CASH'!$C30:G30)&gt;SUM('DFP-Com'!$C28:G28),SUM('DFP-CASH'!$C30:G30)-SUM('DFP-Com'!$C28:G28),"ok")</f>
        <v>ok</v>
      </c>
      <c r="H30" s="353" t="e">
        <f>IF(SUM('DFP-CASH'!$C30:$G30)+('DFP-CASH'!#REF!)&gt;SUM('DFP-Com'!$C28:H28),SUM('DFP-CASH'!$C30:G30)-SUM('DFP-Com'!$C28:H28),"ok")</f>
        <v>#REF!</v>
      </c>
      <c r="I30" s="353" t="str">
        <f>IF(SUM('DFP-CASH'!$C30:$G30)+('DFP-CASH'!H30)&gt;SUM('DFP-Com'!$C28:I28),SUM('DFP-CASH'!$C30:H30)-SUM('DFP-Com'!$C28:I28),"ok")</f>
        <v>ok</v>
      </c>
      <c r="J30" s="353" t="str">
        <f>IF(SUM('DFP-CASH'!$C30:$G30)+('DFP-CASH'!I30)&gt;SUM('DFP-Com'!$C28:J28),SUM('DFP-CASH'!$C30:I30)-SUM('DFP-Com'!$C28:J28),"ok")</f>
        <v>ok</v>
      </c>
    </row>
    <row r="31" spans="1:10" x14ac:dyDescent="0.25">
      <c r="A31" s="195" t="s">
        <v>106</v>
      </c>
      <c r="B31" s="240" t="str">
        <f>IF('DFP-Com'!L29-'DFP-CASH'!L31=0,"ok",'DFP-Com'!L29-'DFP-CASH'!L31)</f>
        <v>ok</v>
      </c>
      <c r="C31" s="353" t="str">
        <f>IF(SUM('DFP-CASH'!$C31:C31)&gt;SUM('DFP-Com'!$C29:D29),SUM('DFP-CASH'!$C31:C31)-SUM('DFP-Com'!$C29:D29),"ok")</f>
        <v>ok</v>
      </c>
      <c r="D31" s="353" t="str">
        <f>IF(SUM('DFP-CASH'!$C31:D31)&gt;SUM('DFP-Com'!$C29:E29),SUM('DFP-CASH'!$C31:D31)-SUM('DFP-Com'!$C29:E29),"ok")</f>
        <v>ok</v>
      </c>
      <c r="E31" s="353" t="str">
        <f>IF(SUM('DFP-CASH'!$C31:E31)&gt;SUM('DFP-Com'!$C29:F29),SUM('DFP-CASH'!$C31:E31)-SUM('DFP-Com'!$C29:F29),"ok")</f>
        <v>ok</v>
      </c>
      <c r="F31" s="353" t="str">
        <f>IF(SUM('DFP-CASH'!$C31:F31)&gt;SUM('DFP-Com'!$C29:G29),SUM('DFP-CASH'!$C31:F31)-SUM('DFP-Com'!$C29:G29),"ok")</f>
        <v>ok</v>
      </c>
      <c r="G31" s="353" t="str">
        <f>IF(SUM('DFP-CASH'!$C31:G31)&gt;SUM('DFP-Com'!$C29:G29),SUM('DFP-CASH'!$C31:G31)-SUM('DFP-Com'!$C29:G29),"ok")</f>
        <v>ok</v>
      </c>
      <c r="H31" s="353" t="e">
        <f>IF(SUM('DFP-CASH'!$C31:$G31)+('DFP-CASH'!#REF!)&gt;SUM('DFP-Com'!$C29:H29),SUM('DFP-CASH'!$C31:G31)-SUM('DFP-Com'!$C29:H29),"ok")</f>
        <v>#REF!</v>
      </c>
      <c r="I31" s="353" t="str">
        <f>IF(SUM('DFP-CASH'!$C31:$G31)+('DFP-CASH'!H31)&gt;SUM('DFP-Com'!$C29:I29),SUM('DFP-CASH'!$C31:H31)-SUM('DFP-Com'!$C29:I29),"ok")</f>
        <v>ok</v>
      </c>
      <c r="J31" s="353" t="str">
        <f>IF(SUM('DFP-CASH'!$C31:$G31)+('DFP-CASH'!I31)&gt;SUM('DFP-Com'!$C29:J29),SUM('DFP-CASH'!$C31:I31)-SUM('DFP-Com'!$C29:J29),"ok")</f>
        <v>ok</v>
      </c>
    </row>
    <row r="32" spans="1:10" ht="25.5" x14ac:dyDescent="0.25">
      <c r="A32" s="49" t="s">
        <v>77</v>
      </c>
      <c r="B32" s="240" t="str">
        <f>IF('DFP-Com'!L30-'DFP-CASH'!L32=0,"ok",'DFP-Com'!L30-'DFP-CASH'!L32)</f>
        <v>ok</v>
      </c>
      <c r="C32" s="353" t="str">
        <f>IF(SUM('DFP-CASH'!$C32:C32)&gt;SUM('DFP-Com'!$C30:D30),SUM('DFP-CASH'!$C32:C32)-SUM('DFP-Com'!$C30:D30),"ok")</f>
        <v>ok</v>
      </c>
      <c r="D32" s="353" t="str">
        <f>IF(SUM('DFP-CASH'!$C32:D32)&gt;SUM('DFP-Com'!$C30:E30),SUM('DFP-CASH'!$C32:D32)-SUM('DFP-Com'!$C30:E30),"ok")</f>
        <v>ok</v>
      </c>
      <c r="E32" s="353" t="str">
        <f>IF(SUM('DFP-CASH'!$C32:E32)&gt;SUM('DFP-Com'!$C30:F30),SUM('DFP-CASH'!$C32:E32)-SUM('DFP-Com'!$C30:F30),"ok")</f>
        <v>ok</v>
      </c>
      <c r="F32" s="353" t="str">
        <f>IF(SUM('DFP-CASH'!$C32:F32)&gt;SUM('DFP-Com'!$C30:G30),SUM('DFP-CASH'!$C32:F32)-SUM('DFP-Com'!$C30:G30),"ok")</f>
        <v>ok</v>
      </c>
      <c r="G32" s="353" t="str">
        <f>IF(SUM('DFP-CASH'!$C32:G32)&gt;SUM('DFP-Com'!$C30:G30),SUM('DFP-CASH'!$C32:G32)-SUM('DFP-Com'!$C30:G30),"ok")</f>
        <v>ok</v>
      </c>
      <c r="H32" s="353" t="e">
        <f>IF(SUM('DFP-CASH'!$C32:$G32)+('DFP-CASH'!#REF!)&gt;SUM('DFP-Com'!$C30:H30),SUM('DFP-CASH'!$C32:G32)-SUM('DFP-Com'!$C30:H30),"ok")</f>
        <v>#REF!</v>
      </c>
      <c r="I32" s="353" t="str">
        <f>IF(SUM('DFP-CASH'!$C32:$G32)+('DFP-CASH'!H32)&gt;SUM('DFP-Com'!$C30:I30),SUM('DFP-CASH'!$C32:H32)-SUM('DFP-Com'!$C30:I30),"ok")</f>
        <v>ok</v>
      </c>
      <c r="J32" s="353" t="str">
        <f>IF(SUM('DFP-CASH'!$C32:$G32)+('DFP-CASH'!I32)&gt;SUM('DFP-Com'!$C30:J30),SUM('DFP-CASH'!$C32:I32)-SUM('DFP-Com'!$C30:J30),"ok")</f>
        <v>ok</v>
      </c>
    </row>
    <row r="33" spans="1:10" x14ac:dyDescent="0.25">
      <c r="A33" s="195" t="s">
        <v>107</v>
      </c>
      <c r="B33" s="240">
        <f>IF('DFP-Com'!L31-'DFP-CASH'!L33=0,"ok",'DFP-Com'!L31-'DFP-CASH'!L33)</f>
        <v>-1.1641532182693481E-10</v>
      </c>
      <c r="C33" s="353" t="str">
        <f>IF(SUM('DFP-CASH'!$C33:C33)&gt;SUM('DFP-Com'!$C31:D31),SUM('DFP-CASH'!$C33:C33)-SUM('DFP-Com'!$C31:D31),"ok")</f>
        <v>ok</v>
      </c>
      <c r="D33" s="353" t="str">
        <f>IF(SUM('DFP-CASH'!$C33:D33)&gt;SUM('DFP-Com'!$C31:E31),SUM('DFP-CASH'!$C33:D33)-SUM('DFP-Com'!$C31:E31),"ok")</f>
        <v>ok</v>
      </c>
      <c r="E33" s="353" t="str">
        <f>IF(SUM('DFP-CASH'!$C33:E33)&gt;SUM('DFP-Com'!$C31:F31),SUM('DFP-CASH'!$C33:E33)-SUM('DFP-Com'!$C31:F31),"ok")</f>
        <v>ok</v>
      </c>
      <c r="F33" s="353" t="str">
        <f>IF(SUM('DFP-CASH'!$C33:F33)&gt;SUM('DFP-Com'!$C31:G31),SUM('DFP-CASH'!$C33:F33)-SUM('DFP-Com'!$C31:G31),"ok")</f>
        <v>ok</v>
      </c>
      <c r="G33" s="353" t="str">
        <f>IF(SUM('DFP-CASH'!$C33:G33)&gt;SUM('DFP-Com'!$C31:G31),SUM('DFP-CASH'!$C33:G33)-SUM('DFP-Com'!$C31:G31),"ok")</f>
        <v>ok</v>
      </c>
      <c r="H33" s="353" t="e">
        <f>IF(SUM('DFP-CASH'!$C33:$G33)+('DFP-CASH'!#REF!)&gt;SUM('DFP-Com'!$C31:H31),SUM('DFP-CASH'!$C33:G33)-SUM('DFP-Com'!$C31:H31),"ok")</f>
        <v>#REF!</v>
      </c>
      <c r="I33" s="353" t="str">
        <f>IF(SUM('DFP-CASH'!$C33:$G33)+('DFP-CASH'!H33)&gt;SUM('DFP-Com'!$C31:I31),SUM('DFP-CASH'!$C33:H33)-SUM('DFP-Com'!$C31:I31),"ok")</f>
        <v>ok</v>
      </c>
      <c r="J33" s="353" t="str">
        <f>IF(SUM('DFP-CASH'!$C33:$G33)+('DFP-CASH'!I33)&gt;SUM('DFP-Com'!$C31:J31),SUM('DFP-CASH'!$C33:I33)-SUM('DFP-Com'!$C31:J31),"ok")</f>
        <v>ok</v>
      </c>
    </row>
    <row r="34" spans="1:10" x14ac:dyDescent="0.25">
      <c r="A34" s="195" t="s">
        <v>108</v>
      </c>
      <c r="B34" s="240">
        <f>IF('DFP-Com'!L32-'DFP-CASH'!L34=0,"ok",'DFP-Com'!L32-'DFP-CASH'!L34)</f>
        <v>1.1641532182693481E-10</v>
      </c>
      <c r="C34" s="353" t="str">
        <f>IF(SUM('DFP-CASH'!$C34:C34)&gt;SUM('DFP-Com'!$C32:D32),SUM('DFP-CASH'!$C34:C34)-SUM('DFP-Com'!$C32:D32),"ok")</f>
        <v>ok</v>
      </c>
      <c r="D34" s="353" t="str">
        <f>IF(SUM('DFP-CASH'!$C34:D34)&gt;SUM('DFP-Com'!$C32:E32),SUM('DFP-CASH'!$C34:D34)-SUM('DFP-Com'!$C32:E32),"ok")</f>
        <v>ok</v>
      </c>
      <c r="E34" s="353" t="str">
        <f>IF(SUM('DFP-CASH'!$C34:F34)&gt;SUM('DFP-Com'!$C32:G32),SUM('DFP-CASH'!$C34:F34)-SUM('DFP-Com'!$C32:G32),"ok")</f>
        <v>ok</v>
      </c>
      <c r="F34" s="353" t="str">
        <f>IF(SUM('DFP-CASH'!$C34:F34)&gt;SUM('DFP-Com'!$C32:G32),SUM('DFP-CASH'!$C34:F34)-SUM('DFP-Com'!$C32:G32),"ok")</f>
        <v>ok</v>
      </c>
      <c r="G34" s="353" t="str">
        <f>IF(SUM('DFP-CASH'!$C34:G34)&gt;SUM('DFP-Com'!$C32:G32),SUM('DFP-CASH'!$C34:G34)-SUM('DFP-Com'!$C32:G32),"ok")</f>
        <v>ok</v>
      </c>
      <c r="H34" s="353" t="e">
        <f>IF(SUM('DFP-CASH'!$C34:$G34)+('DFP-CASH'!#REF!)&gt;SUM('DFP-Com'!$C32:H32),SUM('DFP-CASH'!$C34:G34)-SUM('DFP-Com'!$C32:H32),"ok")</f>
        <v>#REF!</v>
      </c>
      <c r="I34" s="353" t="str">
        <f>IF(SUM('DFP-CASH'!$C34:$G34)+('DFP-CASH'!H34)&gt;SUM('DFP-Com'!$C32:I32),SUM('DFP-CASH'!$C34:H34)-SUM('DFP-Com'!$C32:I32),"ok")</f>
        <v>ok</v>
      </c>
      <c r="J34" s="353" t="str">
        <f>IF(SUM('DFP-CASH'!$C34:$G34)+('DFP-CASH'!I34)&gt;SUM('DFP-Com'!$C32:J32),SUM('DFP-CASH'!$C34:I34)-SUM('DFP-Com'!$C32:J32),"ok")</f>
        <v>ok</v>
      </c>
    </row>
    <row r="35" spans="1:10" x14ac:dyDescent="0.25">
      <c r="A35" s="195" t="s">
        <v>110</v>
      </c>
      <c r="B35" s="240" t="str">
        <f>IF('DFP-Com'!L33-'DFP-CASH'!L35=0,"ok",'DFP-Com'!L33-'DFP-CASH'!L35)</f>
        <v>ok</v>
      </c>
      <c r="C35" s="353" t="str">
        <f>IF(SUM('DFP-CASH'!$C35:C35)&gt;SUM('DFP-Com'!$C33:G33),SUM('DFP-CASH'!$C35:C35)-SUM('DFP-Com'!$C33:G33),"ok")</f>
        <v>ok</v>
      </c>
      <c r="D35" s="353" t="str">
        <f>IF(SUM('DFP-CASH'!$C35:D35)&gt;SUM('DFP-Com'!$C33:G33),SUM('DFP-CASH'!$C35:D35)-SUM('DFP-Com'!$C33:G33),"ok")</f>
        <v>ok</v>
      </c>
      <c r="E35" s="353" t="str">
        <f>IF(SUM('DFP-CASH'!$C35:E35)&gt;SUM('DFP-Com'!$C33:F33),SUM('DFP-CASH'!$C35:E35)-SUM('DFP-Com'!$C33:F33),"ok")</f>
        <v>ok</v>
      </c>
      <c r="F35" s="353" t="str">
        <f>IF(SUM('DFP-CASH'!$C35:F35)&gt;SUM('DFP-Com'!$C33:G33),SUM('DFP-CASH'!$C35:F35)-SUM('DFP-Com'!$C33:G33),"ok")</f>
        <v>ok</v>
      </c>
      <c r="G35" s="353" t="str">
        <f>IF(SUM('DFP-CASH'!$C35:G35)&gt;SUM('DFP-Com'!$C33:G33),SUM('DFP-CASH'!$C35:G35)-SUM('DFP-Com'!$C33:G33),"ok")</f>
        <v>ok</v>
      </c>
      <c r="H35" s="353" t="e">
        <f>IF(SUM('DFP-CASH'!$C35:$G35)+('DFP-CASH'!#REF!)&gt;SUM('DFP-Com'!$C33:H33),SUM('DFP-CASH'!$C35:G35)-SUM('DFP-Com'!$C33:H33),"ok")</f>
        <v>#REF!</v>
      </c>
      <c r="I35" s="353" t="str">
        <f>IF(SUM('DFP-CASH'!$C35:$G35)+('DFP-CASH'!H35)&gt;SUM('DFP-Com'!$C33:I33),SUM('DFP-CASH'!$C35:H35)-SUM('DFP-Com'!$C33:I33),"ok")</f>
        <v>ok</v>
      </c>
      <c r="J35" s="353" t="str">
        <f>IF(SUM('DFP-CASH'!$C35:$G35)+('DFP-CASH'!I35)&gt;SUM('DFP-Com'!$C33:J33),SUM('DFP-CASH'!$C35:I35)-SUM('DFP-Com'!$C33:J33),"ok")</f>
        <v>ok</v>
      </c>
    </row>
    <row r="36" spans="1:10" x14ac:dyDescent="0.25">
      <c r="A36" s="57" t="s">
        <v>62</v>
      </c>
      <c r="B36" s="240" t="str">
        <f>IF('DFP-Com'!L34-'DFP-CASH'!L36=0,"ok",'DFP-Com'!L34-'DFP-CASH'!L36)</f>
        <v>ok</v>
      </c>
      <c r="C36" s="353" t="str">
        <f>IF(SUM('DFP-CASH'!$C36:C36)&gt;SUM('DFP-Com'!$C34:D34),SUM('DFP-CASH'!$C36:C36)-SUM('DFP-Com'!$C34:D34),"ok")</f>
        <v>ok</v>
      </c>
      <c r="D36" s="353" t="str">
        <f>IF(SUM('DFP-CASH'!$C36:D36)&gt;SUM('DFP-Com'!$C34:E34),SUM('DFP-CASH'!$C36:D36)-SUM('DFP-Com'!$C34:E34),"ok")</f>
        <v>ok</v>
      </c>
      <c r="E36" s="353" t="str">
        <f>IF(SUM('DFP-CASH'!$C36:E36)&gt;SUM('DFP-Com'!$C34:F34),SUM('DFP-CASH'!$C36:E36)-SUM('DFP-Com'!$C34:F34),"ok")</f>
        <v>ok</v>
      </c>
      <c r="F36" s="353" t="str">
        <f>IF(SUM('DFP-CASH'!$C36:F36)&gt;SUM('DFP-Com'!$C34:G34),SUM('DFP-CASH'!$C36:F36)-SUM('DFP-Com'!$C34:G34),"ok")</f>
        <v>ok</v>
      </c>
      <c r="G36" s="353" t="str">
        <f>IF(SUM('DFP-CASH'!$C36:G36)&gt;SUM('DFP-Com'!$C34:G34),SUM('DFP-CASH'!$C36:G36)-SUM('DFP-Com'!$C34:G34),"ok")</f>
        <v>ok</v>
      </c>
      <c r="H36" s="353" t="e">
        <f>IF(SUM('DFP-CASH'!$C36:$G36)+('DFP-CASH'!#REF!)&gt;SUM('DFP-Com'!$C34:H34),SUM('DFP-CASH'!$C36:G36)-SUM('DFP-Com'!$C34:H34),"ok")</f>
        <v>#REF!</v>
      </c>
      <c r="I36" s="353" t="str">
        <f>IF(SUM('DFP-CASH'!$C36:$G36)+('DFP-CASH'!H36)&gt;SUM('DFP-Com'!$C34:I34),SUM('DFP-CASH'!$C36:H36)-SUM('DFP-Com'!$C34:I34),"ok")</f>
        <v>ok</v>
      </c>
      <c r="J36" s="353" t="str">
        <f>IF(SUM('DFP-CASH'!$C36:$G36)+('DFP-CASH'!I36)&gt;SUM('DFP-Com'!$C34:J34),SUM('DFP-CASH'!$C36:I36)-SUM('DFP-Com'!$C34:J34),"ok")</f>
        <v>ok</v>
      </c>
    </row>
    <row r="37" spans="1:10" x14ac:dyDescent="0.25">
      <c r="A37" s="52"/>
      <c r="B37" s="240" t="str">
        <f>IF('DFP-Com'!L35-'DFP-CASH'!L37=0,"ok",'DFP-Com'!L35-'DFP-CASH'!L37)</f>
        <v>ok</v>
      </c>
      <c r="C37" s="353" t="str">
        <f>IF(SUM('DFP-CASH'!$C37:C37)&gt;SUM('DFP-Com'!$C35:D35),SUM('DFP-CASH'!$C37:C37)-SUM('DFP-Com'!$C35:D35),"ok")</f>
        <v>ok</v>
      </c>
      <c r="D37" s="353" t="str">
        <f>IF(SUM('DFP-CASH'!$C37:D37)&gt;SUM('DFP-Com'!$C35:E35),SUM('DFP-CASH'!$C37:D37)-SUM('DFP-Com'!$C35:E35),"ok")</f>
        <v>ok</v>
      </c>
      <c r="E37" s="353" t="str">
        <f>IF(SUM('DFP-CASH'!$C37:E37)&gt;SUM('DFP-Com'!$C35:F35),SUM('DFP-CASH'!$C37:E37)-SUM('DFP-Com'!$C35:F35),"ok")</f>
        <v>ok</v>
      </c>
      <c r="F37" s="353" t="str">
        <f>IF(SUM('DFP-CASH'!$C37:F37)&gt;SUM('DFP-Com'!$C35:G35),SUM('DFP-CASH'!$C37:F37)-SUM('DFP-Com'!$C35:G35),"ok")</f>
        <v>ok</v>
      </c>
      <c r="G37" s="353" t="str">
        <f>IF(SUM('DFP-CASH'!$C37:G37)&gt;SUM('DFP-Com'!$C35:G35),SUM('DFP-CASH'!$C37:G37)-SUM('DFP-Com'!$C35:G35),"ok")</f>
        <v>ok</v>
      </c>
      <c r="H37" s="353" t="e">
        <f>IF(SUM('DFP-CASH'!$C37:$G37)+('DFP-CASH'!#REF!)&gt;SUM('DFP-Com'!$C35:H35),SUM('DFP-CASH'!$C37:G37)-SUM('DFP-Com'!$C35:H35),"ok")</f>
        <v>#REF!</v>
      </c>
      <c r="I37" s="353" t="str">
        <f>IF(SUM('DFP-CASH'!$C37:$G37)+('DFP-CASH'!H37)&gt;SUM('DFP-Com'!$C35:I35),SUM('DFP-CASH'!$C37:H37)-SUM('DFP-Com'!$C35:I35),"ok")</f>
        <v>ok</v>
      </c>
      <c r="J37" s="353" t="str">
        <f>IF(SUM('DFP-CASH'!$C37:$G37)+('DFP-CASH'!I37)&gt;SUM('DFP-Com'!$C35:J35),SUM('DFP-CASH'!$C37:I37)-SUM('DFP-Com'!$C35:J35),"ok")</f>
        <v>ok</v>
      </c>
    </row>
    <row r="38" spans="1:10" x14ac:dyDescent="0.25">
      <c r="A38" s="44" t="s">
        <v>81</v>
      </c>
      <c r="B38" s="240" t="str">
        <f>IF('DFP-Com'!L36-'DFP-CASH'!L38=0,"ok",'DFP-Com'!L36-'DFP-CASH'!L38)</f>
        <v>ok</v>
      </c>
      <c r="C38" s="353" t="str">
        <f>IF(SUM('DFP-CASH'!$C38:C38)&gt;SUM('DFP-Com'!$C36:D36),SUM('DFP-CASH'!$C38:C38)-SUM('DFP-Com'!$C36:D36),"ok")</f>
        <v>ok</v>
      </c>
      <c r="D38" s="353" t="str">
        <f>IF(SUM('DFP-CASH'!$C38:D38)&gt;SUM('DFP-Com'!$C36:E36),SUM('DFP-CASH'!$C38:D38)-SUM('DFP-Com'!$C36:E36),"ok")</f>
        <v>ok</v>
      </c>
      <c r="E38" s="353" t="str">
        <f>IF(SUM('DFP-CASH'!$C38:E38)&gt;SUM('DFP-Com'!$C36:F36),SUM('DFP-CASH'!$C38:E38)-SUM('DFP-Com'!$C36:F36),"ok")</f>
        <v>ok</v>
      </c>
      <c r="F38" s="353" t="str">
        <f>IF(SUM('DFP-CASH'!$C38:F38)&gt;SUM('DFP-Com'!$C36:G36),SUM('DFP-CASH'!$C38:F38)-SUM('DFP-Com'!$C36:G36),"ok")</f>
        <v>ok</v>
      </c>
      <c r="G38" s="353" t="str">
        <f>IF(SUM('DFP-CASH'!$C38:G38)&gt;SUM('DFP-Com'!$C36:G36),SUM('DFP-CASH'!$C38:G38)-SUM('DFP-Com'!$C36:G36),"ok")</f>
        <v>ok</v>
      </c>
      <c r="H38" s="353" t="e">
        <f>IF(SUM('DFP-CASH'!$C38:$G38)+('DFP-CASH'!#REF!)&gt;SUM('DFP-Com'!$C36:H36),SUM('DFP-CASH'!$C38:G38)-SUM('DFP-Com'!$C36:H36),"ok")</f>
        <v>#REF!</v>
      </c>
      <c r="I38" s="353" t="str">
        <f>IF(SUM('DFP-CASH'!$C38:$G38)+('DFP-CASH'!H38)&gt;SUM('DFP-Com'!$C36:I36),SUM('DFP-CASH'!$C38:H38)-SUM('DFP-Com'!$C36:I36),"ok")</f>
        <v>ok</v>
      </c>
      <c r="J38" s="353" t="str">
        <f>IF(SUM('DFP-CASH'!$C38:$G38)+('DFP-CASH'!I38)&gt;SUM('DFP-Com'!$C36:J36),SUM('DFP-CASH'!$C38:I38)-SUM('DFP-Com'!$C36:J36),"ok")</f>
        <v>ok</v>
      </c>
    </row>
    <row r="39" spans="1:10" x14ac:dyDescent="0.25">
      <c r="A39" s="63" t="s">
        <v>82</v>
      </c>
      <c r="B39" s="240">
        <f>IF('DFP-Com'!L37-'DFP-CASH'!L39=0,"ok",'DFP-Com'!L37-'DFP-CASH'!L39)</f>
        <v>1.1641532182693481E-10</v>
      </c>
      <c r="C39" s="353" t="str">
        <f>IF(SUM('DFP-CASH'!$C39:C39)&gt;SUM('DFP-Com'!$C37:D37),SUM('DFP-CASH'!$C39:C39)-SUM('DFP-Com'!$C37:D37),"ok")</f>
        <v>ok</v>
      </c>
      <c r="D39" s="353" t="str">
        <f>IF(SUM('DFP-CASH'!$C39:D39)&gt;SUM('DFP-Com'!$C37:E37),SUM('DFP-CASH'!$C39:D39)-SUM('DFP-Com'!$C37:E37),"ok")</f>
        <v>ok</v>
      </c>
      <c r="E39" s="353" t="str">
        <f>IF(SUM('DFP-CASH'!$C39:E39)&gt;SUM('DFP-Com'!$C37:F37),SUM('DFP-CASH'!$C39:E39)-SUM('DFP-Com'!$C37:F37),"ok")</f>
        <v>ok</v>
      </c>
      <c r="F39" s="353" t="str">
        <f>IF(SUM('DFP-CASH'!$C39:F39)&gt;SUM('DFP-Com'!$C37:G37),SUM('DFP-CASH'!$C39:F39)-SUM('DFP-Com'!$C37:G37),"ok")</f>
        <v>ok</v>
      </c>
      <c r="G39" s="353" t="str">
        <f>IF(SUM('DFP-CASH'!$C39:G39)&gt;SUM('DFP-Com'!$C37:G37),SUM('DFP-CASH'!$C39:G39)-SUM('DFP-Com'!$C37:G37),"ok")</f>
        <v>ok</v>
      </c>
      <c r="H39" s="353" t="e">
        <f>IF(SUM('DFP-CASH'!$C39:$G39)+('DFP-CASH'!#REF!)&gt;SUM('DFP-Com'!$C37:H37),SUM('DFP-CASH'!$C39:G39)-SUM('DFP-Com'!$C37:H37),"ok")</f>
        <v>#REF!</v>
      </c>
      <c r="I39" s="353" t="str">
        <f>IF(SUM('DFP-CASH'!$C39:$G39)+('DFP-CASH'!H39)&gt;SUM('DFP-Com'!$C37:I37),SUM('DFP-CASH'!$C39:H39)-SUM('DFP-Com'!$C37:I37),"ok")</f>
        <v>ok</v>
      </c>
      <c r="J39" s="353" t="str">
        <f>IF(SUM('DFP-CASH'!$C39:$G39)+('DFP-CASH'!I39)&gt;SUM('DFP-Com'!$C37:J37),SUM('DFP-CASH'!$C39:I39)-SUM('DFP-Com'!$C37:J37),"ok")</f>
        <v>ok</v>
      </c>
    </row>
    <row r="40" spans="1:10" x14ac:dyDescent="0.25">
      <c r="A40" s="203" t="s">
        <v>97</v>
      </c>
      <c r="B40" s="240">
        <f>IF('DFP-Com'!L38-'DFP-CASH'!L40=0,"ok",'DFP-Com'!L38-'DFP-CASH'!L40)</f>
        <v>1.1641532182693481E-10</v>
      </c>
      <c r="C40" s="353" t="str">
        <f>IF(SUM('DFP-CASH'!$C40:C40)&gt;SUM('DFP-Com'!$C38:G38),SUM('DFP-CASH'!$C40:C40)-SUM('DFP-Com'!$C38:G38),"ok")</f>
        <v>ok</v>
      </c>
      <c r="D40" s="353" t="str">
        <f>IF(SUM('DFP-CASH'!$C40:G40)&gt;SUM('DFP-Com'!$C38:G38),SUM('DFP-CASH'!$C40:G40)-SUM('DFP-Com'!$C38:G38),"ok")</f>
        <v>ok</v>
      </c>
      <c r="E40" s="353" t="str">
        <f>IF(SUM('DFP-CASH'!$C40:G40)&gt;SUM('DFP-Com'!$C38:G38),SUM('DFP-CASH'!$C40:G40)-SUM('DFP-Com'!$C38:G38),"ok")</f>
        <v>ok</v>
      </c>
      <c r="F40" s="353" t="str">
        <f>IF(SUM('DFP-CASH'!$C40:G40)&gt;SUM('DFP-Com'!$C38:G38),SUM('DFP-CASH'!$C40:G40)-SUM('DFP-Com'!$C38:G38),"ok")</f>
        <v>ok</v>
      </c>
      <c r="G40" s="353" t="str">
        <f>IF(SUM('DFP-CASH'!$C40:G40)&gt;SUM('DFP-Com'!$C38:G38),SUM('DFP-CASH'!$C40:G40)-SUM('DFP-Com'!$C38:G38),"ok")</f>
        <v>ok</v>
      </c>
      <c r="H40" s="353" t="e">
        <f>IF(SUM('DFP-CASH'!$C40:$G40)+('DFP-CASH'!#REF!)&gt;SUM('DFP-Com'!$C38:H38),SUM('DFP-CASH'!$C40:G40)-SUM('DFP-Com'!$C38:H38),"ok")</f>
        <v>#REF!</v>
      </c>
      <c r="I40" s="353" t="str">
        <f>IF(SUM('DFP-CASH'!$C40:$G40)+('DFP-CASH'!H40)&gt;SUM('DFP-Com'!$C38:I38),SUM('DFP-CASH'!$C40:H40)-SUM('DFP-Com'!$C38:I38),"ok")</f>
        <v>ok</v>
      </c>
      <c r="J40" s="353" t="str">
        <f>IF(SUM('DFP-CASH'!$C40:$G40)+('DFP-CASH'!I40)&gt;SUM('DFP-Com'!$C38:J38),SUM('DFP-CASH'!$C40:I40)-SUM('DFP-Com'!$C38:J38),"ok")</f>
        <v>ok</v>
      </c>
    </row>
    <row r="41" spans="1:10" x14ac:dyDescent="0.25">
      <c r="A41" s="203" t="s">
        <v>98</v>
      </c>
      <c r="B41" s="240" t="str">
        <f>IF('DFP-Com'!L39-'DFP-CASH'!L41=0,"ok",'DFP-Com'!L39-'DFP-CASH'!L41)</f>
        <v>ok</v>
      </c>
      <c r="C41" s="353" t="str">
        <f>IF(SUM('DFP-CASH'!$C41:C41)&gt;SUM('DFP-Com'!$C39:D39),SUM('DFP-CASH'!$C41:C41)-SUM('DFP-Com'!$C39:D39),"ok")</f>
        <v>ok</v>
      </c>
      <c r="D41" s="353" t="str">
        <f>IF(SUM('DFP-CASH'!$C41:D41)&gt;SUM('DFP-Com'!$C39:E39),SUM('DFP-CASH'!$C41:D41)-SUM('DFP-Com'!$C39:E39),"ok")</f>
        <v>ok</v>
      </c>
      <c r="E41" s="353" t="str">
        <f>IF(SUM('DFP-CASH'!$C41:E41)&gt;SUM('DFP-Com'!$C39:F39),SUM('DFP-CASH'!$C41:E41)-SUM('DFP-Com'!$C39:F39),"ok")</f>
        <v>ok</v>
      </c>
      <c r="F41" s="353" t="str">
        <f>IF(SUM('DFP-CASH'!$C41:F41)&gt;SUM('DFP-Com'!$C39:G39),SUM('DFP-CASH'!$C41:F41)-SUM('DFP-Com'!$C39:G39),"ok")</f>
        <v>ok</v>
      </c>
      <c r="G41" s="353" t="str">
        <f>IF(SUM('DFP-CASH'!$C41:G41)&gt;SUM('DFP-Com'!$C39:G39),SUM('DFP-CASH'!$C41:G41)-SUM('DFP-Com'!$C39:G39),"ok")</f>
        <v>ok</v>
      </c>
      <c r="H41" s="353" t="e">
        <f>IF(SUM('DFP-CASH'!$C41:$G41)+('DFP-CASH'!#REF!)&gt;SUM('DFP-Com'!$C39:H39),SUM('DFP-CASH'!$C41:G41)-SUM('DFP-Com'!$C39:H39),"ok")</f>
        <v>#REF!</v>
      </c>
      <c r="I41" s="353" t="str">
        <f>IF(SUM('DFP-CASH'!$C41:$G41)+('DFP-CASH'!H41)&gt;SUM('DFP-Com'!$C39:I39),SUM('DFP-CASH'!$C41:H41)-SUM('DFP-Com'!$C39:I39),"ok")</f>
        <v>ok</v>
      </c>
      <c r="J41" s="353" t="str">
        <f>IF(SUM('DFP-CASH'!$C41:$G41)+('DFP-CASH'!I41)&gt;SUM('DFP-Com'!$C39:J39),SUM('DFP-CASH'!$C41:I41)-SUM('DFP-Com'!$C39:J39),"ok")</f>
        <v>ok</v>
      </c>
    </row>
    <row r="42" spans="1:10" x14ac:dyDescent="0.25">
      <c r="A42" s="203" t="s">
        <v>99</v>
      </c>
      <c r="B42" s="240" t="str">
        <f>IF('DFP-Com'!L40-'DFP-CASH'!L42=0,"ok",'DFP-Com'!L40-'DFP-CASH'!L42)</f>
        <v>ok</v>
      </c>
      <c r="C42" s="353" t="str">
        <f>IF(SUM('DFP-CASH'!$C42:C42)&gt;SUM('DFP-Com'!$C40:D40),SUM('DFP-CASH'!$C42:C42)-SUM('DFP-Com'!$C40:D40),"ok")</f>
        <v>ok</v>
      </c>
      <c r="D42" s="353" t="str">
        <f>IF(SUM('DFP-CASH'!$C42:D42)&gt;SUM('DFP-Com'!$C40:E40),SUM('DFP-CASH'!$C42:D42)-SUM('DFP-Com'!$C40:E40),"ok")</f>
        <v>ok</v>
      </c>
      <c r="E42" s="353" t="str">
        <f>IF(SUM('DFP-CASH'!$C42:E42)&gt;SUM('DFP-Com'!$C40:F40),SUM('DFP-CASH'!$C42:E42)-SUM('DFP-Com'!$C40:F40),"ok")</f>
        <v>ok</v>
      </c>
      <c r="F42" s="353" t="str">
        <f>IF(SUM('DFP-CASH'!$C42:F42)&gt;SUM('DFP-Com'!$C40:G40),SUM('DFP-CASH'!$C42:F42)-SUM('DFP-Com'!$C40:G40),"ok")</f>
        <v>ok</v>
      </c>
      <c r="G42" s="353" t="str">
        <f>IF(SUM('DFP-CASH'!$C42:G42)&gt;SUM('DFP-Com'!$C40:G40),SUM('DFP-CASH'!$C42:G42)-SUM('DFP-Com'!$C40:G40),"ok")</f>
        <v>ok</v>
      </c>
      <c r="H42" s="353" t="e">
        <f>IF(SUM('DFP-CASH'!$C42:$G42)+('DFP-CASH'!#REF!)&gt;SUM('DFP-Com'!$C40:H40),SUM('DFP-CASH'!$C42:G42)-SUM('DFP-Com'!$C40:H40),"ok")</f>
        <v>#REF!</v>
      </c>
      <c r="I42" s="353" t="str">
        <f>IF(SUM('DFP-CASH'!$C42:$G42)+('DFP-CASH'!H42)&gt;SUM('DFP-Com'!$C40:I40),SUM('DFP-CASH'!$C42:H42)-SUM('DFP-Com'!$C40:I40),"ok")</f>
        <v>ok</v>
      </c>
      <c r="J42" s="353" t="str">
        <f>IF(SUM('DFP-CASH'!$C42:$G42)+('DFP-CASH'!I42)&gt;SUM('DFP-Com'!$C40:J40),SUM('DFP-CASH'!$C42:I42)-SUM('DFP-Com'!$C40:J40),"ok")</f>
        <v>ok</v>
      </c>
    </row>
    <row r="43" spans="1:10" x14ac:dyDescent="0.25">
      <c r="A43" s="203" t="s">
        <v>109</v>
      </c>
      <c r="B43" s="240" t="str">
        <f>IF('DFP-Com'!L41-'DFP-CASH'!L43=0,"ok",'DFP-Com'!L41-'DFP-CASH'!L43)</f>
        <v>ok</v>
      </c>
      <c r="C43" s="353" t="str">
        <f>IF(SUM('DFP-CASH'!$C43:C43)&gt;SUM('DFP-Com'!$C41:E41),SUM('DFP-CASH'!$C43:C43)-SUM('DFP-Com'!$C41:E41),"ok")</f>
        <v>ok</v>
      </c>
      <c r="D43" s="353" t="str">
        <f>IF(SUM('DFP-CASH'!$C43:D43)&gt;SUM('DFP-Com'!$C41:E41),SUM('DFP-CASH'!$C43:D43)-SUM('DFP-Com'!$C41:E41),"ok")</f>
        <v>ok</v>
      </c>
      <c r="E43" s="353" t="str">
        <f>IF(SUM('DFP-CASH'!$C43:E43)&gt;SUM('DFP-Com'!$C41:F41),SUM('DFP-CASH'!$C43:E43)-SUM('DFP-Com'!$C41:F41),"ok")</f>
        <v>ok</v>
      </c>
      <c r="F43" s="353" t="str">
        <f>IF(SUM('DFP-CASH'!$C43:F43)&gt;SUM('DFP-Com'!$C41:G41),SUM('DFP-CASH'!$C43:F43)-SUM('DFP-Com'!$C41:G41),"ok")</f>
        <v>ok</v>
      </c>
      <c r="G43" s="353" t="str">
        <f>IF(SUM('DFP-CASH'!$C43:G43)&gt;SUM('DFP-Com'!$C41:G41),SUM('DFP-CASH'!$C43:G43)-SUM('DFP-Com'!$C41:G41),"ok")</f>
        <v>ok</v>
      </c>
      <c r="H43" s="353" t="e">
        <f>IF(SUM('DFP-CASH'!$C43:$G43)+('DFP-CASH'!#REF!)&gt;SUM('DFP-Com'!$C41:H41),SUM('DFP-CASH'!$C43:G43)-SUM('DFP-Com'!$C41:H41),"ok")</f>
        <v>#REF!</v>
      </c>
      <c r="I43" s="353" t="str">
        <f>IF(SUM('DFP-CASH'!$C43:$G43)+('DFP-CASH'!H43)&gt;SUM('DFP-Com'!$C41:I41),SUM('DFP-CASH'!$C43:H43)-SUM('DFP-Com'!$C41:I41),"ok")</f>
        <v>ok</v>
      </c>
      <c r="J43" s="353" t="str">
        <f>IF(SUM('DFP-CASH'!$C43:$G43)+('DFP-CASH'!I43)&gt;SUM('DFP-Com'!$C41:J41),SUM('DFP-CASH'!$C43:I43)-SUM('DFP-Com'!$C41:J41),"ok")</f>
        <v>ok</v>
      </c>
    </row>
    <row r="44" spans="1:10" x14ac:dyDescent="0.25">
      <c r="A44" s="57" t="s">
        <v>17</v>
      </c>
      <c r="B44" s="240">
        <f>IF('DFP-Com'!L42-'DFP-CASH'!L44=0,"ok",'DFP-Com'!L42-'DFP-CASH'!L44)</f>
        <v>1.1641532182693481E-10</v>
      </c>
      <c r="C44" s="353" t="str">
        <f>IF(SUM('DFP-CASH'!$C44:C44)&gt;SUM('DFP-Com'!$C42:D42),SUM('DFP-CASH'!$C44:C44)-SUM('DFP-Com'!$C42:D42),"ok")</f>
        <v>ok</v>
      </c>
      <c r="D44" s="353" t="str">
        <f>IF(SUM('DFP-CASH'!$C44:D44)&gt;SUM('DFP-Com'!$C42:E42),SUM('DFP-CASH'!$C44:D44)-SUM('DFP-Com'!$C42:E42),"ok")</f>
        <v>ok</v>
      </c>
      <c r="E44" s="353" t="str">
        <f>IF(SUM('DFP-CASH'!$C44:E44)&gt;SUM('DFP-Com'!$C42:F42),SUM('DFP-CASH'!$C44:E44)-SUM('DFP-Com'!$C42:F42),"ok")</f>
        <v>ok</v>
      </c>
      <c r="F44" s="353" t="str">
        <f>IF(SUM('DFP-CASH'!$C44:F44)&gt;SUM('DFP-Com'!$C42:G42),SUM('DFP-CASH'!$C44:F44)-SUM('DFP-Com'!$C42:G42),"ok")</f>
        <v>ok</v>
      </c>
      <c r="G44" s="353" t="str">
        <f>IF(SUM('DFP-CASH'!$C44:G44)&gt;SUM('DFP-Com'!$C42:G42),SUM('DFP-CASH'!$C44:G44)-SUM('DFP-Com'!$C42:G42),"ok")</f>
        <v>ok</v>
      </c>
      <c r="H44" s="353" t="e">
        <f>IF(SUM('DFP-CASH'!$C44:$G44)+('DFP-CASH'!#REF!)&gt;SUM('DFP-Com'!$C42:H42),SUM('DFP-CASH'!$C44:G44)-SUM('DFP-Com'!$C42:H42),"ok")</f>
        <v>#REF!</v>
      </c>
      <c r="I44" s="353" t="str">
        <f>IF(SUM('DFP-CASH'!$C44:$G44)+('DFP-CASH'!H44)&gt;SUM('DFP-Com'!$C42:I42),SUM('DFP-CASH'!$C44:H44)-SUM('DFP-Com'!$C42:I42),"ok")</f>
        <v>ok</v>
      </c>
      <c r="J44" s="353" t="str">
        <f>IF(SUM('DFP-CASH'!$C44:$G44)+('DFP-CASH'!I44)&gt;SUM('DFP-Com'!$C42:J42),SUM('DFP-CASH'!$C44:I44)-SUM('DFP-Com'!$C42:J42),"ok")</f>
        <v>ok</v>
      </c>
    </row>
    <row r="45" spans="1:10" x14ac:dyDescent="0.25">
      <c r="A45" s="52"/>
      <c r="B45" s="240" t="str">
        <f>IF('DFP-Com'!L43-'DFP-CASH'!L45=0,"ok",'DFP-Com'!L43-'DFP-CASH'!L45)</f>
        <v>ok</v>
      </c>
      <c r="C45" s="353" t="str">
        <f>IF(SUM('DFP-CASH'!$C45:C45)&gt;SUM('DFP-Com'!$C43:D43),SUM('DFP-CASH'!$C45:C45)-SUM('DFP-Com'!$C43:D43),"ok")</f>
        <v>ok</v>
      </c>
      <c r="D45" s="353" t="str">
        <f>IF(SUM('DFP-CASH'!$C45:D45)&gt;SUM('DFP-Com'!$C43:E43),SUM('DFP-CASH'!$C45:D45)-SUM('DFP-Com'!$C43:E43),"ok")</f>
        <v>ok</v>
      </c>
      <c r="E45" s="353" t="str">
        <f>IF(SUM('DFP-CASH'!$C45:E45)&gt;SUM('DFP-Com'!$C43:F43),SUM('DFP-CASH'!$C45:E45)-SUM('DFP-Com'!$C43:F43),"ok")</f>
        <v>ok</v>
      </c>
      <c r="F45" s="353" t="str">
        <f>IF(SUM('DFP-CASH'!$C45:F45)&gt;SUM('DFP-Com'!$C43:G43),SUM('DFP-CASH'!$C45:F45)-SUM('DFP-Com'!$C43:G43),"ok")</f>
        <v>ok</v>
      </c>
      <c r="G45" s="353" t="str">
        <f>IF(SUM('DFP-CASH'!$C45:G45)&gt;SUM('DFP-Com'!$C43:G43),SUM('DFP-CASH'!$C45:G45)-SUM('DFP-Com'!$C43:G43),"ok")</f>
        <v>ok</v>
      </c>
      <c r="H45" s="353" t="e">
        <f>IF(SUM('DFP-CASH'!$C45:$G45)+('DFP-CASH'!#REF!)&gt;SUM('DFP-Com'!$C43:H43),SUM('DFP-CASH'!$C45:G45)-SUM('DFP-Com'!$C43:H43),"ok")</f>
        <v>#REF!</v>
      </c>
      <c r="I45" s="353" t="str">
        <f>IF(SUM('DFP-CASH'!$C45:$G45)+('DFP-CASH'!H45)&gt;SUM('DFP-Com'!$C43:I43),SUM('DFP-CASH'!$C45:H45)-SUM('DFP-Com'!$C43:I43),"ok")</f>
        <v>ok</v>
      </c>
      <c r="J45" s="353" t="str">
        <f>IF(SUM('DFP-CASH'!$C45:$G45)+('DFP-CASH'!I45)&gt;SUM('DFP-Com'!$C43:J43),SUM('DFP-CASH'!$C45:I45)-SUM('DFP-Com'!$C43:J43),"ok")</f>
        <v>ok</v>
      </c>
    </row>
    <row r="46" spans="1:10" x14ac:dyDescent="0.25">
      <c r="A46" s="44" t="s">
        <v>75</v>
      </c>
      <c r="B46" s="240" t="str">
        <f>IF('DFP-Com'!L44-'DFP-CASH'!L46=0,"ok",'DFP-Com'!L44-'DFP-CASH'!L46)</f>
        <v>ok</v>
      </c>
      <c r="C46" s="353" t="str">
        <f>IF(SUM('DFP-CASH'!$C46:C46)&gt;SUM('DFP-Com'!$C44:D44),SUM('DFP-CASH'!$C46:C46)-SUM('DFP-Com'!$C44:D44),"ok")</f>
        <v>ok</v>
      </c>
      <c r="D46" s="353" t="str">
        <f>IF(SUM('DFP-CASH'!$C46:D46)&gt;SUM('DFP-Com'!$C44:E44),SUM('DFP-CASH'!$C46:D46)-SUM('DFP-Com'!$C44:E44),"ok")</f>
        <v>ok</v>
      </c>
      <c r="E46" s="353" t="str">
        <f>IF(SUM('DFP-CASH'!$C46:E46)&gt;SUM('DFP-Com'!$C44:F44),SUM('DFP-CASH'!$C46:E46)-SUM('DFP-Com'!$C44:F44),"ok")</f>
        <v>ok</v>
      </c>
      <c r="F46" s="353" t="str">
        <f>IF(SUM('DFP-CASH'!$C46:F46)&gt;SUM('DFP-Com'!$C44:G44),SUM('DFP-CASH'!$C46:F46)-SUM('DFP-Com'!$C44:G44),"ok")</f>
        <v>ok</v>
      </c>
      <c r="G46" s="353" t="str">
        <f>IF(SUM('DFP-CASH'!$C46:G46)&gt;SUM('DFP-Com'!$C44:G44),SUM('DFP-CASH'!$C46:G46)-SUM('DFP-Com'!$C44:G44),"ok")</f>
        <v>ok</v>
      </c>
      <c r="H46" s="353" t="e">
        <f>IF(SUM('DFP-CASH'!$C46:$G46)+('DFP-CASH'!#REF!)&gt;SUM('DFP-Com'!$C44:H44),SUM('DFP-CASH'!$C46:G46)-SUM('DFP-Com'!$C44:H44),"ok")</f>
        <v>#REF!</v>
      </c>
      <c r="I46" s="353" t="str">
        <f>IF(SUM('DFP-CASH'!$C46:$G46)+('DFP-CASH'!H46)&gt;SUM('DFP-Com'!$C44:I44),SUM('DFP-CASH'!$C46:H46)-SUM('DFP-Com'!$C44:I44),"ok")</f>
        <v>ok</v>
      </c>
      <c r="J46" s="353" t="str">
        <f>IF(SUM('DFP-CASH'!$C46:$G46)+('DFP-CASH'!I46)&gt;SUM('DFP-Com'!$C44:J44),SUM('DFP-CASH'!$C46:I46)-SUM('DFP-Com'!$C44:J44),"ok")</f>
        <v>ok</v>
      </c>
    </row>
    <row r="47" spans="1:10" x14ac:dyDescent="0.25">
      <c r="A47" s="64" t="s">
        <v>84</v>
      </c>
      <c r="B47" s="240">
        <f>IF('DFP-Com'!L45-'DFP-CASH'!L47=0,"ok",'DFP-Com'!L45-'DFP-CASH'!L47)</f>
        <v>-1.0000000002328306</v>
      </c>
      <c r="C47" s="353" t="str">
        <f>IF(SUM('DFP-CASH'!$C47:C47)&gt;SUM('DFP-Com'!$C45:D45),SUM('DFP-CASH'!$C47:C47)-SUM('DFP-Com'!$C45:D45),"ok")</f>
        <v>ok</v>
      </c>
      <c r="D47" s="353" t="str">
        <f>IF(SUM('DFP-CASH'!$C47:D47)&gt;SUM('DFP-Com'!$C45:E45),SUM('DFP-CASH'!$C47:D47)-SUM('DFP-Com'!$C45:E45),"ok")</f>
        <v>ok</v>
      </c>
      <c r="E47" s="353" t="str">
        <f>IF(SUM('DFP-CASH'!$C47:E47)&gt;SUM('DFP-Com'!$C45:F45),SUM('DFP-CASH'!$C47:E47)-SUM('DFP-Com'!$C45:F45),"ok")</f>
        <v>ok</v>
      </c>
      <c r="F47" s="353" t="str">
        <f>IF(SUM('DFP-CASH'!$C47:F47)&gt;SUM('DFP-Com'!$C45:G45),SUM('DFP-CASH'!$C47:F47)-SUM('DFP-Com'!$C45:G45),"ok")</f>
        <v>ok</v>
      </c>
      <c r="G47" s="353" t="str">
        <f>IF(SUM('DFP-CASH'!$C47:G47)&gt;SUM('DFP-Com'!$C45:G45),SUM('DFP-CASH'!$C47:G47)-SUM('DFP-Com'!$C45:G45),"ok")</f>
        <v>ok</v>
      </c>
      <c r="H47" s="353" t="e">
        <f>IF(SUM('DFP-CASH'!$C47:$G47)+('DFP-CASH'!#REF!)&gt;SUM('DFP-Com'!$C45:H45),SUM('DFP-CASH'!$C47:G47)-SUM('DFP-Com'!$C45:H45),"ok")</f>
        <v>#REF!</v>
      </c>
      <c r="I47" s="353" t="str">
        <f>IF(SUM('DFP-CASH'!$C47:$G47)+('DFP-CASH'!H47)&gt;SUM('DFP-Com'!$C45:I45),SUM('DFP-CASH'!$C47:H47)-SUM('DFP-Com'!$C45:I45),"ok")</f>
        <v>ok</v>
      </c>
      <c r="J47" s="353" t="str">
        <f>IF(SUM('DFP-CASH'!$C47:$G47)+('DFP-CASH'!I47)&gt;SUM('DFP-Com'!$C45:J45),SUM('DFP-CASH'!$C47:I47)-SUM('DFP-Com'!$C45:J45),"ok")</f>
        <v>ok</v>
      </c>
    </row>
    <row r="48" spans="1:10" x14ac:dyDescent="0.25">
      <c r="A48" s="207" t="s">
        <v>119</v>
      </c>
      <c r="B48" s="240">
        <f>IF('DFP-Com'!L46-'DFP-CASH'!L48=0,"ok",'DFP-Com'!L46-'DFP-CASH'!L48)</f>
        <v>-2.3283064365386963E-10</v>
      </c>
      <c r="C48" s="353" t="str">
        <f>IF(SUM('DFP-CASH'!$C48:C48)&gt;SUM('DFP-Com'!$C46:D46),SUM('DFP-CASH'!$C48:C48)-SUM('DFP-Com'!$C46:D46),"ok")</f>
        <v>ok</v>
      </c>
      <c r="D48" s="353" t="str">
        <f>IF(SUM('DFP-CASH'!$C48:G48)&gt;SUM('DFP-Com'!$C46:E46),SUM('DFP-CASH'!$C48:G48)-SUM('DFP-Com'!$C46:E46),"ok")</f>
        <v>ok</v>
      </c>
      <c r="E48" s="353" t="str">
        <f>IF(SUM('DFP-CASH'!$C48:G48)&gt;SUM('DFP-Com'!$C46:F46),SUM('DFP-CASH'!$C48:G48)-SUM('DFP-Com'!$C46:F46),"ok")</f>
        <v>ok</v>
      </c>
      <c r="F48" s="353" t="str">
        <f>IF(SUM('DFP-CASH'!$C48:G48)&gt;SUM('DFP-Com'!$C46:G46),SUM('DFP-CASH'!$C48:G48)-SUM('DFP-Com'!$C46:G46),"ok")</f>
        <v>ok</v>
      </c>
      <c r="G48" s="353" t="str">
        <f>IF(SUM('DFP-CASH'!$C48:G48)&gt;SUM('DFP-Com'!$C46:G46),SUM('DFP-CASH'!$C48:G48)-SUM('DFP-Com'!$C46:G46),"ok")</f>
        <v>ok</v>
      </c>
      <c r="H48" s="353" t="e">
        <f>IF(SUM('DFP-CASH'!$C48:$G48)+('DFP-CASH'!#REF!)&gt;SUM('DFP-Com'!$C46:H46),SUM('DFP-CASH'!$C48:G48)-SUM('DFP-Com'!$C46:H46),"ok")</f>
        <v>#REF!</v>
      </c>
      <c r="I48" s="353" t="str">
        <f>IF(SUM('DFP-CASH'!$C48:$G48)+('DFP-CASH'!H48)&gt;SUM('DFP-Com'!$C46:I46),SUM('DFP-CASH'!$C48:H48)-SUM('DFP-Com'!$C46:I46),"ok")</f>
        <v>ok</v>
      </c>
      <c r="J48" s="353" t="str">
        <f>IF(SUM('DFP-CASH'!$C48:$G48)+('DFP-CASH'!I48)&gt;SUM('DFP-Com'!$C46:J46),SUM('DFP-CASH'!$C48:I48)-SUM('DFP-Com'!$C46:J46),"ok")</f>
        <v>ok</v>
      </c>
    </row>
    <row r="49" spans="1:10" x14ac:dyDescent="0.25">
      <c r="A49" s="207" t="s">
        <v>120</v>
      </c>
      <c r="B49" s="240" t="str">
        <f>IF('DFP-Com'!L47-'DFP-CASH'!L49=0,"ok",'DFP-Com'!L47-'DFP-CASH'!L49)</f>
        <v>ok</v>
      </c>
      <c r="C49" s="353" t="str">
        <f>IF(SUM('DFP-CASH'!$C49:C49)&gt;SUM('DFP-Com'!$C47:G47),SUM('DFP-CASH'!$C49:C49)-SUM('DFP-Com'!$C47:G47),"ok")</f>
        <v>ok</v>
      </c>
      <c r="D49" s="353" t="str">
        <f>IF(SUM('DFP-CASH'!$C49:D49)&gt;SUM('DFP-Com'!$C47:G47),SUM('DFP-CASH'!$C49:D49)-SUM('DFP-Com'!$C47:G47),"ok")</f>
        <v>ok</v>
      </c>
      <c r="E49" s="353" t="str">
        <f>IF(SUM('DFP-CASH'!$C49:E49)&gt;SUM('DFP-Com'!$C47:G47),SUM('DFP-CASH'!$C49:E49)-SUM('DFP-Com'!$C47:G47),"ok")</f>
        <v>ok</v>
      </c>
      <c r="F49" s="353" t="str">
        <f>IF(SUM('DFP-CASH'!$C49:F49)&gt;SUM('DFP-Com'!$C47:G47),SUM('DFP-CASH'!$C49:F49)-SUM('DFP-Com'!$C47:G47),"ok")</f>
        <v>ok</v>
      </c>
      <c r="G49" s="353">
        <f>IF(SUM('DFP-CASH'!$C49:$G49)+('DFP-CASH'!G49)&gt;SUM('DFP-Com'!$C47:G47),SUM('DFP-CASH'!$C49:G49)-SUM('DFP-Com'!$C47:G47),"ok")</f>
        <v>0</v>
      </c>
      <c r="H49" s="353" t="e">
        <f>IF(SUM('DFP-CASH'!$C49:$G49)+('DFP-CASH'!#REF!)&gt;SUM('DFP-Com'!$C47:H47),SUM('DFP-CASH'!$C49:G49)-SUM('DFP-Com'!$C47:H47),"ok")</f>
        <v>#REF!</v>
      </c>
      <c r="I49" s="353" t="str">
        <f>IF(SUM('DFP-CASH'!$C49:$G49)+('DFP-CASH'!H49)&gt;SUM('DFP-Com'!$C47:I47),SUM('DFP-CASH'!$C49:H49)-SUM('DFP-Com'!$C47:I47),"ok")</f>
        <v>ok</v>
      </c>
      <c r="J49" s="353" t="str">
        <f>IF(SUM('DFP-CASH'!$C49:$G49)+('DFP-CASH'!I49)&gt;SUM('DFP-Com'!$C47:J47),SUM('DFP-CASH'!$C49:I49)-SUM('DFP-Com'!$C47:J47),"ok")</f>
        <v>ok</v>
      </c>
    </row>
    <row r="50" spans="1:10" x14ac:dyDescent="0.25">
      <c r="A50" s="207" t="s">
        <v>121</v>
      </c>
      <c r="B50" s="240">
        <f>IF('DFP-Com'!L48-'DFP-CASH'!L50=0,"ok",'DFP-Com'!L48-'DFP-CASH'!L50)</f>
        <v>4.3655745685100555E-11</v>
      </c>
      <c r="C50" s="353" t="str">
        <f>IF(SUM('DFP-CASH'!$C50:C50)&gt;SUM('DFP-Com'!$C48:D48),SUM('DFP-CASH'!$C50:C50)-SUM('DFP-Com'!$C48:D48),"ok")</f>
        <v>ok</v>
      </c>
      <c r="D50" s="353" t="str">
        <f>IF(SUM('DFP-CASH'!$C50:G50)&gt;SUM('DFP-Com'!$C48:E48),SUM('DFP-CASH'!$C50:G50)-SUM('DFP-Com'!$C48:E48),"ok")</f>
        <v>ok</v>
      </c>
      <c r="E50" s="353" t="str">
        <f>IF(SUM('DFP-CASH'!$C50:G50)&gt;SUM('DFP-Com'!$C48:F48),SUM('DFP-CASH'!$C50:G50)-SUM('DFP-Com'!$C48:F48),"ok")</f>
        <v>ok</v>
      </c>
      <c r="F50" s="353" t="str">
        <f>IF(SUM('DFP-CASH'!$C50:G50)&gt;SUM('DFP-Com'!$C48:G48),SUM('DFP-CASH'!$C50:G50)-SUM('DFP-Com'!$C48:G48),"ok")</f>
        <v>ok</v>
      </c>
      <c r="G50" s="353" t="str">
        <f>IF(SUM('DFP-CASH'!$C50:G50)&gt;SUM('DFP-Com'!$C48:G48),SUM('DFP-CASH'!$C50:G50)-SUM('DFP-Com'!$C48:G48),"ok")</f>
        <v>ok</v>
      </c>
      <c r="H50" s="353" t="e">
        <f>IF(SUM('DFP-CASH'!$C50:$G50)+('DFP-CASH'!#REF!)&gt;SUM('DFP-Com'!$C48:H48),SUM('DFP-CASH'!$C50:G50)-SUM('DFP-Com'!$C48:H48),"ok")</f>
        <v>#REF!</v>
      </c>
      <c r="I50" s="353" t="str">
        <f>IF(SUM('DFP-CASH'!$C50:$G50)+('DFP-CASH'!H50)&gt;SUM('DFP-Com'!$C48:I48),SUM('DFP-CASH'!$C50:H50)-SUM('DFP-Com'!$C48:I48),"ok")</f>
        <v>ok</v>
      </c>
      <c r="J50" s="353" t="str">
        <f>IF(SUM('DFP-CASH'!$C50:$G50)+('DFP-CASH'!I50)&gt;SUM('DFP-Com'!$C48:J48),SUM('DFP-CASH'!$C50:I50)-SUM('DFP-Com'!$C48:J48),"ok")</f>
        <v>ok</v>
      </c>
    </row>
    <row r="51" spans="1:10" x14ac:dyDescent="0.25">
      <c r="A51" s="207" t="s">
        <v>122</v>
      </c>
      <c r="B51" s="240">
        <f>IF('DFP-Com'!L49-'DFP-CASH'!L51=0,"ok",'DFP-Com'!L49-'DFP-CASH'!L51)</f>
        <v>-1</v>
      </c>
      <c r="C51" s="353" t="str">
        <f>IF(SUM('DFP-CASH'!$C51:C51)&gt;SUM('DFP-Com'!$C49:E49),SUM('DFP-CASH'!$C51:C51)-SUM('DFP-Com'!$C49:E49),"ok")</f>
        <v>ok</v>
      </c>
      <c r="D51" s="353" t="str">
        <f>IF(SUM('DFP-CASH'!$C51:D51)&gt;SUM('DFP-Com'!$C49:E49),SUM('DFP-CASH'!$C51:D51)-SUM('DFP-Com'!$C49:E49),"ok")</f>
        <v>ok</v>
      </c>
      <c r="E51" s="353" t="str">
        <f>IF(SUM('DFP-CASH'!$C51:E51)&gt;SUM('DFP-Com'!$C49:F49),SUM('DFP-CASH'!$C51:E51)-SUM('DFP-Com'!$C49:F49),"ok")</f>
        <v>ok</v>
      </c>
      <c r="F51" s="353" t="str">
        <f>IF(SUM('DFP-CASH'!$C51:F51)&gt;SUM('DFP-Com'!$C49:G49),SUM('DFP-CASH'!$C51:F51)-SUM('DFP-Com'!$C49:G49),"ok")</f>
        <v>ok</v>
      </c>
      <c r="G51" s="353" t="str">
        <f>IF(SUM('DFP-CASH'!$C51:G51)&gt;SUM('DFP-Com'!$C49:G49),SUM('DFP-CASH'!$C51:G51)-SUM('DFP-Com'!$C49:G49),"ok")</f>
        <v>ok</v>
      </c>
      <c r="H51" s="353" t="e">
        <f>IF(SUM('DFP-CASH'!$C51:$G51)+('DFP-CASH'!#REF!)&gt;SUM('DFP-Com'!$C49:H49),SUM('DFP-CASH'!$C51:G51)-SUM('DFP-Com'!$C49:H49),"ok")</f>
        <v>#REF!</v>
      </c>
      <c r="I51" s="353" t="str">
        <f>IF(SUM('DFP-CASH'!$C51:$G51)+('DFP-CASH'!H51)&gt;SUM('DFP-Com'!$C49:I49),SUM('DFP-CASH'!$C51:H51)-SUM('DFP-Com'!$C49:I49),"ok")</f>
        <v>ok</v>
      </c>
      <c r="J51" s="353" t="str">
        <f>IF(SUM('DFP-CASH'!$C51:$G51)+('DFP-CASH'!I51)&gt;SUM('DFP-Com'!$C49:J49),SUM('DFP-CASH'!$C51:I51)-SUM('DFP-Com'!$C49:J49),"ok")</f>
        <v>ok</v>
      </c>
    </row>
    <row r="52" spans="1:10" x14ac:dyDescent="0.25">
      <c r="A52" s="65" t="s">
        <v>83</v>
      </c>
      <c r="B52" s="240">
        <f>IF('DFP-Com'!L50-'DFP-CASH'!L52=0,"ok",'DFP-Com'!L50-'DFP-CASH'!L52)</f>
        <v>-1.0000000002328306</v>
      </c>
      <c r="C52" s="353" t="str">
        <f>IF(SUM('DFP-CASH'!$C52:C52)&gt;SUM('DFP-Com'!$C50:D50),SUM('DFP-CASH'!$C52:C52)-SUM('DFP-Com'!$C50:D50),"ok")</f>
        <v>ok</v>
      </c>
      <c r="D52" s="353" t="str">
        <f>IF(SUM('DFP-CASH'!$C52:D52)&gt;SUM('DFP-Com'!$C50:E50),SUM('DFP-CASH'!$C52:D52)-SUM('DFP-Com'!$C50:E50),"ok")</f>
        <v>ok</v>
      </c>
      <c r="E52" s="353" t="str">
        <f>IF(SUM('DFP-CASH'!$C52:E52)&gt;SUM('DFP-Com'!$C50:F50),SUM('DFP-CASH'!$C52:E52)-SUM('DFP-Com'!$C50:F50),"ok")</f>
        <v>ok</v>
      </c>
      <c r="F52" s="353" t="str">
        <f>IF(SUM('DFP-CASH'!$C52:F52)&gt;SUM('DFP-Com'!$C50:G50),SUM('DFP-CASH'!$C52:F52)-SUM('DFP-Com'!$C50:G50),"ok")</f>
        <v>ok</v>
      </c>
      <c r="G52" s="353" t="str">
        <f>IF(SUM('DFP-CASH'!$C52:G52)&gt;SUM('DFP-Com'!$C50:G50),SUM('DFP-CASH'!$C52:G52)-SUM('DFP-Com'!$C50:G50),"ok")</f>
        <v>ok</v>
      </c>
      <c r="H52" s="353" t="e">
        <f>IF(SUM('DFP-CASH'!$C52:$G52)+('DFP-CASH'!#REF!)&gt;SUM('DFP-Com'!$C50:H50),SUM('DFP-CASH'!$C52:G52)-SUM('DFP-Com'!$C50:H50),"ok")</f>
        <v>#REF!</v>
      </c>
      <c r="I52" s="353" t="str">
        <f>IF(SUM('DFP-CASH'!$C52:$G52)+('DFP-CASH'!H52)&gt;SUM('DFP-Com'!$C50:I50),SUM('DFP-CASH'!$C52:H52)-SUM('DFP-Com'!$C50:I50),"ok")</f>
        <v>ok</v>
      </c>
      <c r="J52" s="353" t="str">
        <f>IF(SUM('DFP-CASH'!$C52:$G52)+('DFP-CASH'!I52)&gt;SUM('DFP-Com'!$C50:J50),SUM('DFP-CASH'!$C52:I52)-SUM('DFP-Com'!$C50:J50),"ok")</f>
        <v>ok</v>
      </c>
    </row>
    <row r="53" spans="1:10" x14ac:dyDescent="0.25">
      <c r="A53" s="52"/>
      <c r="B53" s="240" t="str">
        <f>IF('DFP-Com'!L51-'DFP-CASH'!L53=0,"ok",'DFP-Com'!L51-'DFP-CASH'!L53)</f>
        <v>ok</v>
      </c>
      <c r="C53" s="353" t="str">
        <f>IF(SUM('DFP-CASH'!$C53:C53)&gt;SUM('DFP-Com'!$C51:D51),SUM('DFP-CASH'!$C53:C53)-SUM('DFP-Com'!$C51:D51),"ok")</f>
        <v>ok</v>
      </c>
      <c r="D53" s="353" t="str">
        <f>IF(SUM('DFP-CASH'!$C53:D53)&gt;SUM('DFP-Com'!$C51:E51),SUM('DFP-CASH'!$C53:D53)-SUM('DFP-Com'!$C51:E51),"ok")</f>
        <v>ok</v>
      </c>
      <c r="E53" s="353" t="str">
        <f>IF(SUM('DFP-CASH'!$C53:E53)&gt;SUM('DFP-Com'!$C51:F51),SUM('DFP-CASH'!$C53:E53)-SUM('DFP-Com'!$C51:F51),"ok")</f>
        <v>ok</v>
      </c>
      <c r="F53" s="353" t="str">
        <f>IF(SUM('DFP-CASH'!$C53:F53)&gt;SUM('DFP-Com'!$C51:G51),SUM('DFP-CASH'!$C53:F53)-SUM('DFP-Com'!$C51:G51),"ok")</f>
        <v>ok</v>
      </c>
      <c r="G53" s="353" t="str">
        <f>IF(SUM('DFP-CASH'!$C53:G53)&gt;SUM('DFP-Com'!$C51:G51),SUM('DFP-CASH'!$C53:G53)-SUM('DFP-Com'!$C51:G51),"ok")</f>
        <v>ok</v>
      </c>
      <c r="H53" s="353" t="e">
        <f>IF(SUM('DFP-CASH'!$C53:$G53)+('DFP-CASH'!#REF!)&gt;SUM('DFP-Com'!$C51:H51),SUM('DFP-CASH'!$C53:G53)-SUM('DFP-Com'!$C51:H51),"ok")</f>
        <v>#REF!</v>
      </c>
      <c r="I53" s="353" t="str">
        <f>IF(SUM('DFP-CASH'!$C53:$G53)+('DFP-CASH'!H53)&gt;SUM('DFP-Com'!$C51:I51),SUM('DFP-CASH'!$C53:H53)-SUM('DFP-Com'!$C51:I51),"ok")</f>
        <v>ok</v>
      </c>
      <c r="J53" s="353" t="str">
        <f>IF(SUM('DFP-CASH'!$C53:$G53)+('DFP-CASH'!I53)&gt;SUM('DFP-Com'!$C51:J51),SUM('DFP-CASH'!$C53:I53)-SUM('DFP-Com'!$C51:J51),"ok")</f>
        <v>ok</v>
      </c>
    </row>
    <row r="54" spans="1:10" ht="16.5" x14ac:dyDescent="0.25">
      <c r="A54" s="219" t="s">
        <v>115</v>
      </c>
    </row>
  </sheetData>
  <mergeCells count="1">
    <mergeCell ref="E15:G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x14ac:dyDescent="0.25"/>
  <cols>
    <col min="1" max="1" width="8.85546875" style="285"/>
    <col min="2" max="2" width="30.5703125" style="285" customWidth="1"/>
    <col min="3" max="3" width="51.42578125" style="285" customWidth="1"/>
    <col min="4" max="4" width="14" style="285" customWidth="1"/>
    <col min="5" max="5" width="13.140625" style="285" customWidth="1"/>
    <col min="6" max="6" width="12.42578125" style="285" customWidth="1"/>
    <col min="7" max="7" width="10.42578125" style="285" customWidth="1"/>
    <col min="8" max="8" width="10.42578125" style="302" customWidth="1"/>
    <col min="9" max="21" width="10.42578125" style="285" customWidth="1"/>
    <col min="22" max="23" width="14" style="285" customWidth="1"/>
    <col min="24" max="24" width="11" style="285" customWidth="1"/>
    <col min="25" max="34" width="10.42578125" style="285" customWidth="1"/>
    <col min="35" max="35" width="12.42578125" style="285" customWidth="1"/>
    <col min="36" max="37" width="10.42578125" style="285" customWidth="1"/>
    <col min="38" max="38" width="12.5703125" style="285" customWidth="1"/>
    <col min="39" max="39" width="8.85546875" style="285"/>
    <col min="40" max="41" width="11.42578125" style="285" customWidth="1"/>
    <col min="42" max="42" width="12.140625" style="285" customWidth="1"/>
    <col min="43" max="44" width="11.42578125" style="285" customWidth="1"/>
    <col min="45" max="45" width="12.42578125" style="285" customWidth="1"/>
    <col min="46" max="54" width="11.42578125" style="285" customWidth="1"/>
    <col min="55" max="55" width="8.85546875" style="285"/>
    <col min="56" max="56" width="11.5703125" style="285" customWidth="1"/>
    <col min="57" max="16384" width="8.85546875" style="285"/>
  </cols>
  <sheetData>
    <row r="1" spans="1:56" x14ac:dyDescent="0.25">
      <c r="D1" s="224">
        <f>SUM(D2:D55)</f>
        <v>23584570</v>
      </c>
      <c r="F1" s="285" t="s">
        <v>147</v>
      </c>
      <c r="U1" s="285" t="s">
        <v>161</v>
      </c>
      <c r="X1" s="228" t="s">
        <v>189</v>
      </c>
      <c r="Y1" s="228"/>
      <c r="Z1" s="228"/>
      <c r="AA1" s="228"/>
      <c r="AB1" s="228"/>
      <c r="AC1" s="228"/>
      <c r="AD1" s="228"/>
      <c r="AE1" s="228"/>
      <c r="AF1" s="228"/>
      <c r="AG1" s="228"/>
      <c r="AH1" s="228"/>
      <c r="AI1" s="228"/>
      <c r="AJ1" s="228"/>
      <c r="AK1" s="228"/>
      <c r="AL1" s="228"/>
      <c r="AM1" s="229"/>
      <c r="AN1" s="228" t="s">
        <v>190</v>
      </c>
      <c r="AO1" s="228"/>
      <c r="AP1" s="228"/>
      <c r="AQ1" s="228"/>
      <c r="AR1" s="228"/>
      <c r="AS1" s="228"/>
      <c r="AT1" s="228"/>
      <c r="AU1" s="228"/>
      <c r="AV1" s="228"/>
      <c r="AW1" s="228"/>
      <c r="AX1" s="228"/>
      <c r="AY1" s="228"/>
      <c r="AZ1" s="228"/>
      <c r="BA1" s="228"/>
      <c r="BB1" s="228"/>
    </row>
    <row r="2" spans="1:56" x14ac:dyDescent="0.25">
      <c r="A2" s="285" t="s">
        <v>123</v>
      </c>
      <c r="C2" s="285" t="s">
        <v>143</v>
      </c>
      <c r="D2" s="285" t="s">
        <v>145</v>
      </c>
      <c r="F2" s="222">
        <v>42552</v>
      </c>
      <c r="G2" s="222">
        <v>42644</v>
      </c>
      <c r="H2" s="303">
        <v>42736</v>
      </c>
      <c r="I2" s="222">
        <v>42826</v>
      </c>
      <c r="J2" s="222">
        <v>42917</v>
      </c>
      <c r="K2" s="222">
        <v>43009</v>
      </c>
      <c r="L2" s="222">
        <v>43101</v>
      </c>
      <c r="M2" s="222">
        <v>43191</v>
      </c>
      <c r="N2" s="222">
        <v>43282</v>
      </c>
      <c r="O2" s="222">
        <v>43374</v>
      </c>
      <c r="P2" s="222">
        <v>43466</v>
      </c>
      <c r="Q2" s="222">
        <v>43556</v>
      </c>
      <c r="R2" s="222">
        <v>43647</v>
      </c>
      <c r="S2" s="222">
        <v>43739</v>
      </c>
      <c r="T2" s="222">
        <v>43831</v>
      </c>
      <c r="X2" s="230">
        <v>42552</v>
      </c>
      <c r="Y2" s="230">
        <v>42644</v>
      </c>
      <c r="Z2" s="230">
        <v>42736</v>
      </c>
      <c r="AA2" s="230">
        <v>42826</v>
      </c>
      <c r="AB2" s="230">
        <v>42917</v>
      </c>
      <c r="AC2" s="230">
        <v>43009</v>
      </c>
      <c r="AD2" s="230">
        <v>43101</v>
      </c>
      <c r="AE2" s="230">
        <v>43191</v>
      </c>
      <c r="AF2" s="230">
        <v>43282</v>
      </c>
      <c r="AG2" s="230">
        <v>43374</v>
      </c>
      <c r="AH2" s="230">
        <v>43466</v>
      </c>
      <c r="AI2" s="230">
        <v>43556</v>
      </c>
      <c r="AJ2" s="230">
        <v>43647</v>
      </c>
      <c r="AK2" s="230">
        <v>43739</v>
      </c>
      <c r="AL2" s="230">
        <v>43831</v>
      </c>
      <c r="AM2" s="229"/>
      <c r="AN2" s="230">
        <v>42552</v>
      </c>
      <c r="AO2" s="230">
        <v>42644</v>
      </c>
      <c r="AP2" s="230">
        <v>42736</v>
      </c>
      <c r="AQ2" s="230">
        <v>42826</v>
      </c>
      <c r="AR2" s="230">
        <v>42917</v>
      </c>
      <c r="AS2" s="230">
        <v>43009</v>
      </c>
      <c r="AT2" s="230">
        <v>43101</v>
      </c>
      <c r="AU2" s="230">
        <v>43191</v>
      </c>
      <c r="AV2" s="230">
        <v>43282</v>
      </c>
      <c r="AW2" s="230">
        <v>43374</v>
      </c>
      <c r="AX2" s="230">
        <v>43466</v>
      </c>
      <c r="AY2" s="230">
        <v>43556</v>
      </c>
      <c r="AZ2" s="230">
        <v>43647</v>
      </c>
      <c r="BA2" s="230">
        <v>43739</v>
      </c>
      <c r="BB2" s="230">
        <v>43831</v>
      </c>
      <c r="BD2" s="285" t="s">
        <v>197</v>
      </c>
    </row>
    <row r="3" spans="1:56" x14ac:dyDescent="0.25">
      <c r="A3" s="285" t="s">
        <v>123</v>
      </c>
      <c r="C3" s="285" t="s">
        <v>143</v>
      </c>
      <c r="E3" s="285" t="s">
        <v>146</v>
      </c>
      <c r="F3" s="285" t="s">
        <v>144</v>
      </c>
      <c r="G3" s="285" t="s">
        <v>148</v>
      </c>
      <c r="H3" s="302" t="s">
        <v>149</v>
      </c>
      <c r="I3" s="285" t="s">
        <v>150</v>
      </c>
      <c r="J3" s="285" t="s">
        <v>151</v>
      </c>
      <c r="K3" s="285" t="s">
        <v>152</v>
      </c>
      <c r="L3" s="285" t="s">
        <v>153</v>
      </c>
      <c r="M3" s="285" t="s">
        <v>154</v>
      </c>
      <c r="N3" s="285" t="s">
        <v>155</v>
      </c>
      <c r="O3" s="285" t="s">
        <v>156</v>
      </c>
      <c r="P3" s="285" t="s">
        <v>157</v>
      </c>
      <c r="Q3" s="285" t="s">
        <v>158</v>
      </c>
      <c r="R3" s="285" t="s">
        <v>159</v>
      </c>
      <c r="S3" s="285" t="s">
        <v>160</v>
      </c>
      <c r="T3" s="285" t="s">
        <v>162</v>
      </c>
      <c r="X3" s="228" t="s">
        <v>144</v>
      </c>
      <c r="Y3" s="228" t="s">
        <v>148</v>
      </c>
      <c r="Z3" s="228" t="s">
        <v>149</v>
      </c>
      <c r="AA3" s="228" t="s">
        <v>150</v>
      </c>
      <c r="AB3" s="228" t="s">
        <v>151</v>
      </c>
      <c r="AC3" s="228" t="s">
        <v>152</v>
      </c>
      <c r="AD3" s="228" t="s">
        <v>153</v>
      </c>
      <c r="AE3" s="228" t="s">
        <v>154</v>
      </c>
      <c r="AF3" s="228" t="s">
        <v>155</v>
      </c>
      <c r="AG3" s="228" t="s">
        <v>156</v>
      </c>
      <c r="AH3" s="228" t="s">
        <v>157</v>
      </c>
      <c r="AI3" s="228" t="s">
        <v>158</v>
      </c>
      <c r="AJ3" s="228" t="s">
        <v>159</v>
      </c>
      <c r="AK3" s="228" t="s">
        <v>160</v>
      </c>
      <c r="AL3" s="228" t="s">
        <v>162</v>
      </c>
      <c r="AM3" s="229"/>
      <c r="AN3" s="228" t="s">
        <v>144</v>
      </c>
      <c r="AO3" s="228" t="s">
        <v>148</v>
      </c>
      <c r="AP3" s="228" t="s">
        <v>149</v>
      </c>
      <c r="AQ3" s="228" t="s">
        <v>150</v>
      </c>
      <c r="AR3" s="228" t="s">
        <v>151</v>
      </c>
      <c r="AS3" s="228" t="s">
        <v>152</v>
      </c>
      <c r="AT3" s="228" t="s">
        <v>153</v>
      </c>
      <c r="AU3" s="228" t="s">
        <v>154</v>
      </c>
      <c r="AV3" s="228" t="s">
        <v>155</v>
      </c>
      <c r="AW3" s="228" t="s">
        <v>156</v>
      </c>
      <c r="AX3" s="228" t="s">
        <v>157</v>
      </c>
      <c r="AY3" s="228" t="s">
        <v>158</v>
      </c>
      <c r="AZ3" s="228" t="s">
        <v>159</v>
      </c>
      <c r="BA3" s="228" t="s">
        <v>160</v>
      </c>
      <c r="BB3" s="228" t="s">
        <v>162</v>
      </c>
    </row>
    <row r="4" spans="1:56" x14ac:dyDescent="0.25">
      <c r="A4" s="285" t="s">
        <v>124</v>
      </c>
      <c r="B4" s="233" t="str">
        <f>VLOOKUP(A4,'DFP-Com'!$A$16:$B$50,2,1)</f>
        <v xml:space="preserve">     1.1.a  Education Project Implementation Contract</v>
      </c>
      <c r="C4" s="285" t="s">
        <v>228</v>
      </c>
      <c r="D4" s="313">
        <v>8500000</v>
      </c>
      <c r="E4" s="285" t="s">
        <v>163</v>
      </c>
      <c r="H4" s="304"/>
      <c r="I4" s="223">
        <v>0.03</v>
      </c>
      <c r="J4" s="223">
        <v>0.05</v>
      </c>
      <c r="K4" s="223">
        <v>0.05</v>
      </c>
      <c r="L4" s="223">
        <v>0.05</v>
      </c>
      <c r="M4" s="223">
        <v>0.1</v>
      </c>
      <c r="N4" s="223">
        <v>0.1</v>
      </c>
      <c r="O4" s="223">
        <v>0.1</v>
      </c>
      <c r="P4" s="223">
        <v>0.1</v>
      </c>
      <c r="Q4" s="223">
        <v>0.1</v>
      </c>
      <c r="R4" s="223">
        <v>0.1</v>
      </c>
      <c r="S4" s="223">
        <v>0.1</v>
      </c>
      <c r="T4" s="223">
        <v>0.12</v>
      </c>
      <c r="U4" s="288">
        <f t="shared" ref="U4:U38" si="0">SUM(F4:T4)</f>
        <v>0.99999999999999989</v>
      </c>
      <c r="X4" s="290">
        <f t="shared" ref="X4:AL20" si="1">F4*$D4</f>
        <v>0</v>
      </c>
      <c r="Y4" s="290">
        <f t="shared" si="1"/>
        <v>0</v>
      </c>
      <c r="Z4" s="290">
        <f t="shared" si="1"/>
        <v>0</v>
      </c>
      <c r="AA4" s="290">
        <f t="shared" si="1"/>
        <v>255000</v>
      </c>
      <c r="AB4" s="290">
        <f t="shared" si="1"/>
        <v>425000</v>
      </c>
      <c r="AC4" s="290">
        <f t="shared" si="1"/>
        <v>425000</v>
      </c>
      <c r="AD4" s="290">
        <f t="shared" si="1"/>
        <v>425000</v>
      </c>
      <c r="AE4" s="290">
        <f t="shared" si="1"/>
        <v>850000</v>
      </c>
      <c r="AF4" s="290">
        <f t="shared" si="1"/>
        <v>850000</v>
      </c>
      <c r="AG4" s="290">
        <f t="shared" si="1"/>
        <v>850000</v>
      </c>
      <c r="AH4" s="290">
        <f t="shared" si="1"/>
        <v>850000</v>
      </c>
      <c r="AI4" s="290">
        <f t="shared" si="1"/>
        <v>850000</v>
      </c>
      <c r="AJ4" s="290">
        <f t="shared" si="1"/>
        <v>850000</v>
      </c>
      <c r="AK4" s="290">
        <f t="shared" si="1"/>
        <v>850000</v>
      </c>
      <c r="AL4" s="290">
        <f t="shared" si="1"/>
        <v>1020000</v>
      </c>
      <c r="AM4" s="229"/>
      <c r="AN4" s="290">
        <f t="shared" ref="AN4:BB19" si="2">IF(AN$3=$E4,$D4,0)</f>
        <v>0</v>
      </c>
      <c r="AO4" s="290">
        <f t="shared" si="2"/>
        <v>0</v>
      </c>
      <c r="AP4" s="290">
        <f t="shared" si="2"/>
        <v>8500000</v>
      </c>
      <c r="AQ4" s="290">
        <f t="shared" si="2"/>
        <v>0</v>
      </c>
      <c r="AR4" s="290">
        <f t="shared" si="2"/>
        <v>0</v>
      </c>
      <c r="AS4" s="290">
        <f t="shared" si="2"/>
        <v>0</v>
      </c>
      <c r="AT4" s="290">
        <f t="shared" si="2"/>
        <v>0</v>
      </c>
      <c r="AU4" s="290">
        <f t="shared" si="2"/>
        <v>0</v>
      </c>
      <c r="AV4" s="290">
        <f t="shared" si="2"/>
        <v>0</v>
      </c>
      <c r="AW4" s="290">
        <f t="shared" si="2"/>
        <v>0</v>
      </c>
      <c r="AX4" s="290">
        <f t="shared" si="2"/>
        <v>0</v>
      </c>
      <c r="AY4" s="290">
        <f t="shared" si="2"/>
        <v>0</v>
      </c>
      <c r="AZ4" s="290">
        <f t="shared" si="2"/>
        <v>0</v>
      </c>
      <c r="BA4" s="290">
        <f t="shared" si="2"/>
        <v>0</v>
      </c>
      <c r="BB4" s="290">
        <f t="shared" si="2"/>
        <v>0</v>
      </c>
      <c r="BD4" s="289">
        <f t="shared" ref="BD4:BD27" si="3">SUM(X4:AL4)-SUM(AN4:BB4)</f>
        <v>0</v>
      </c>
    </row>
    <row r="5" spans="1:56" x14ac:dyDescent="0.25">
      <c r="A5" s="285" t="s">
        <v>124</v>
      </c>
      <c r="B5" s="233" t="str">
        <f>VLOOKUP(A5,'DFP-Com'!$A$16:$B$50,2,1)</f>
        <v xml:space="preserve">     1.1.a  Education Project Implementation Contract</v>
      </c>
      <c r="C5" s="285" t="s">
        <v>166</v>
      </c>
      <c r="D5" s="312">
        <v>200000</v>
      </c>
      <c r="E5" s="285" t="s">
        <v>177</v>
      </c>
      <c r="L5" s="288">
        <v>0.25</v>
      </c>
      <c r="M5" s="288">
        <v>0.25</v>
      </c>
      <c r="N5" s="288">
        <v>0.25</v>
      </c>
      <c r="O5" s="288">
        <v>0.25</v>
      </c>
      <c r="U5" s="288">
        <f t="shared" si="0"/>
        <v>1</v>
      </c>
      <c r="X5" s="290">
        <f t="shared" si="1"/>
        <v>0</v>
      </c>
      <c r="Y5" s="290">
        <f t="shared" si="1"/>
        <v>0</v>
      </c>
      <c r="Z5" s="290">
        <f t="shared" si="1"/>
        <v>0</v>
      </c>
      <c r="AA5" s="290">
        <f t="shared" si="1"/>
        <v>0</v>
      </c>
      <c r="AB5" s="290">
        <f t="shared" si="1"/>
        <v>0</v>
      </c>
      <c r="AC5" s="290">
        <f t="shared" si="1"/>
        <v>0</v>
      </c>
      <c r="AD5" s="290">
        <f t="shared" si="1"/>
        <v>50000</v>
      </c>
      <c r="AE5" s="290">
        <f t="shared" si="1"/>
        <v>50000</v>
      </c>
      <c r="AF5" s="290">
        <f t="shared" si="1"/>
        <v>50000</v>
      </c>
      <c r="AG5" s="290">
        <f t="shared" si="1"/>
        <v>50000</v>
      </c>
      <c r="AH5" s="290">
        <f t="shared" si="1"/>
        <v>0</v>
      </c>
      <c r="AI5" s="290">
        <f t="shared" si="1"/>
        <v>0</v>
      </c>
      <c r="AJ5" s="290">
        <f t="shared" si="1"/>
        <v>0</v>
      </c>
      <c r="AK5" s="290">
        <f t="shared" si="1"/>
        <v>0</v>
      </c>
      <c r="AL5" s="290">
        <f t="shared" si="1"/>
        <v>0</v>
      </c>
      <c r="AM5" s="229"/>
      <c r="AN5" s="290">
        <f t="shared" si="2"/>
        <v>0</v>
      </c>
      <c r="AO5" s="290">
        <f t="shared" si="2"/>
        <v>0</v>
      </c>
      <c r="AP5" s="290">
        <f t="shared" si="2"/>
        <v>0</v>
      </c>
      <c r="AQ5" s="290">
        <f t="shared" si="2"/>
        <v>0</v>
      </c>
      <c r="AR5" s="290">
        <f t="shared" si="2"/>
        <v>0</v>
      </c>
      <c r="AS5" s="290">
        <f t="shared" si="2"/>
        <v>0</v>
      </c>
      <c r="AT5" s="290">
        <f t="shared" si="2"/>
        <v>200000</v>
      </c>
      <c r="AU5" s="290">
        <f t="shared" si="2"/>
        <v>0</v>
      </c>
      <c r="AV5" s="290">
        <f t="shared" si="2"/>
        <v>0</v>
      </c>
      <c r="AW5" s="290">
        <f t="shared" si="2"/>
        <v>0</v>
      </c>
      <c r="AX5" s="290">
        <f t="shared" si="2"/>
        <v>0</v>
      </c>
      <c r="AY5" s="290">
        <f t="shared" si="2"/>
        <v>0</v>
      </c>
      <c r="AZ5" s="290">
        <f t="shared" si="2"/>
        <v>0</v>
      </c>
      <c r="BA5" s="290">
        <f t="shared" si="2"/>
        <v>0</v>
      </c>
      <c r="BB5" s="290">
        <f t="shared" si="2"/>
        <v>0</v>
      </c>
      <c r="BD5" s="289">
        <f t="shared" si="3"/>
        <v>0</v>
      </c>
    </row>
    <row r="6" spans="1:56" x14ac:dyDescent="0.25">
      <c r="A6" s="285" t="s">
        <v>125</v>
      </c>
      <c r="B6" s="233" t="str">
        <f>VLOOKUP(A6,'DFP-Com'!$A$16:$B$50,2,1)</f>
        <v xml:space="preserve">     1.1.b  Grants to Universities for Teacher Training (Diplomados)</v>
      </c>
      <c r="C6" s="285" t="s">
        <v>164</v>
      </c>
      <c r="D6" s="224">
        <v>3000000</v>
      </c>
      <c r="E6" s="285" t="s">
        <v>165</v>
      </c>
      <c r="H6" s="304"/>
      <c r="I6" s="223"/>
      <c r="J6" s="223"/>
      <c r="K6" s="223"/>
      <c r="L6" s="223">
        <v>0.125</v>
      </c>
      <c r="M6" s="223">
        <v>0.125</v>
      </c>
      <c r="N6" s="223">
        <v>0.125</v>
      </c>
      <c r="O6" s="223">
        <v>0.125</v>
      </c>
      <c r="P6" s="223">
        <v>0.125</v>
      </c>
      <c r="Q6" s="223">
        <v>0.125</v>
      </c>
      <c r="R6" s="223">
        <v>0.125</v>
      </c>
      <c r="S6" s="223">
        <v>0.125</v>
      </c>
      <c r="T6" s="288"/>
      <c r="U6" s="288">
        <f t="shared" si="0"/>
        <v>1</v>
      </c>
      <c r="X6" s="290">
        <f t="shared" si="1"/>
        <v>0</v>
      </c>
      <c r="Y6" s="290">
        <f t="shared" si="1"/>
        <v>0</v>
      </c>
      <c r="Z6" s="290">
        <f t="shared" si="1"/>
        <v>0</v>
      </c>
      <c r="AA6" s="290">
        <f t="shared" si="1"/>
        <v>0</v>
      </c>
      <c r="AB6" s="290">
        <f t="shared" si="1"/>
        <v>0</v>
      </c>
      <c r="AC6" s="290">
        <f t="shared" si="1"/>
        <v>0</v>
      </c>
      <c r="AD6" s="290">
        <f t="shared" si="1"/>
        <v>375000</v>
      </c>
      <c r="AE6" s="290">
        <f t="shared" si="1"/>
        <v>375000</v>
      </c>
      <c r="AF6" s="290">
        <f t="shared" si="1"/>
        <v>375000</v>
      </c>
      <c r="AG6" s="290">
        <f t="shared" si="1"/>
        <v>375000</v>
      </c>
      <c r="AH6" s="290">
        <f t="shared" si="1"/>
        <v>375000</v>
      </c>
      <c r="AI6" s="290">
        <f t="shared" si="1"/>
        <v>375000</v>
      </c>
      <c r="AJ6" s="290">
        <f t="shared" si="1"/>
        <v>375000</v>
      </c>
      <c r="AK6" s="290">
        <f t="shared" si="1"/>
        <v>375000</v>
      </c>
      <c r="AL6" s="290">
        <f t="shared" si="1"/>
        <v>0</v>
      </c>
      <c r="AM6" s="229"/>
      <c r="AN6" s="290">
        <f t="shared" si="2"/>
        <v>0</v>
      </c>
      <c r="AO6" s="290">
        <f t="shared" si="2"/>
        <v>0</v>
      </c>
      <c r="AP6" s="290">
        <f t="shared" si="2"/>
        <v>0</v>
      </c>
      <c r="AQ6" s="290">
        <f t="shared" si="2"/>
        <v>0</v>
      </c>
      <c r="AR6" s="290">
        <f t="shared" si="2"/>
        <v>0</v>
      </c>
      <c r="AS6" s="290">
        <f t="shared" si="2"/>
        <v>3000000</v>
      </c>
      <c r="AT6" s="290">
        <f t="shared" si="2"/>
        <v>0</v>
      </c>
      <c r="AU6" s="290">
        <f t="shared" si="2"/>
        <v>0</v>
      </c>
      <c r="AV6" s="290">
        <f t="shared" si="2"/>
        <v>0</v>
      </c>
      <c r="AW6" s="290">
        <f t="shared" si="2"/>
        <v>0</v>
      </c>
      <c r="AX6" s="290">
        <f t="shared" si="2"/>
        <v>0</v>
      </c>
      <c r="AY6" s="290">
        <f t="shared" si="2"/>
        <v>0</v>
      </c>
      <c r="AZ6" s="290">
        <f t="shared" si="2"/>
        <v>0</v>
      </c>
      <c r="BA6" s="290">
        <f t="shared" si="2"/>
        <v>0</v>
      </c>
      <c r="BB6" s="290">
        <f t="shared" si="2"/>
        <v>0</v>
      </c>
      <c r="BD6" s="289">
        <f t="shared" si="3"/>
        <v>0</v>
      </c>
    </row>
    <row r="7" spans="1:56" x14ac:dyDescent="0.25">
      <c r="A7" s="285" t="s">
        <v>127</v>
      </c>
      <c r="B7" s="233" t="str">
        <f>VLOOKUP(A7,'DFP-Com'!$A$16:$B$50,2,1)</f>
        <v xml:space="preserve">     1.2.a  TVET</v>
      </c>
      <c r="C7" s="235" t="s">
        <v>202</v>
      </c>
      <c r="D7" s="291">
        <v>4000000</v>
      </c>
      <c r="E7" s="285" t="s">
        <v>192</v>
      </c>
      <c r="J7" s="288">
        <v>0.05</v>
      </c>
      <c r="K7" s="288">
        <v>0.1</v>
      </c>
      <c r="L7" s="288">
        <v>0.1</v>
      </c>
      <c r="M7" s="288">
        <v>0.1</v>
      </c>
      <c r="N7" s="288">
        <v>0.1</v>
      </c>
      <c r="O7" s="288">
        <v>0.1</v>
      </c>
      <c r="P7" s="288">
        <v>0.1</v>
      </c>
      <c r="Q7" s="288">
        <v>0.1</v>
      </c>
      <c r="R7" s="288">
        <v>0.1</v>
      </c>
      <c r="S7" s="288">
        <v>0.1</v>
      </c>
      <c r="T7" s="288">
        <v>0.05</v>
      </c>
      <c r="U7" s="288">
        <f t="shared" si="0"/>
        <v>0.99999999999999989</v>
      </c>
      <c r="X7" s="290">
        <f t="shared" si="1"/>
        <v>0</v>
      </c>
      <c r="Y7" s="290">
        <f t="shared" si="1"/>
        <v>0</v>
      </c>
      <c r="Z7" s="290">
        <f t="shared" si="1"/>
        <v>0</v>
      </c>
      <c r="AA7" s="290">
        <f t="shared" si="1"/>
        <v>0</v>
      </c>
      <c r="AB7" s="290">
        <f t="shared" si="1"/>
        <v>200000</v>
      </c>
      <c r="AC7" s="290">
        <f t="shared" si="1"/>
        <v>400000</v>
      </c>
      <c r="AD7" s="290">
        <f t="shared" si="1"/>
        <v>400000</v>
      </c>
      <c r="AE7" s="290">
        <f t="shared" si="1"/>
        <v>400000</v>
      </c>
      <c r="AF7" s="290">
        <f t="shared" si="1"/>
        <v>400000</v>
      </c>
      <c r="AG7" s="290">
        <f t="shared" si="1"/>
        <v>400000</v>
      </c>
      <c r="AH7" s="290">
        <f t="shared" si="1"/>
        <v>400000</v>
      </c>
      <c r="AI7" s="290">
        <f t="shared" si="1"/>
        <v>400000</v>
      </c>
      <c r="AJ7" s="290">
        <f t="shared" si="1"/>
        <v>400000</v>
      </c>
      <c r="AK7" s="290">
        <f t="shared" si="1"/>
        <v>400000</v>
      </c>
      <c r="AL7" s="290">
        <f t="shared" si="1"/>
        <v>200000</v>
      </c>
      <c r="AM7" s="229"/>
      <c r="AN7" s="290">
        <f t="shared" si="2"/>
        <v>0</v>
      </c>
      <c r="AO7" s="290">
        <f t="shared" si="2"/>
        <v>0</v>
      </c>
      <c r="AP7" s="290">
        <f t="shared" si="2"/>
        <v>0</v>
      </c>
      <c r="AQ7" s="290">
        <f t="shared" si="2"/>
        <v>0</v>
      </c>
      <c r="AR7" s="290">
        <f t="shared" si="2"/>
        <v>4000000</v>
      </c>
      <c r="AS7" s="290">
        <f t="shared" si="2"/>
        <v>0</v>
      </c>
      <c r="AT7" s="290">
        <f t="shared" si="2"/>
        <v>0</v>
      </c>
      <c r="AU7" s="290">
        <f t="shared" si="2"/>
        <v>0</v>
      </c>
      <c r="AV7" s="290">
        <f t="shared" si="2"/>
        <v>0</v>
      </c>
      <c r="AW7" s="290">
        <f t="shared" si="2"/>
        <v>0</v>
      </c>
      <c r="AX7" s="290">
        <f t="shared" si="2"/>
        <v>0</v>
      </c>
      <c r="AY7" s="290">
        <f t="shared" si="2"/>
        <v>0</v>
      </c>
      <c r="AZ7" s="290">
        <f t="shared" si="2"/>
        <v>0</v>
      </c>
      <c r="BA7" s="290">
        <f t="shared" si="2"/>
        <v>0</v>
      </c>
      <c r="BB7" s="290">
        <f t="shared" si="2"/>
        <v>0</v>
      </c>
      <c r="BD7" s="289">
        <f t="shared" si="3"/>
        <v>0</v>
      </c>
    </row>
    <row r="8" spans="1:56" x14ac:dyDescent="0.25">
      <c r="A8" s="285" t="s">
        <v>128</v>
      </c>
      <c r="B8" s="233" t="str">
        <f>VLOOKUP(A8,'DFP-Com'!$A$16:$B$50,2,1)</f>
        <v xml:space="preserve">     1.3.a  Education Project Implementation Contract</v>
      </c>
      <c r="C8" s="285" t="s">
        <v>227</v>
      </c>
      <c r="D8" s="313">
        <v>2500000</v>
      </c>
      <c r="E8" s="285" t="s">
        <v>163</v>
      </c>
      <c r="H8" s="304"/>
      <c r="I8" s="223">
        <v>0.03</v>
      </c>
      <c r="J8" s="223">
        <v>0.05</v>
      </c>
      <c r="K8" s="223">
        <v>0.05</v>
      </c>
      <c r="L8" s="223">
        <v>0.05</v>
      </c>
      <c r="M8" s="223">
        <v>0.1</v>
      </c>
      <c r="N8" s="223">
        <v>0.1</v>
      </c>
      <c r="O8" s="223">
        <v>0.1</v>
      </c>
      <c r="P8" s="223">
        <v>0.1</v>
      </c>
      <c r="Q8" s="223">
        <v>0.1</v>
      </c>
      <c r="R8" s="223">
        <v>0.1</v>
      </c>
      <c r="S8" s="223">
        <v>0.1</v>
      </c>
      <c r="T8" s="223">
        <v>0.12</v>
      </c>
      <c r="U8" s="288">
        <f t="shared" si="0"/>
        <v>0.99999999999999989</v>
      </c>
      <c r="X8" s="290">
        <f t="shared" si="1"/>
        <v>0</v>
      </c>
      <c r="Y8" s="290">
        <f t="shared" si="1"/>
        <v>0</v>
      </c>
      <c r="Z8" s="290">
        <f t="shared" si="1"/>
        <v>0</v>
      </c>
      <c r="AA8" s="290">
        <f t="shared" si="1"/>
        <v>75000</v>
      </c>
      <c r="AB8" s="290">
        <f t="shared" si="1"/>
        <v>125000</v>
      </c>
      <c r="AC8" s="290">
        <f t="shared" si="1"/>
        <v>125000</v>
      </c>
      <c r="AD8" s="290">
        <f t="shared" si="1"/>
        <v>125000</v>
      </c>
      <c r="AE8" s="290">
        <f t="shared" si="1"/>
        <v>250000</v>
      </c>
      <c r="AF8" s="290">
        <f t="shared" si="1"/>
        <v>250000</v>
      </c>
      <c r="AG8" s="290">
        <f t="shared" si="1"/>
        <v>250000</v>
      </c>
      <c r="AH8" s="290">
        <f t="shared" si="1"/>
        <v>250000</v>
      </c>
      <c r="AI8" s="290">
        <f t="shared" si="1"/>
        <v>250000</v>
      </c>
      <c r="AJ8" s="290">
        <f t="shared" si="1"/>
        <v>250000</v>
      </c>
      <c r="AK8" s="290">
        <f t="shared" si="1"/>
        <v>250000</v>
      </c>
      <c r="AL8" s="290">
        <f t="shared" si="1"/>
        <v>300000</v>
      </c>
      <c r="AM8" s="229"/>
      <c r="AN8" s="290">
        <f t="shared" si="2"/>
        <v>0</v>
      </c>
      <c r="AO8" s="290">
        <f t="shared" si="2"/>
        <v>0</v>
      </c>
      <c r="AP8" s="290">
        <f t="shared" si="2"/>
        <v>2500000</v>
      </c>
      <c r="AQ8" s="290">
        <f t="shared" si="2"/>
        <v>0</v>
      </c>
      <c r="AR8" s="290">
        <f t="shared" si="2"/>
        <v>0</v>
      </c>
      <c r="AS8" s="290">
        <f t="shared" si="2"/>
        <v>0</v>
      </c>
      <c r="AT8" s="290">
        <f t="shared" si="2"/>
        <v>0</v>
      </c>
      <c r="AU8" s="290">
        <f t="shared" si="2"/>
        <v>0</v>
      </c>
      <c r="AV8" s="290">
        <f t="shared" si="2"/>
        <v>0</v>
      </c>
      <c r="AW8" s="290">
        <f t="shared" si="2"/>
        <v>0</v>
      </c>
      <c r="AX8" s="290">
        <f t="shared" si="2"/>
        <v>0</v>
      </c>
      <c r="AY8" s="290">
        <f t="shared" si="2"/>
        <v>0</v>
      </c>
      <c r="AZ8" s="290">
        <f t="shared" si="2"/>
        <v>0</v>
      </c>
      <c r="BA8" s="290">
        <f t="shared" si="2"/>
        <v>0</v>
      </c>
      <c r="BB8" s="290">
        <f t="shared" si="2"/>
        <v>0</v>
      </c>
      <c r="BD8" s="289">
        <f t="shared" si="3"/>
        <v>0</v>
      </c>
    </row>
    <row r="9" spans="1:56" x14ac:dyDescent="0.25">
      <c r="A9" s="285" t="s">
        <v>131</v>
      </c>
      <c r="B9" s="297" t="str">
        <f>VLOOKUP(A9,'DFP-Com'!$A$16:$B$50,2,1)</f>
        <v xml:space="preserve">     2.1.a  Tax and Customs</v>
      </c>
      <c r="C9" s="285" t="s">
        <v>209</v>
      </c>
      <c r="D9" s="224">
        <v>140000</v>
      </c>
      <c r="E9" s="285" t="s">
        <v>195</v>
      </c>
      <c r="G9" s="288"/>
      <c r="H9" s="305"/>
      <c r="I9" s="288">
        <v>0.25</v>
      </c>
      <c r="J9" s="288">
        <v>0.25</v>
      </c>
      <c r="K9" s="288">
        <v>0.25</v>
      </c>
      <c r="L9" s="288">
        <v>0.25</v>
      </c>
      <c r="M9" s="288"/>
      <c r="N9" s="288"/>
      <c r="O9" s="288"/>
      <c r="P9" s="288"/>
      <c r="Q9" s="288"/>
      <c r="U9" s="288">
        <f t="shared" si="0"/>
        <v>1</v>
      </c>
      <c r="X9" s="290">
        <f t="shared" si="1"/>
        <v>0</v>
      </c>
      <c r="Y9" s="290">
        <f t="shared" si="1"/>
        <v>0</v>
      </c>
      <c r="Z9" s="290">
        <f t="shared" si="1"/>
        <v>0</v>
      </c>
      <c r="AA9" s="290">
        <f t="shared" si="1"/>
        <v>35000</v>
      </c>
      <c r="AB9" s="290">
        <f t="shared" si="1"/>
        <v>35000</v>
      </c>
      <c r="AC9" s="290">
        <f t="shared" si="1"/>
        <v>35000</v>
      </c>
      <c r="AD9" s="290">
        <f t="shared" si="1"/>
        <v>35000</v>
      </c>
      <c r="AE9" s="290">
        <f t="shared" si="1"/>
        <v>0</v>
      </c>
      <c r="AF9" s="290">
        <f t="shared" si="1"/>
        <v>0</v>
      </c>
      <c r="AG9" s="290">
        <f t="shared" si="1"/>
        <v>0</v>
      </c>
      <c r="AH9" s="290">
        <f t="shared" si="1"/>
        <v>0</v>
      </c>
      <c r="AI9" s="290">
        <f t="shared" si="1"/>
        <v>0</v>
      </c>
      <c r="AJ9" s="290">
        <f t="shared" si="1"/>
        <v>0</v>
      </c>
      <c r="AK9" s="290">
        <f t="shared" si="1"/>
        <v>0</v>
      </c>
      <c r="AL9" s="290">
        <f t="shared" si="1"/>
        <v>0</v>
      </c>
      <c r="AM9" s="229"/>
      <c r="AN9" s="290">
        <f t="shared" si="2"/>
        <v>0</v>
      </c>
      <c r="AO9" s="290">
        <f t="shared" si="2"/>
        <v>0</v>
      </c>
      <c r="AP9" s="290">
        <f t="shared" si="2"/>
        <v>0</v>
      </c>
      <c r="AQ9" s="290">
        <f t="shared" si="2"/>
        <v>140000</v>
      </c>
      <c r="AR9" s="290">
        <f t="shared" si="2"/>
        <v>0</v>
      </c>
      <c r="AS9" s="290">
        <f t="shared" si="2"/>
        <v>0</v>
      </c>
      <c r="AT9" s="290">
        <f t="shared" si="2"/>
        <v>0</v>
      </c>
      <c r="AU9" s="290">
        <f t="shared" si="2"/>
        <v>0</v>
      </c>
      <c r="AV9" s="290">
        <f t="shared" si="2"/>
        <v>0</v>
      </c>
      <c r="AW9" s="290">
        <f t="shared" si="2"/>
        <v>0</v>
      </c>
      <c r="AX9" s="290">
        <f t="shared" si="2"/>
        <v>0</v>
      </c>
      <c r="AY9" s="290">
        <f t="shared" si="2"/>
        <v>0</v>
      </c>
      <c r="AZ9" s="290">
        <f t="shared" si="2"/>
        <v>0</v>
      </c>
      <c r="BA9" s="290">
        <f t="shared" si="2"/>
        <v>0</v>
      </c>
      <c r="BB9" s="290">
        <f t="shared" si="2"/>
        <v>0</v>
      </c>
      <c r="BD9" s="289">
        <f t="shared" si="3"/>
        <v>0</v>
      </c>
    </row>
    <row r="10" spans="1:56" x14ac:dyDescent="0.25">
      <c r="A10" s="285" t="s">
        <v>131</v>
      </c>
      <c r="B10" s="297" t="str">
        <f>VLOOKUP(A10,'DFP-Com'!$A$16:$B$50,2,1)</f>
        <v xml:space="preserve">     2.1.a  Tax and Customs</v>
      </c>
      <c r="C10" s="285" t="s">
        <v>222</v>
      </c>
      <c r="D10" s="224">
        <v>140000</v>
      </c>
      <c r="E10" s="285" t="s">
        <v>177</v>
      </c>
      <c r="G10" s="288"/>
      <c r="H10" s="305"/>
      <c r="I10" s="288"/>
      <c r="J10" s="288"/>
      <c r="K10" s="288"/>
      <c r="L10" s="288">
        <v>0.25</v>
      </c>
      <c r="M10" s="288">
        <v>0.25</v>
      </c>
      <c r="N10" s="288">
        <v>0.25</v>
      </c>
      <c r="O10" s="288">
        <v>0.25</v>
      </c>
      <c r="P10" s="288"/>
      <c r="Q10" s="288"/>
      <c r="U10" s="288">
        <f t="shared" si="0"/>
        <v>1</v>
      </c>
      <c r="X10" s="290">
        <f t="shared" si="1"/>
        <v>0</v>
      </c>
      <c r="Y10" s="290">
        <f t="shared" si="1"/>
        <v>0</v>
      </c>
      <c r="Z10" s="290">
        <f t="shared" si="1"/>
        <v>0</v>
      </c>
      <c r="AA10" s="290">
        <f t="shared" si="1"/>
        <v>0</v>
      </c>
      <c r="AB10" s="290">
        <f t="shared" si="1"/>
        <v>0</v>
      </c>
      <c r="AC10" s="290">
        <f t="shared" si="1"/>
        <v>0</v>
      </c>
      <c r="AD10" s="290">
        <f t="shared" si="1"/>
        <v>35000</v>
      </c>
      <c r="AE10" s="290">
        <f t="shared" si="1"/>
        <v>35000</v>
      </c>
      <c r="AF10" s="290">
        <f t="shared" si="1"/>
        <v>35000</v>
      </c>
      <c r="AG10" s="290">
        <f t="shared" si="1"/>
        <v>35000</v>
      </c>
      <c r="AH10" s="290">
        <f t="shared" si="1"/>
        <v>0</v>
      </c>
      <c r="AI10" s="290">
        <f t="shared" si="1"/>
        <v>0</v>
      </c>
      <c r="AJ10" s="290">
        <f t="shared" si="1"/>
        <v>0</v>
      </c>
      <c r="AK10" s="290">
        <f t="shared" si="1"/>
        <v>0</v>
      </c>
      <c r="AL10" s="290">
        <f t="shared" si="1"/>
        <v>0</v>
      </c>
      <c r="AM10" s="229"/>
      <c r="AN10" s="290">
        <f t="shared" si="2"/>
        <v>0</v>
      </c>
      <c r="AO10" s="290">
        <f t="shared" si="2"/>
        <v>0</v>
      </c>
      <c r="AP10" s="290">
        <f t="shared" si="2"/>
        <v>0</v>
      </c>
      <c r="AQ10" s="290">
        <f t="shared" si="2"/>
        <v>0</v>
      </c>
      <c r="AR10" s="290">
        <f t="shared" si="2"/>
        <v>0</v>
      </c>
      <c r="AS10" s="290">
        <f t="shared" si="2"/>
        <v>0</v>
      </c>
      <c r="AT10" s="290">
        <f t="shared" si="2"/>
        <v>140000</v>
      </c>
      <c r="AU10" s="290">
        <f t="shared" si="2"/>
        <v>0</v>
      </c>
      <c r="AV10" s="290">
        <f t="shared" si="2"/>
        <v>0</v>
      </c>
      <c r="AW10" s="290">
        <f t="shared" si="2"/>
        <v>0</v>
      </c>
      <c r="AX10" s="290">
        <f t="shared" si="2"/>
        <v>0</v>
      </c>
      <c r="AY10" s="290">
        <f t="shared" si="2"/>
        <v>0</v>
      </c>
      <c r="AZ10" s="290">
        <f t="shared" si="2"/>
        <v>0</v>
      </c>
      <c r="BA10" s="290">
        <f t="shared" si="2"/>
        <v>0</v>
      </c>
      <c r="BB10" s="290">
        <f t="shared" si="2"/>
        <v>0</v>
      </c>
      <c r="BD10" s="289">
        <f t="shared" si="3"/>
        <v>0</v>
      </c>
    </row>
    <row r="11" spans="1:56" x14ac:dyDescent="0.25">
      <c r="A11" s="285" t="s">
        <v>131</v>
      </c>
      <c r="B11" s="297" t="str">
        <f>VLOOKUP(A11,'DFP-Com'!$A$16:$B$50,2,1)</f>
        <v xml:space="preserve">     2.1.a  Tax and Customs</v>
      </c>
      <c r="C11" s="285" t="s">
        <v>207</v>
      </c>
      <c r="D11" s="224">
        <v>4000</v>
      </c>
      <c r="E11" s="285" t="s">
        <v>163</v>
      </c>
      <c r="G11" s="288"/>
      <c r="H11" s="305">
        <v>1</v>
      </c>
      <c r="I11" s="288"/>
      <c r="J11" s="288"/>
      <c r="K11" s="288"/>
      <c r="L11" s="288"/>
      <c r="M11" s="288"/>
      <c r="N11" s="288"/>
      <c r="U11" s="288">
        <f t="shared" si="0"/>
        <v>1</v>
      </c>
      <c r="X11" s="290">
        <f t="shared" si="1"/>
        <v>0</v>
      </c>
      <c r="Y11" s="290">
        <f t="shared" si="1"/>
        <v>0</v>
      </c>
      <c r="Z11" s="290">
        <f t="shared" si="1"/>
        <v>4000</v>
      </c>
      <c r="AA11" s="290">
        <f t="shared" si="1"/>
        <v>0</v>
      </c>
      <c r="AB11" s="290">
        <f t="shared" si="1"/>
        <v>0</v>
      </c>
      <c r="AC11" s="290">
        <f t="shared" si="1"/>
        <v>0</v>
      </c>
      <c r="AD11" s="290">
        <f t="shared" si="1"/>
        <v>0</v>
      </c>
      <c r="AE11" s="290">
        <f t="shared" si="1"/>
        <v>0</v>
      </c>
      <c r="AF11" s="290">
        <f t="shared" si="1"/>
        <v>0</v>
      </c>
      <c r="AG11" s="290">
        <f t="shared" si="1"/>
        <v>0</v>
      </c>
      <c r="AH11" s="290">
        <f t="shared" si="1"/>
        <v>0</v>
      </c>
      <c r="AI11" s="290">
        <f t="shared" si="1"/>
        <v>0</v>
      </c>
      <c r="AJ11" s="290">
        <f t="shared" si="1"/>
        <v>0</v>
      </c>
      <c r="AK11" s="290">
        <f t="shared" si="1"/>
        <v>0</v>
      </c>
      <c r="AL11" s="290">
        <f t="shared" si="1"/>
        <v>0</v>
      </c>
      <c r="AM11" s="229"/>
      <c r="AN11" s="290">
        <f t="shared" si="2"/>
        <v>0</v>
      </c>
      <c r="AO11" s="290">
        <f t="shared" si="2"/>
        <v>0</v>
      </c>
      <c r="AP11" s="290">
        <f t="shared" si="2"/>
        <v>4000</v>
      </c>
      <c r="AQ11" s="290">
        <f t="shared" si="2"/>
        <v>0</v>
      </c>
      <c r="AR11" s="290">
        <f t="shared" si="2"/>
        <v>0</v>
      </c>
      <c r="AS11" s="290">
        <f t="shared" si="2"/>
        <v>0</v>
      </c>
      <c r="AT11" s="290">
        <f t="shared" si="2"/>
        <v>0</v>
      </c>
      <c r="AU11" s="290">
        <f t="shared" si="2"/>
        <v>0</v>
      </c>
      <c r="AV11" s="290">
        <f t="shared" si="2"/>
        <v>0</v>
      </c>
      <c r="AW11" s="290">
        <f t="shared" si="2"/>
        <v>0</v>
      </c>
      <c r="AX11" s="290">
        <f t="shared" si="2"/>
        <v>0</v>
      </c>
      <c r="AY11" s="290">
        <f t="shared" si="2"/>
        <v>0</v>
      </c>
      <c r="AZ11" s="290">
        <f t="shared" si="2"/>
        <v>0</v>
      </c>
      <c r="BA11" s="290">
        <f t="shared" si="2"/>
        <v>0</v>
      </c>
      <c r="BB11" s="290">
        <f t="shared" si="2"/>
        <v>0</v>
      </c>
      <c r="BD11" s="289">
        <f t="shared" si="3"/>
        <v>0</v>
      </c>
    </row>
    <row r="12" spans="1:56" x14ac:dyDescent="0.25">
      <c r="A12" s="285" t="s">
        <v>131</v>
      </c>
      <c r="B12" s="297" t="str">
        <f>VLOOKUP(A12,'DFP-Com'!$A$16:$B$50,2,1)</f>
        <v xml:space="preserve">     2.1.a  Tax and Customs</v>
      </c>
      <c r="C12" s="285" t="s">
        <v>208</v>
      </c>
      <c r="D12" s="224">
        <v>100000</v>
      </c>
      <c r="E12" s="285" t="s">
        <v>163</v>
      </c>
      <c r="G12" s="288"/>
      <c r="H12" s="305">
        <v>0.25</v>
      </c>
      <c r="I12" s="288">
        <v>0.25</v>
      </c>
      <c r="J12" s="288">
        <v>0.25</v>
      </c>
      <c r="K12" s="288">
        <v>0.25</v>
      </c>
      <c r="L12" s="288"/>
      <c r="M12" s="288"/>
      <c r="N12" s="288"/>
      <c r="U12" s="288">
        <f t="shared" si="0"/>
        <v>1</v>
      </c>
      <c r="X12" s="290">
        <f t="shared" si="1"/>
        <v>0</v>
      </c>
      <c r="Y12" s="290">
        <f t="shared" si="1"/>
        <v>0</v>
      </c>
      <c r="Z12" s="290">
        <f t="shared" si="1"/>
        <v>25000</v>
      </c>
      <c r="AA12" s="290">
        <f t="shared" si="1"/>
        <v>25000</v>
      </c>
      <c r="AB12" s="290">
        <f t="shared" si="1"/>
        <v>25000</v>
      </c>
      <c r="AC12" s="290">
        <f t="shared" si="1"/>
        <v>25000</v>
      </c>
      <c r="AD12" s="290">
        <f t="shared" si="1"/>
        <v>0</v>
      </c>
      <c r="AE12" s="290">
        <f t="shared" si="1"/>
        <v>0</v>
      </c>
      <c r="AF12" s="290">
        <f t="shared" si="1"/>
        <v>0</v>
      </c>
      <c r="AG12" s="290">
        <f t="shared" si="1"/>
        <v>0</v>
      </c>
      <c r="AH12" s="290">
        <f t="shared" si="1"/>
        <v>0</v>
      </c>
      <c r="AI12" s="290">
        <f t="shared" si="1"/>
        <v>0</v>
      </c>
      <c r="AJ12" s="290">
        <f t="shared" si="1"/>
        <v>0</v>
      </c>
      <c r="AK12" s="290">
        <f t="shared" si="1"/>
        <v>0</v>
      </c>
      <c r="AL12" s="290">
        <f t="shared" si="1"/>
        <v>0</v>
      </c>
      <c r="AM12" s="229"/>
      <c r="AN12" s="290">
        <f t="shared" si="2"/>
        <v>0</v>
      </c>
      <c r="AO12" s="290">
        <f t="shared" si="2"/>
        <v>0</v>
      </c>
      <c r="AP12" s="290">
        <f t="shared" si="2"/>
        <v>100000</v>
      </c>
      <c r="AQ12" s="290">
        <f t="shared" si="2"/>
        <v>0</v>
      </c>
      <c r="AR12" s="290">
        <f t="shared" si="2"/>
        <v>0</v>
      </c>
      <c r="AS12" s="290">
        <f t="shared" si="2"/>
        <v>0</v>
      </c>
      <c r="AT12" s="290">
        <f t="shared" si="2"/>
        <v>0</v>
      </c>
      <c r="AU12" s="290">
        <f t="shared" si="2"/>
        <v>0</v>
      </c>
      <c r="AV12" s="290">
        <f t="shared" si="2"/>
        <v>0</v>
      </c>
      <c r="AW12" s="290">
        <f t="shared" si="2"/>
        <v>0</v>
      </c>
      <c r="AX12" s="290">
        <f t="shared" si="2"/>
        <v>0</v>
      </c>
      <c r="AY12" s="290">
        <f t="shared" si="2"/>
        <v>0</v>
      </c>
      <c r="AZ12" s="290">
        <f t="shared" si="2"/>
        <v>0</v>
      </c>
      <c r="BA12" s="290">
        <f t="shared" si="2"/>
        <v>0</v>
      </c>
      <c r="BB12" s="290">
        <f t="shared" si="2"/>
        <v>0</v>
      </c>
      <c r="BD12" s="289">
        <f t="shared" si="3"/>
        <v>0</v>
      </c>
    </row>
    <row r="13" spans="1:56" x14ac:dyDescent="0.25">
      <c r="A13" s="285" t="s">
        <v>131</v>
      </c>
      <c r="B13" s="297" t="str">
        <f>VLOOKUP(A13,'DFP-Com'!$A$16:$B$50,2,1)</f>
        <v xml:space="preserve">     2.1.a  Tax and Customs</v>
      </c>
      <c r="D13" s="224"/>
      <c r="G13" s="288"/>
      <c r="H13" s="305"/>
      <c r="I13" s="288"/>
      <c r="J13" s="288"/>
      <c r="K13" s="288"/>
      <c r="L13" s="288"/>
      <c r="M13" s="288"/>
      <c r="N13" s="288"/>
      <c r="O13" s="288"/>
      <c r="P13" s="288"/>
      <c r="Q13" s="288"/>
      <c r="U13" s="288">
        <f t="shared" si="0"/>
        <v>0</v>
      </c>
      <c r="X13" s="290">
        <f t="shared" si="1"/>
        <v>0</v>
      </c>
      <c r="Y13" s="290">
        <f t="shared" si="1"/>
        <v>0</v>
      </c>
      <c r="Z13" s="290">
        <f t="shared" si="1"/>
        <v>0</v>
      </c>
      <c r="AA13" s="290">
        <f t="shared" si="1"/>
        <v>0</v>
      </c>
      <c r="AB13" s="290">
        <f t="shared" si="1"/>
        <v>0</v>
      </c>
      <c r="AC13" s="290">
        <f t="shared" si="1"/>
        <v>0</v>
      </c>
      <c r="AD13" s="290">
        <f t="shared" si="1"/>
        <v>0</v>
      </c>
      <c r="AE13" s="290">
        <f t="shared" si="1"/>
        <v>0</v>
      </c>
      <c r="AF13" s="290">
        <f t="shared" si="1"/>
        <v>0</v>
      </c>
      <c r="AG13" s="290">
        <f t="shared" si="1"/>
        <v>0</v>
      </c>
      <c r="AH13" s="290">
        <f t="shared" si="1"/>
        <v>0</v>
      </c>
      <c r="AI13" s="290">
        <f t="shared" si="1"/>
        <v>0</v>
      </c>
      <c r="AJ13" s="290">
        <f t="shared" si="1"/>
        <v>0</v>
      </c>
      <c r="AK13" s="290">
        <f t="shared" si="1"/>
        <v>0</v>
      </c>
      <c r="AL13" s="290">
        <f t="shared" si="1"/>
        <v>0</v>
      </c>
      <c r="AM13" s="229"/>
      <c r="AN13" s="290">
        <f t="shared" si="2"/>
        <v>0</v>
      </c>
      <c r="AO13" s="290">
        <f t="shared" si="2"/>
        <v>0</v>
      </c>
      <c r="AP13" s="290">
        <f t="shared" si="2"/>
        <v>0</v>
      </c>
      <c r="AQ13" s="290">
        <f t="shared" si="2"/>
        <v>0</v>
      </c>
      <c r="AR13" s="290">
        <f t="shared" si="2"/>
        <v>0</v>
      </c>
      <c r="AS13" s="290">
        <f t="shared" si="2"/>
        <v>0</v>
      </c>
      <c r="AT13" s="290">
        <f t="shared" si="2"/>
        <v>0</v>
      </c>
      <c r="AU13" s="290">
        <f t="shared" si="2"/>
        <v>0</v>
      </c>
      <c r="AV13" s="290">
        <f t="shared" si="2"/>
        <v>0</v>
      </c>
      <c r="AW13" s="290">
        <f t="shared" si="2"/>
        <v>0</v>
      </c>
      <c r="AX13" s="290">
        <f t="shared" si="2"/>
        <v>0</v>
      </c>
      <c r="AY13" s="290">
        <f t="shared" si="2"/>
        <v>0</v>
      </c>
      <c r="AZ13" s="290">
        <f t="shared" si="2"/>
        <v>0</v>
      </c>
      <c r="BA13" s="290">
        <f t="shared" si="2"/>
        <v>0</v>
      </c>
      <c r="BB13" s="290">
        <f t="shared" si="2"/>
        <v>0</v>
      </c>
      <c r="BD13" s="289">
        <f t="shared" si="3"/>
        <v>0</v>
      </c>
    </row>
    <row r="14" spans="1:56" x14ac:dyDescent="0.25">
      <c r="A14" s="285" t="s">
        <v>132</v>
      </c>
      <c r="B14" s="298" t="str">
        <f>VLOOKUP(A14,'DFP-Com'!$A$16:$B$50,2,1)</f>
        <v xml:space="preserve">     2.2.a  Advisors</v>
      </c>
      <c r="C14" s="285" t="s">
        <v>176</v>
      </c>
      <c r="D14" s="224">
        <v>150000</v>
      </c>
      <c r="E14" s="285" t="s">
        <v>163</v>
      </c>
      <c r="G14" s="288"/>
      <c r="H14" s="305">
        <v>0.25</v>
      </c>
      <c r="I14" s="288">
        <v>0.25</v>
      </c>
      <c r="J14" s="288">
        <v>0.25</v>
      </c>
      <c r="K14" s="288">
        <v>0.25</v>
      </c>
      <c r="U14" s="288">
        <f t="shared" si="0"/>
        <v>1</v>
      </c>
      <c r="X14" s="290">
        <f t="shared" si="1"/>
        <v>0</v>
      </c>
      <c r="Y14" s="290">
        <f t="shared" si="1"/>
        <v>0</v>
      </c>
      <c r="Z14" s="290">
        <f t="shared" si="1"/>
        <v>37500</v>
      </c>
      <c r="AA14" s="290">
        <f t="shared" si="1"/>
        <v>37500</v>
      </c>
      <c r="AB14" s="290">
        <f t="shared" si="1"/>
        <v>37500</v>
      </c>
      <c r="AC14" s="290">
        <f t="shared" si="1"/>
        <v>37500</v>
      </c>
      <c r="AD14" s="290">
        <f t="shared" si="1"/>
        <v>0</v>
      </c>
      <c r="AE14" s="290">
        <f t="shared" si="1"/>
        <v>0</v>
      </c>
      <c r="AF14" s="290">
        <f t="shared" si="1"/>
        <v>0</v>
      </c>
      <c r="AG14" s="290">
        <f t="shared" si="1"/>
        <v>0</v>
      </c>
      <c r="AH14" s="290">
        <f t="shared" si="1"/>
        <v>0</v>
      </c>
      <c r="AI14" s="290">
        <f t="shared" si="1"/>
        <v>0</v>
      </c>
      <c r="AJ14" s="290">
        <f t="shared" si="1"/>
        <v>0</v>
      </c>
      <c r="AK14" s="290">
        <f t="shared" si="1"/>
        <v>0</v>
      </c>
      <c r="AL14" s="290">
        <f t="shared" si="1"/>
        <v>0</v>
      </c>
      <c r="AM14" s="229"/>
      <c r="AN14" s="290">
        <f t="shared" si="2"/>
        <v>0</v>
      </c>
      <c r="AO14" s="290">
        <f t="shared" si="2"/>
        <v>0</v>
      </c>
      <c r="AP14" s="290">
        <f t="shared" si="2"/>
        <v>150000</v>
      </c>
      <c r="AQ14" s="290">
        <f t="shared" si="2"/>
        <v>0</v>
      </c>
      <c r="AR14" s="290">
        <f t="shared" si="2"/>
        <v>0</v>
      </c>
      <c r="AS14" s="290">
        <f t="shared" si="2"/>
        <v>0</v>
      </c>
      <c r="AT14" s="290">
        <f t="shared" si="2"/>
        <v>0</v>
      </c>
      <c r="AU14" s="290">
        <f t="shared" si="2"/>
        <v>0</v>
      </c>
      <c r="AV14" s="290">
        <f t="shared" si="2"/>
        <v>0</v>
      </c>
      <c r="AW14" s="290">
        <f t="shared" si="2"/>
        <v>0</v>
      </c>
      <c r="AX14" s="290">
        <f t="shared" si="2"/>
        <v>0</v>
      </c>
      <c r="AY14" s="290">
        <f t="shared" si="2"/>
        <v>0</v>
      </c>
      <c r="AZ14" s="290">
        <f t="shared" si="2"/>
        <v>0</v>
      </c>
      <c r="BA14" s="290">
        <f t="shared" si="2"/>
        <v>0</v>
      </c>
      <c r="BB14" s="290">
        <f t="shared" si="2"/>
        <v>0</v>
      </c>
      <c r="BD14" s="289">
        <f t="shared" si="3"/>
        <v>0</v>
      </c>
    </row>
    <row r="15" spans="1:56" x14ac:dyDescent="0.25">
      <c r="A15" s="285" t="s">
        <v>132</v>
      </c>
      <c r="B15" s="298" t="str">
        <f>VLOOKUP(A15,'DFP-Com'!$A$16:$B$50,2,1)</f>
        <v xml:space="preserve">     2.2.a  Advisors</v>
      </c>
      <c r="C15" s="285" t="s">
        <v>194</v>
      </c>
      <c r="D15" s="224">
        <v>150000</v>
      </c>
      <c r="E15" s="285" t="s">
        <v>165</v>
      </c>
      <c r="K15" s="288">
        <v>0.25</v>
      </c>
      <c r="L15" s="288">
        <v>0.25</v>
      </c>
      <c r="M15" s="288">
        <v>0.25</v>
      </c>
      <c r="N15" s="288">
        <v>0.25</v>
      </c>
      <c r="U15" s="288">
        <f t="shared" si="0"/>
        <v>1</v>
      </c>
      <c r="X15" s="290">
        <f t="shared" si="1"/>
        <v>0</v>
      </c>
      <c r="Y15" s="290">
        <f t="shared" si="1"/>
        <v>0</v>
      </c>
      <c r="Z15" s="290">
        <f t="shared" si="1"/>
        <v>0</v>
      </c>
      <c r="AA15" s="290">
        <f t="shared" si="1"/>
        <v>0</v>
      </c>
      <c r="AB15" s="290">
        <f t="shared" si="1"/>
        <v>0</v>
      </c>
      <c r="AC15" s="290">
        <f t="shared" si="1"/>
        <v>37500</v>
      </c>
      <c r="AD15" s="290">
        <f t="shared" si="1"/>
        <v>37500</v>
      </c>
      <c r="AE15" s="290">
        <f t="shared" si="1"/>
        <v>37500</v>
      </c>
      <c r="AF15" s="290">
        <f t="shared" si="1"/>
        <v>37500</v>
      </c>
      <c r="AG15" s="290">
        <f t="shared" si="1"/>
        <v>0</v>
      </c>
      <c r="AH15" s="290">
        <f t="shared" si="1"/>
        <v>0</v>
      </c>
      <c r="AI15" s="290">
        <f t="shared" si="1"/>
        <v>0</v>
      </c>
      <c r="AJ15" s="290">
        <f t="shared" si="1"/>
        <v>0</v>
      </c>
      <c r="AK15" s="290">
        <f t="shared" si="1"/>
        <v>0</v>
      </c>
      <c r="AL15" s="290">
        <f t="shared" si="1"/>
        <v>0</v>
      </c>
      <c r="AM15" s="229"/>
      <c r="AN15" s="290">
        <f t="shared" si="2"/>
        <v>0</v>
      </c>
      <c r="AO15" s="290">
        <f t="shared" si="2"/>
        <v>0</v>
      </c>
      <c r="AP15" s="290">
        <f t="shared" si="2"/>
        <v>0</v>
      </c>
      <c r="AQ15" s="290">
        <f t="shared" si="2"/>
        <v>0</v>
      </c>
      <c r="AR15" s="290">
        <f t="shared" si="2"/>
        <v>0</v>
      </c>
      <c r="AS15" s="290">
        <f t="shared" si="2"/>
        <v>150000</v>
      </c>
      <c r="AT15" s="290">
        <f t="shared" si="2"/>
        <v>0</v>
      </c>
      <c r="AU15" s="290">
        <f t="shared" si="2"/>
        <v>0</v>
      </c>
      <c r="AV15" s="290">
        <f t="shared" si="2"/>
        <v>0</v>
      </c>
      <c r="AW15" s="290">
        <f t="shared" si="2"/>
        <v>0</v>
      </c>
      <c r="AX15" s="290">
        <f t="shared" si="2"/>
        <v>0</v>
      </c>
      <c r="AY15" s="290">
        <f t="shared" si="2"/>
        <v>0</v>
      </c>
      <c r="AZ15" s="290">
        <f t="shared" si="2"/>
        <v>0</v>
      </c>
      <c r="BA15" s="290">
        <f t="shared" si="2"/>
        <v>0</v>
      </c>
      <c r="BB15" s="290">
        <f t="shared" si="2"/>
        <v>0</v>
      </c>
      <c r="BD15" s="289">
        <f t="shared" si="3"/>
        <v>0</v>
      </c>
    </row>
    <row r="16" spans="1:56" x14ac:dyDescent="0.25">
      <c r="A16" s="285" t="s">
        <v>132</v>
      </c>
      <c r="B16" s="298" t="str">
        <f>VLOOKUP(A16,'DFP-Com'!$A$16:$B$50,2,1)</f>
        <v xml:space="preserve">     2.2.a  Advisors</v>
      </c>
      <c r="C16" s="285" t="s">
        <v>168</v>
      </c>
      <c r="D16" s="224">
        <v>73500</v>
      </c>
      <c r="E16" s="285" t="s">
        <v>163</v>
      </c>
      <c r="F16" s="288"/>
      <c r="G16" s="288"/>
      <c r="H16" s="305">
        <v>0.16666666666666699</v>
      </c>
      <c r="I16" s="288">
        <v>0.25</v>
      </c>
      <c r="J16" s="288">
        <v>0.25</v>
      </c>
      <c r="K16" s="288">
        <v>0.25</v>
      </c>
      <c r="L16" s="288">
        <v>8.3333333333333329E-2</v>
      </c>
      <c r="M16" s="288"/>
      <c r="N16" s="288"/>
      <c r="O16" s="288"/>
      <c r="P16" s="288"/>
      <c r="Q16" s="288"/>
      <c r="U16" s="288">
        <f t="shared" si="0"/>
        <v>1.0000000000000002</v>
      </c>
      <c r="X16" s="239">
        <f t="shared" si="1"/>
        <v>0</v>
      </c>
      <c r="Y16" s="290">
        <f t="shared" si="1"/>
        <v>0</v>
      </c>
      <c r="Z16" s="290">
        <f t="shared" si="1"/>
        <v>12250.000000000024</v>
      </c>
      <c r="AA16" s="290">
        <f t="shared" si="1"/>
        <v>18375</v>
      </c>
      <c r="AB16" s="290">
        <f t="shared" si="1"/>
        <v>18375</v>
      </c>
      <c r="AC16" s="290">
        <f t="shared" si="1"/>
        <v>18375</v>
      </c>
      <c r="AD16" s="290">
        <f t="shared" si="1"/>
        <v>6125</v>
      </c>
      <c r="AE16" s="290">
        <f t="shared" si="1"/>
        <v>0</v>
      </c>
      <c r="AF16" s="290">
        <f t="shared" si="1"/>
        <v>0</v>
      </c>
      <c r="AG16" s="290">
        <f t="shared" si="1"/>
        <v>0</v>
      </c>
      <c r="AH16" s="290">
        <f t="shared" si="1"/>
        <v>0</v>
      </c>
      <c r="AI16" s="290">
        <f t="shared" si="1"/>
        <v>0</v>
      </c>
      <c r="AJ16" s="290">
        <f t="shared" si="1"/>
        <v>0</v>
      </c>
      <c r="AK16" s="290">
        <f t="shared" si="1"/>
        <v>0</v>
      </c>
      <c r="AL16" s="290">
        <f t="shared" si="1"/>
        <v>0</v>
      </c>
      <c r="AM16" s="229"/>
      <c r="AN16" s="290">
        <f t="shared" si="2"/>
        <v>0</v>
      </c>
      <c r="AO16" s="290">
        <f t="shared" si="2"/>
        <v>0</v>
      </c>
      <c r="AP16" s="290">
        <f t="shared" si="2"/>
        <v>73500</v>
      </c>
      <c r="AQ16" s="290">
        <f t="shared" si="2"/>
        <v>0</v>
      </c>
      <c r="AR16" s="290">
        <f t="shared" si="2"/>
        <v>0</v>
      </c>
      <c r="AS16" s="290">
        <f t="shared" si="2"/>
        <v>0</v>
      </c>
      <c r="AT16" s="290">
        <f t="shared" si="2"/>
        <v>0</v>
      </c>
      <c r="AU16" s="290">
        <f t="shared" si="2"/>
        <v>0</v>
      </c>
      <c r="AV16" s="290">
        <f t="shared" si="2"/>
        <v>0</v>
      </c>
      <c r="AW16" s="290">
        <f t="shared" si="2"/>
        <v>0</v>
      </c>
      <c r="AX16" s="290">
        <f t="shared" si="2"/>
        <v>0</v>
      </c>
      <c r="AY16" s="290">
        <f t="shared" si="2"/>
        <v>0</v>
      </c>
      <c r="AZ16" s="290">
        <f t="shared" si="2"/>
        <v>0</v>
      </c>
      <c r="BA16" s="290">
        <f t="shared" si="2"/>
        <v>0</v>
      </c>
      <c r="BB16" s="290">
        <f t="shared" si="2"/>
        <v>0</v>
      </c>
      <c r="BD16" s="289">
        <f t="shared" si="3"/>
        <v>0</v>
      </c>
    </row>
    <row r="17" spans="1:56" x14ac:dyDescent="0.25">
      <c r="A17" s="285" t="s">
        <v>132</v>
      </c>
      <c r="B17" s="298" t="str">
        <f>VLOOKUP(A17,'DFP-Com'!$A$16:$B$50,2,1)</f>
        <v xml:space="preserve">     2.2.a  Advisors</v>
      </c>
      <c r="C17" s="285" t="s">
        <v>210</v>
      </c>
      <c r="D17" s="224">
        <f>12250*12</f>
        <v>147000</v>
      </c>
      <c r="E17" s="285" t="s">
        <v>165</v>
      </c>
      <c r="F17" s="288"/>
      <c r="G17" s="288"/>
      <c r="H17" s="305"/>
      <c r="I17" s="288"/>
      <c r="J17" s="288"/>
      <c r="K17" s="288">
        <v>0.16666666666666699</v>
      </c>
      <c r="L17" s="288">
        <v>0.25</v>
      </c>
      <c r="M17" s="288">
        <v>0.25</v>
      </c>
      <c r="N17" s="288">
        <v>0.25</v>
      </c>
      <c r="O17" s="288">
        <v>8.3333333333333329E-2</v>
      </c>
      <c r="P17" s="288"/>
      <c r="Q17" s="288"/>
      <c r="U17" s="288">
        <f t="shared" si="0"/>
        <v>1.0000000000000002</v>
      </c>
      <c r="X17" s="239">
        <f t="shared" si="1"/>
        <v>0</v>
      </c>
      <c r="Y17" s="290">
        <f t="shared" si="1"/>
        <v>0</v>
      </c>
      <c r="Z17" s="290">
        <f t="shared" si="1"/>
        <v>0</v>
      </c>
      <c r="AA17" s="290">
        <f t="shared" si="1"/>
        <v>0</v>
      </c>
      <c r="AB17" s="290">
        <f t="shared" si="1"/>
        <v>0</v>
      </c>
      <c r="AC17" s="290">
        <f t="shared" si="1"/>
        <v>24500.000000000047</v>
      </c>
      <c r="AD17" s="290">
        <f t="shared" si="1"/>
        <v>36750</v>
      </c>
      <c r="AE17" s="290">
        <f t="shared" si="1"/>
        <v>36750</v>
      </c>
      <c r="AF17" s="290">
        <f t="shared" si="1"/>
        <v>36750</v>
      </c>
      <c r="AG17" s="290">
        <f t="shared" si="1"/>
        <v>12250</v>
      </c>
      <c r="AH17" s="290">
        <f t="shared" si="1"/>
        <v>0</v>
      </c>
      <c r="AI17" s="290">
        <f t="shared" si="1"/>
        <v>0</v>
      </c>
      <c r="AJ17" s="290">
        <f t="shared" si="1"/>
        <v>0</v>
      </c>
      <c r="AK17" s="290">
        <f t="shared" si="1"/>
        <v>0</v>
      </c>
      <c r="AL17" s="290">
        <f t="shared" si="1"/>
        <v>0</v>
      </c>
      <c r="AM17" s="229"/>
      <c r="AN17" s="290">
        <f t="shared" si="2"/>
        <v>0</v>
      </c>
      <c r="AO17" s="290">
        <f t="shared" si="2"/>
        <v>0</v>
      </c>
      <c r="AP17" s="290">
        <f t="shared" si="2"/>
        <v>0</v>
      </c>
      <c r="AQ17" s="290">
        <f t="shared" si="2"/>
        <v>0</v>
      </c>
      <c r="AR17" s="290">
        <f t="shared" si="2"/>
        <v>0</v>
      </c>
      <c r="AS17" s="290">
        <f t="shared" si="2"/>
        <v>147000</v>
      </c>
      <c r="AT17" s="290">
        <f t="shared" si="2"/>
        <v>0</v>
      </c>
      <c r="AU17" s="290">
        <f t="shared" si="2"/>
        <v>0</v>
      </c>
      <c r="AV17" s="290">
        <f t="shared" si="2"/>
        <v>0</v>
      </c>
      <c r="AW17" s="290">
        <f t="shared" si="2"/>
        <v>0</v>
      </c>
      <c r="AX17" s="290">
        <f t="shared" si="2"/>
        <v>0</v>
      </c>
      <c r="AY17" s="290">
        <f t="shared" si="2"/>
        <v>0</v>
      </c>
      <c r="AZ17" s="290">
        <f t="shared" si="2"/>
        <v>0</v>
      </c>
      <c r="BA17" s="290">
        <f t="shared" si="2"/>
        <v>0</v>
      </c>
      <c r="BB17" s="290">
        <f t="shared" si="2"/>
        <v>0</v>
      </c>
      <c r="BD17" s="289">
        <f t="shared" si="3"/>
        <v>0</v>
      </c>
    </row>
    <row r="18" spans="1:56" x14ac:dyDescent="0.25">
      <c r="A18" s="285" t="s">
        <v>132</v>
      </c>
      <c r="B18" s="298" t="str">
        <f>VLOOKUP(A18,'DFP-Com'!$A$16:$B$50,2,1)</f>
        <v xml:space="preserve">     2.2.a  Advisors</v>
      </c>
      <c r="C18" s="285" t="s">
        <v>211</v>
      </c>
      <c r="D18" s="224">
        <f>12250*12</f>
        <v>147000</v>
      </c>
      <c r="E18" s="285" t="s">
        <v>212</v>
      </c>
      <c r="F18" s="288"/>
      <c r="G18" s="288"/>
      <c r="H18" s="305"/>
      <c r="I18" s="288"/>
      <c r="J18" s="288"/>
      <c r="K18" s="288"/>
      <c r="L18" s="288"/>
      <c r="M18" s="288"/>
      <c r="N18" s="288"/>
      <c r="O18" s="288">
        <v>0.16666666666666699</v>
      </c>
      <c r="P18" s="288">
        <v>0.25</v>
      </c>
      <c r="Q18" s="288">
        <v>0.25</v>
      </c>
      <c r="R18" s="288">
        <v>0.25</v>
      </c>
      <c r="S18" s="288">
        <v>8.3333333333333329E-2</v>
      </c>
      <c r="U18" s="288">
        <f t="shared" si="0"/>
        <v>1.0000000000000002</v>
      </c>
      <c r="X18" s="239">
        <f t="shared" si="1"/>
        <v>0</v>
      </c>
      <c r="Y18" s="290">
        <f t="shared" si="1"/>
        <v>0</v>
      </c>
      <c r="Z18" s="290">
        <f t="shared" si="1"/>
        <v>0</v>
      </c>
      <c r="AA18" s="290">
        <f t="shared" si="1"/>
        <v>0</v>
      </c>
      <c r="AB18" s="290">
        <f t="shared" si="1"/>
        <v>0</v>
      </c>
      <c r="AC18" s="290">
        <f t="shared" si="1"/>
        <v>0</v>
      </c>
      <c r="AD18" s="290">
        <f t="shared" si="1"/>
        <v>0</v>
      </c>
      <c r="AE18" s="290">
        <f t="shared" si="1"/>
        <v>0</v>
      </c>
      <c r="AF18" s="290">
        <f t="shared" si="1"/>
        <v>0</v>
      </c>
      <c r="AG18" s="290">
        <f t="shared" si="1"/>
        <v>24500.000000000047</v>
      </c>
      <c r="AH18" s="290">
        <f t="shared" si="1"/>
        <v>36750</v>
      </c>
      <c r="AI18" s="290">
        <f t="shared" si="1"/>
        <v>36750</v>
      </c>
      <c r="AJ18" s="290">
        <f t="shared" si="1"/>
        <v>36750</v>
      </c>
      <c r="AK18" s="290">
        <f t="shared" si="1"/>
        <v>12250</v>
      </c>
      <c r="AL18" s="290">
        <f t="shared" si="1"/>
        <v>0</v>
      </c>
      <c r="AM18" s="229"/>
      <c r="AN18" s="290">
        <f t="shared" si="2"/>
        <v>0</v>
      </c>
      <c r="AO18" s="290">
        <f t="shared" si="2"/>
        <v>0</v>
      </c>
      <c r="AP18" s="290">
        <f t="shared" si="2"/>
        <v>0</v>
      </c>
      <c r="AQ18" s="290">
        <f t="shared" si="2"/>
        <v>0</v>
      </c>
      <c r="AR18" s="290">
        <f t="shared" si="2"/>
        <v>0</v>
      </c>
      <c r="AS18" s="290">
        <f t="shared" si="2"/>
        <v>0</v>
      </c>
      <c r="AT18" s="290">
        <f t="shared" si="2"/>
        <v>0</v>
      </c>
      <c r="AU18" s="290">
        <f t="shared" si="2"/>
        <v>147000</v>
      </c>
      <c r="AV18" s="290">
        <f t="shared" si="2"/>
        <v>0</v>
      </c>
      <c r="AW18" s="290">
        <f t="shared" si="2"/>
        <v>0</v>
      </c>
      <c r="AX18" s="290">
        <f t="shared" si="2"/>
        <v>0</v>
      </c>
      <c r="AY18" s="290">
        <f t="shared" si="2"/>
        <v>0</v>
      </c>
      <c r="AZ18" s="290">
        <f t="shared" si="2"/>
        <v>0</v>
      </c>
      <c r="BA18" s="290">
        <f t="shared" si="2"/>
        <v>0</v>
      </c>
      <c r="BB18" s="290">
        <f t="shared" si="2"/>
        <v>0</v>
      </c>
      <c r="BD18" s="289">
        <f t="shared" si="3"/>
        <v>0</v>
      </c>
    </row>
    <row r="19" spans="1:56" x14ac:dyDescent="0.25">
      <c r="A19" s="285" t="s">
        <v>132</v>
      </c>
      <c r="B19" s="298" t="str">
        <f>VLOOKUP(A19,'DFP-Com'!$A$16:$B$50,2,1)</f>
        <v xml:space="preserve">     2.2.a  Advisors</v>
      </c>
      <c r="C19" s="285" t="s">
        <v>169</v>
      </c>
      <c r="D19" s="224">
        <v>61250</v>
      </c>
      <c r="E19" s="285" t="s">
        <v>191</v>
      </c>
      <c r="F19" s="288"/>
      <c r="G19" s="288">
        <v>0.2</v>
      </c>
      <c r="H19" s="305">
        <v>0.6</v>
      </c>
      <c r="I19" s="288">
        <v>0.2</v>
      </c>
      <c r="J19" s="288"/>
      <c r="K19" s="288"/>
      <c r="L19" s="288"/>
      <c r="M19" s="288"/>
      <c r="N19" s="288"/>
      <c r="O19" s="288"/>
      <c r="P19" s="288"/>
      <c r="Q19" s="288"/>
      <c r="U19" s="288">
        <f t="shared" si="0"/>
        <v>1</v>
      </c>
      <c r="X19" s="290">
        <f t="shared" si="1"/>
        <v>0</v>
      </c>
      <c r="Y19" s="290">
        <f t="shared" si="1"/>
        <v>12250</v>
      </c>
      <c r="Z19" s="290">
        <f t="shared" si="1"/>
        <v>36750</v>
      </c>
      <c r="AA19" s="290">
        <f t="shared" si="1"/>
        <v>12250</v>
      </c>
      <c r="AB19" s="290">
        <f t="shared" si="1"/>
        <v>0</v>
      </c>
      <c r="AC19" s="290">
        <f t="shared" si="1"/>
        <v>0</v>
      </c>
      <c r="AD19" s="290">
        <f t="shared" si="1"/>
        <v>0</v>
      </c>
      <c r="AE19" s="290">
        <f t="shared" si="1"/>
        <v>0</v>
      </c>
      <c r="AF19" s="290">
        <f t="shared" si="1"/>
        <v>0</v>
      </c>
      <c r="AG19" s="290">
        <f t="shared" si="1"/>
        <v>0</v>
      </c>
      <c r="AH19" s="290">
        <f t="shared" si="1"/>
        <v>0</v>
      </c>
      <c r="AI19" s="290">
        <f t="shared" si="1"/>
        <v>0</v>
      </c>
      <c r="AJ19" s="290">
        <f t="shared" si="1"/>
        <v>0</v>
      </c>
      <c r="AK19" s="290">
        <f t="shared" si="1"/>
        <v>0</v>
      </c>
      <c r="AL19" s="290">
        <f t="shared" si="1"/>
        <v>0</v>
      </c>
      <c r="AM19" s="229"/>
      <c r="AN19" s="290">
        <f t="shared" si="2"/>
        <v>0</v>
      </c>
      <c r="AO19" s="290">
        <f t="shared" si="2"/>
        <v>61250</v>
      </c>
      <c r="AP19" s="290">
        <f t="shared" si="2"/>
        <v>0</v>
      </c>
      <c r="AQ19" s="290">
        <f t="shared" si="2"/>
        <v>0</v>
      </c>
      <c r="AR19" s="290">
        <f t="shared" si="2"/>
        <v>0</v>
      </c>
      <c r="AS19" s="290">
        <f t="shared" si="2"/>
        <v>0</v>
      </c>
      <c r="AT19" s="290">
        <f t="shared" si="2"/>
        <v>0</v>
      </c>
      <c r="AU19" s="290">
        <f t="shared" si="2"/>
        <v>0</v>
      </c>
      <c r="AV19" s="290">
        <f t="shared" si="2"/>
        <v>0</v>
      </c>
      <c r="AW19" s="290">
        <f t="shared" si="2"/>
        <v>0</v>
      </c>
      <c r="AX19" s="290">
        <f t="shared" si="2"/>
        <v>0</v>
      </c>
      <c r="AY19" s="290">
        <f t="shared" si="2"/>
        <v>0</v>
      </c>
      <c r="AZ19" s="290">
        <f t="shared" si="2"/>
        <v>0</v>
      </c>
      <c r="BA19" s="290">
        <f t="shared" si="2"/>
        <v>0</v>
      </c>
      <c r="BB19" s="290">
        <f t="shared" si="2"/>
        <v>0</v>
      </c>
      <c r="BD19" s="289">
        <f t="shared" si="3"/>
        <v>0</v>
      </c>
    </row>
    <row r="20" spans="1:56" x14ac:dyDescent="0.25">
      <c r="A20" s="285" t="s">
        <v>133</v>
      </c>
      <c r="B20" s="298" t="str">
        <f>VLOOKUP(A20,'DFP-Com'!$A$16:$B$50,2,1)</f>
        <v xml:space="preserve">     2.2.b  Feasiblity Studies/  Transaction Advisory Services</v>
      </c>
      <c r="C20" s="285" t="s">
        <v>170</v>
      </c>
      <c r="D20" s="224">
        <v>500000</v>
      </c>
      <c r="E20" s="285" t="s">
        <v>163</v>
      </c>
      <c r="F20" s="288"/>
      <c r="G20" s="288"/>
      <c r="H20" s="305">
        <v>0.25</v>
      </c>
      <c r="I20" s="288">
        <v>0.25</v>
      </c>
      <c r="J20" s="288">
        <v>0.25</v>
      </c>
      <c r="K20" s="288">
        <v>0.25</v>
      </c>
      <c r="L20" s="288"/>
      <c r="M20" s="288"/>
      <c r="N20" s="288"/>
      <c r="U20" s="288">
        <f t="shared" si="0"/>
        <v>1</v>
      </c>
      <c r="X20" s="290">
        <f t="shared" si="1"/>
        <v>0</v>
      </c>
      <c r="Y20" s="290">
        <f t="shared" si="1"/>
        <v>0</v>
      </c>
      <c r="Z20" s="290">
        <f t="shared" si="1"/>
        <v>125000</v>
      </c>
      <c r="AA20" s="290">
        <f t="shared" si="1"/>
        <v>125000</v>
      </c>
      <c r="AB20" s="290">
        <f t="shared" si="1"/>
        <v>125000</v>
      </c>
      <c r="AC20" s="290">
        <f t="shared" si="1"/>
        <v>125000</v>
      </c>
      <c r="AD20" s="290">
        <f t="shared" si="1"/>
        <v>0</v>
      </c>
      <c r="AE20" s="290">
        <f t="shared" si="1"/>
        <v>0</v>
      </c>
      <c r="AF20" s="290">
        <f t="shared" si="1"/>
        <v>0</v>
      </c>
      <c r="AG20" s="290">
        <f t="shared" si="1"/>
        <v>0</v>
      </c>
      <c r="AH20" s="290">
        <f t="shared" si="1"/>
        <v>0</v>
      </c>
      <c r="AI20" s="290">
        <f t="shared" si="1"/>
        <v>0</v>
      </c>
      <c r="AJ20" s="290">
        <f t="shared" si="1"/>
        <v>0</v>
      </c>
      <c r="AK20" s="290">
        <f t="shared" si="1"/>
        <v>0</v>
      </c>
      <c r="AL20" s="290">
        <f t="shared" si="1"/>
        <v>0</v>
      </c>
      <c r="AM20" s="229"/>
      <c r="AN20" s="290">
        <f t="shared" ref="AN20:BB35" si="4">IF(AN$3=$E20,$D20,0)</f>
        <v>0</v>
      </c>
      <c r="AO20" s="290">
        <f t="shared" si="4"/>
        <v>0</v>
      </c>
      <c r="AP20" s="290">
        <f t="shared" si="4"/>
        <v>500000</v>
      </c>
      <c r="AQ20" s="290">
        <f t="shared" si="4"/>
        <v>0</v>
      </c>
      <c r="AR20" s="290">
        <f t="shared" si="4"/>
        <v>0</v>
      </c>
      <c r="AS20" s="290">
        <f t="shared" si="4"/>
        <v>0</v>
      </c>
      <c r="AT20" s="290">
        <f t="shared" si="4"/>
        <v>0</v>
      </c>
      <c r="AU20" s="290">
        <f t="shared" si="4"/>
        <v>0</v>
      </c>
      <c r="AV20" s="290">
        <f t="shared" si="4"/>
        <v>0</v>
      </c>
      <c r="AW20" s="290">
        <f t="shared" si="4"/>
        <v>0</v>
      </c>
      <c r="AX20" s="290">
        <f t="shared" si="4"/>
        <v>0</v>
      </c>
      <c r="AY20" s="290">
        <f t="shared" si="4"/>
        <v>0</v>
      </c>
      <c r="AZ20" s="290">
        <f t="shared" si="4"/>
        <v>0</v>
      </c>
      <c r="BA20" s="290">
        <f t="shared" si="4"/>
        <v>0</v>
      </c>
      <c r="BB20" s="290">
        <f t="shared" si="4"/>
        <v>0</v>
      </c>
      <c r="BD20" s="289">
        <f t="shared" si="3"/>
        <v>0</v>
      </c>
    </row>
    <row r="21" spans="1:56" x14ac:dyDescent="0.25">
      <c r="A21" s="285" t="s">
        <v>133</v>
      </c>
      <c r="B21" s="298" t="str">
        <f>VLOOKUP(A21,'DFP-Com'!$A$16:$B$50,2,1)</f>
        <v xml:space="preserve">     2.2.b  Feasiblity Studies/  Transaction Advisory Services</v>
      </c>
      <c r="C21" s="285" t="s">
        <v>171</v>
      </c>
      <c r="D21" s="224">
        <v>200000</v>
      </c>
      <c r="E21" s="285" t="s">
        <v>163</v>
      </c>
      <c r="F21" s="288"/>
      <c r="G21" s="288"/>
      <c r="H21" s="305"/>
      <c r="I21" s="288"/>
      <c r="J21" s="288">
        <v>0.25</v>
      </c>
      <c r="K21" s="288">
        <v>0.25</v>
      </c>
      <c r="L21" s="288">
        <v>0.25</v>
      </c>
      <c r="M21" s="288">
        <v>0.25</v>
      </c>
      <c r="U21" s="288">
        <f t="shared" si="0"/>
        <v>1</v>
      </c>
      <c r="X21" s="290">
        <f t="shared" ref="X21:AL37" si="5">F21*$D21</f>
        <v>0</v>
      </c>
      <c r="Y21" s="290">
        <f t="shared" si="5"/>
        <v>0</v>
      </c>
      <c r="Z21" s="290">
        <f t="shared" si="5"/>
        <v>0</v>
      </c>
      <c r="AA21" s="290">
        <f t="shared" si="5"/>
        <v>0</v>
      </c>
      <c r="AB21" s="290">
        <f t="shared" si="5"/>
        <v>50000</v>
      </c>
      <c r="AC21" s="290">
        <f t="shared" si="5"/>
        <v>50000</v>
      </c>
      <c r="AD21" s="290">
        <f t="shared" si="5"/>
        <v>50000</v>
      </c>
      <c r="AE21" s="290">
        <f t="shared" si="5"/>
        <v>50000</v>
      </c>
      <c r="AF21" s="290">
        <f t="shared" si="5"/>
        <v>0</v>
      </c>
      <c r="AG21" s="290">
        <f t="shared" si="5"/>
        <v>0</v>
      </c>
      <c r="AH21" s="290">
        <f t="shared" si="5"/>
        <v>0</v>
      </c>
      <c r="AI21" s="290">
        <f t="shared" si="5"/>
        <v>0</v>
      </c>
      <c r="AJ21" s="290">
        <f t="shared" si="5"/>
        <v>0</v>
      </c>
      <c r="AK21" s="290">
        <f t="shared" si="5"/>
        <v>0</v>
      </c>
      <c r="AL21" s="290">
        <f t="shared" si="5"/>
        <v>0</v>
      </c>
      <c r="AM21" s="229"/>
      <c r="AN21" s="290">
        <f t="shared" si="4"/>
        <v>0</v>
      </c>
      <c r="AO21" s="290">
        <f t="shared" si="4"/>
        <v>0</v>
      </c>
      <c r="AP21" s="290">
        <f t="shared" si="4"/>
        <v>200000</v>
      </c>
      <c r="AQ21" s="290">
        <f t="shared" si="4"/>
        <v>0</v>
      </c>
      <c r="AR21" s="290">
        <f t="shared" si="4"/>
        <v>0</v>
      </c>
      <c r="AS21" s="290">
        <f t="shared" si="4"/>
        <v>0</v>
      </c>
      <c r="AT21" s="290">
        <f t="shared" si="4"/>
        <v>0</v>
      </c>
      <c r="AU21" s="290">
        <f t="shared" si="4"/>
        <v>0</v>
      </c>
      <c r="AV21" s="290">
        <f t="shared" si="4"/>
        <v>0</v>
      </c>
      <c r="AW21" s="290">
        <f t="shared" si="4"/>
        <v>0</v>
      </c>
      <c r="AX21" s="290">
        <f t="shared" si="4"/>
        <v>0</v>
      </c>
      <c r="AY21" s="290">
        <f t="shared" si="4"/>
        <v>0</v>
      </c>
      <c r="AZ21" s="290">
        <f t="shared" si="4"/>
        <v>0</v>
      </c>
      <c r="BA21" s="290">
        <f t="shared" si="4"/>
        <v>0</v>
      </c>
      <c r="BB21" s="290">
        <f t="shared" si="4"/>
        <v>0</v>
      </c>
      <c r="BD21" s="289">
        <f t="shared" si="3"/>
        <v>0</v>
      </c>
    </row>
    <row r="22" spans="1:56" x14ac:dyDescent="0.25">
      <c r="A22" s="285" t="s">
        <v>133</v>
      </c>
      <c r="B22" s="298" t="str">
        <f>VLOOKUP(A22,'DFP-Com'!$A$16:$B$50,2,1)</f>
        <v xml:space="preserve">     2.2.b  Feasiblity Studies/  Transaction Advisory Services</v>
      </c>
      <c r="C22" s="285" t="s">
        <v>172</v>
      </c>
      <c r="D22" s="224">
        <v>350000</v>
      </c>
      <c r="U22" s="288">
        <f t="shared" si="0"/>
        <v>0</v>
      </c>
      <c r="X22" s="290">
        <f t="shared" si="5"/>
        <v>0</v>
      </c>
      <c r="Y22" s="290">
        <f t="shared" si="5"/>
        <v>0</v>
      </c>
      <c r="Z22" s="290">
        <f t="shared" si="5"/>
        <v>0</v>
      </c>
      <c r="AA22" s="290">
        <f t="shared" si="5"/>
        <v>0</v>
      </c>
      <c r="AB22" s="290">
        <f t="shared" si="5"/>
        <v>0</v>
      </c>
      <c r="AC22" s="290">
        <f t="shared" si="5"/>
        <v>0</v>
      </c>
      <c r="AD22" s="290">
        <f t="shared" si="5"/>
        <v>0</v>
      </c>
      <c r="AE22" s="290">
        <f t="shared" si="5"/>
        <v>0</v>
      </c>
      <c r="AF22" s="290">
        <f t="shared" si="5"/>
        <v>0</v>
      </c>
      <c r="AG22" s="290">
        <f t="shared" si="5"/>
        <v>0</v>
      </c>
      <c r="AH22" s="290">
        <f t="shared" si="5"/>
        <v>0</v>
      </c>
      <c r="AI22" s="290">
        <f t="shared" si="5"/>
        <v>0</v>
      </c>
      <c r="AJ22" s="290">
        <f t="shared" si="5"/>
        <v>0</v>
      </c>
      <c r="AK22" s="290">
        <f t="shared" si="5"/>
        <v>0</v>
      </c>
      <c r="AL22" s="290">
        <f t="shared" si="5"/>
        <v>0</v>
      </c>
      <c r="AM22" s="229"/>
      <c r="AN22" s="290">
        <f t="shared" si="4"/>
        <v>0</v>
      </c>
      <c r="AO22" s="290">
        <f t="shared" si="4"/>
        <v>0</v>
      </c>
      <c r="AP22" s="290">
        <f t="shared" si="4"/>
        <v>0</v>
      </c>
      <c r="AQ22" s="290">
        <f t="shared" si="4"/>
        <v>0</v>
      </c>
      <c r="AR22" s="290">
        <f t="shared" si="4"/>
        <v>0</v>
      </c>
      <c r="AS22" s="290">
        <f t="shared" si="4"/>
        <v>0</v>
      </c>
      <c r="AT22" s="290">
        <f t="shared" si="4"/>
        <v>0</v>
      </c>
      <c r="AU22" s="290">
        <f t="shared" si="4"/>
        <v>0</v>
      </c>
      <c r="AV22" s="290">
        <f t="shared" si="4"/>
        <v>0</v>
      </c>
      <c r="AW22" s="290">
        <f t="shared" si="4"/>
        <v>0</v>
      </c>
      <c r="AX22" s="290">
        <f t="shared" si="4"/>
        <v>0</v>
      </c>
      <c r="AY22" s="290">
        <f t="shared" si="4"/>
        <v>0</v>
      </c>
      <c r="AZ22" s="290">
        <f t="shared" si="4"/>
        <v>0</v>
      </c>
      <c r="BA22" s="290">
        <f t="shared" si="4"/>
        <v>0</v>
      </c>
      <c r="BB22" s="290">
        <f t="shared" si="4"/>
        <v>0</v>
      </c>
      <c r="BD22" s="289">
        <f t="shared" si="3"/>
        <v>0</v>
      </c>
    </row>
    <row r="23" spans="1:56" x14ac:dyDescent="0.25">
      <c r="A23" s="285" t="s">
        <v>133</v>
      </c>
      <c r="B23" s="298" t="str">
        <f>VLOOKUP(A23,'DFP-Com'!$A$16:$B$50,2,1)</f>
        <v xml:space="preserve">     2.2.b  Feasiblity Studies/  Transaction Advisory Services</v>
      </c>
      <c r="C23" s="285" t="s">
        <v>173</v>
      </c>
      <c r="D23" s="224">
        <v>200000</v>
      </c>
      <c r="E23" s="285" t="s">
        <v>195</v>
      </c>
      <c r="I23" s="288">
        <v>0.25</v>
      </c>
      <c r="J23" s="288">
        <v>0.25</v>
      </c>
      <c r="K23" s="288">
        <v>0.25</v>
      </c>
      <c r="L23" s="288">
        <v>0.25</v>
      </c>
      <c r="U23" s="288">
        <f t="shared" si="0"/>
        <v>1</v>
      </c>
      <c r="X23" s="290">
        <f t="shared" si="5"/>
        <v>0</v>
      </c>
      <c r="Y23" s="290">
        <f t="shared" si="5"/>
        <v>0</v>
      </c>
      <c r="Z23" s="290">
        <f t="shared" si="5"/>
        <v>0</v>
      </c>
      <c r="AA23" s="290">
        <f t="shared" si="5"/>
        <v>50000</v>
      </c>
      <c r="AB23" s="290">
        <f t="shared" si="5"/>
        <v>50000</v>
      </c>
      <c r="AC23" s="290">
        <f t="shared" si="5"/>
        <v>50000</v>
      </c>
      <c r="AD23" s="290">
        <f t="shared" si="5"/>
        <v>50000</v>
      </c>
      <c r="AE23" s="290">
        <f t="shared" si="5"/>
        <v>0</v>
      </c>
      <c r="AF23" s="290">
        <f t="shared" si="5"/>
        <v>0</v>
      </c>
      <c r="AG23" s="290">
        <f t="shared" si="5"/>
        <v>0</v>
      </c>
      <c r="AH23" s="290">
        <f t="shared" si="5"/>
        <v>0</v>
      </c>
      <c r="AI23" s="290">
        <f t="shared" si="5"/>
        <v>0</v>
      </c>
      <c r="AJ23" s="290">
        <f t="shared" si="5"/>
        <v>0</v>
      </c>
      <c r="AK23" s="290">
        <f t="shared" si="5"/>
        <v>0</v>
      </c>
      <c r="AL23" s="290">
        <f t="shared" si="5"/>
        <v>0</v>
      </c>
      <c r="AM23" s="229"/>
      <c r="AN23" s="290">
        <f t="shared" si="4"/>
        <v>0</v>
      </c>
      <c r="AO23" s="290">
        <f t="shared" si="4"/>
        <v>0</v>
      </c>
      <c r="AP23" s="290">
        <f t="shared" si="4"/>
        <v>0</v>
      </c>
      <c r="AQ23" s="290">
        <f t="shared" si="4"/>
        <v>200000</v>
      </c>
      <c r="AR23" s="290">
        <f t="shared" si="4"/>
        <v>0</v>
      </c>
      <c r="AS23" s="290">
        <f t="shared" si="4"/>
        <v>0</v>
      </c>
      <c r="AT23" s="290">
        <f t="shared" si="4"/>
        <v>0</v>
      </c>
      <c r="AU23" s="290">
        <f t="shared" si="4"/>
        <v>0</v>
      </c>
      <c r="AV23" s="290">
        <f t="shared" si="4"/>
        <v>0</v>
      </c>
      <c r="AW23" s="290">
        <f t="shared" si="4"/>
        <v>0</v>
      </c>
      <c r="AX23" s="290">
        <f t="shared" si="4"/>
        <v>0</v>
      </c>
      <c r="AY23" s="290">
        <f t="shared" si="4"/>
        <v>0</v>
      </c>
      <c r="AZ23" s="290">
        <f t="shared" si="4"/>
        <v>0</v>
      </c>
      <c r="BA23" s="290">
        <f t="shared" si="4"/>
        <v>0</v>
      </c>
      <c r="BB23" s="290">
        <f t="shared" si="4"/>
        <v>0</v>
      </c>
      <c r="BD23" s="289">
        <f t="shared" si="3"/>
        <v>0</v>
      </c>
    </row>
    <row r="24" spans="1:56" x14ac:dyDescent="0.25">
      <c r="A24" s="285" t="s">
        <v>133</v>
      </c>
      <c r="B24" s="298" t="str">
        <f>VLOOKUP(A24,'DFP-Com'!$A$16:$B$50,2,1)</f>
        <v xml:space="preserve">     2.2.b  Feasiblity Studies/  Transaction Advisory Services</v>
      </c>
      <c r="C24" s="285" t="s">
        <v>174</v>
      </c>
      <c r="D24" s="224">
        <v>350000</v>
      </c>
      <c r="E24" s="285" t="s">
        <v>195</v>
      </c>
      <c r="H24" s="305"/>
      <c r="I24" s="288">
        <v>0.25</v>
      </c>
      <c r="J24" s="288">
        <v>0.25</v>
      </c>
      <c r="K24" s="288">
        <v>0.25</v>
      </c>
      <c r="L24" s="288">
        <v>0.25</v>
      </c>
      <c r="U24" s="288">
        <f t="shared" si="0"/>
        <v>1</v>
      </c>
      <c r="X24" s="290">
        <f t="shared" si="5"/>
        <v>0</v>
      </c>
      <c r="Y24" s="290">
        <f t="shared" si="5"/>
        <v>0</v>
      </c>
      <c r="Z24" s="290">
        <f t="shared" si="5"/>
        <v>0</v>
      </c>
      <c r="AA24" s="290">
        <f t="shared" si="5"/>
        <v>87500</v>
      </c>
      <c r="AB24" s="290">
        <f t="shared" si="5"/>
        <v>87500</v>
      </c>
      <c r="AC24" s="290">
        <f t="shared" si="5"/>
        <v>87500</v>
      </c>
      <c r="AD24" s="290">
        <f t="shared" si="5"/>
        <v>87500</v>
      </c>
      <c r="AE24" s="290">
        <f t="shared" si="5"/>
        <v>0</v>
      </c>
      <c r="AF24" s="290">
        <f t="shared" si="5"/>
        <v>0</v>
      </c>
      <c r="AG24" s="290">
        <f t="shared" si="5"/>
        <v>0</v>
      </c>
      <c r="AH24" s="290">
        <f t="shared" si="5"/>
        <v>0</v>
      </c>
      <c r="AI24" s="290">
        <f t="shared" si="5"/>
        <v>0</v>
      </c>
      <c r="AJ24" s="290">
        <f t="shared" si="5"/>
        <v>0</v>
      </c>
      <c r="AK24" s="290">
        <f t="shared" si="5"/>
        <v>0</v>
      </c>
      <c r="AL24" s="290">
        <f t="shared" si="5"/>
        <v>0</v>
      </c>
      <c r="AM24" s="229"/>
      <c r="AN24" s="290">
        <f t="shared" si="4"/>
        <v>0</v>
      </c>
      <c r="AO24" s="290">
        <f t="shared" si="4"/>
        <v>0</v>
      </c>
      <c r="AP24" s="290">
        <f t="shared" si="4"/>
        <v>0</v>
      </c>
      <c r="AQ24" s="290">
        <f t="shared" si="4"/>
        <v>350000</v>
      </c>
      <c r="AR24" s="290">
        <f t="shared" si="4"/>
        <v>0</v>
      </c>
      <c r="AS24" s="290">
        <f t="shared" si="4"/>
        <v>0</v>
      </c>
      <c r="AT24" s="290">
        <f t="shared" si="4"/>
        <v>0</v>
      </c>
      <c r="AU24" s="290">
        <f t="shared" si="4"/>
        <v>0</v>
      </c>
      <c r="AV24" s="290">
        <f t="shared" si="4"/>
        <v>0</v>
      </c>
      <c r="AW24" s="290">
        <f t="shared" si="4"/>
        <v>0</v>
      </c>
      <c r="AX24" s="290">
        <f t="shared" si="4"/>
        <v>0</v>
      </c>
      <c r="AY24" s="290">
        <f t="shared" si="4"/>
        <v>0</v>
      </c>
      <c r="AZ24" s="290">
        <f t="shared" si="4"/>
        <v>0</v>
      </c>
      <c r="BA24" s="290">
        <f t="shared" si="4"/>
        <v>0</v>
      </c>
      <c r="BB24" s="290">
        <f t="shared" si="4"/>
        <v>0</v>
      </c>
      <c r="BD24" s="289">
        <f t="shared" si="3"/>
        <v>0</v>
      </c>
    </row>
    <row r="25" spans="1:56" x14ac:dyDescent="0.25">
      <c r="A25" s="285" t="s">
        <v>133</v>
      </c>
      <c r="B25" s="298" t="str">
        <f>VLOOKUP(A25,'DFP-Com'!$A$16:$B$50,2,1)</f>
        <v xml:space="preserve">     2.2.b  Feasiblity Studies/  Transaction Advisory Services</v>
      </c>
      <c r="C25" s="285" t="s">
        <v>175</v>
      </c>
      <c r="D25" s="224">
        <v>50000</v>
      </c>
      <c r="E25" s="285" t="s">
        <v>192</v>
      </c>
      <c r="J25" s="288">
        <v>0.25</v>
      </c>
      <c r="K25" s="288">
        <v>0.25</v>
      </c>
      <c r="L25" s="288">
        <v>0.25</v>
      </c>
      <c r="M25" s="288">
        <v>0.25</v>
      </c>
      <c r="U25" s="288">
        <f t="shared" si="0"/>
        <v>1</v>
      </c>
      <c r="X25" s="290">
        <f t="shared" si="5"/>
        <v>0</v>
      </c>
      <c r="Y25" s="290">
        <f t="shared" si="5"/>
        <v>0</v>
      </c>
      <c r="Z25" s="290">
        <f t="shared" si="5"/>
        <v>0</v>
      </c>
      <c r="AA25" s="290">
        <f t="shared" si="5"/>
        <v>0</v>
      </c>
      <c r="AB25" s="290">
        <f t="shared" si="5"/>
        <v>12500</v>
      </c>
      <c r="AC25" s="290">
        <f t="shared" si="5"/>
        <v>12500</v>
      </c>
      <c r="AD25" s="290">
        <f t="shared" si="5"/>
        <v>12500</v>
      </c>
      <c r="AE25" s="290">
        <f t="shared" si="5"/>
        <v>12500</v>
      </c>
      <c r="AF25" s="290">
        <f t="shared" si="5"/>
        <v>0</v>
      </c>
      <c r="AG25" s="290">
        <f t="shared" si="5"/>
        <v>0</v>
      </c>
      <c r="AH25" s="290">
        <f t="shared" si="5"/>
        <v>0</v>
      </c>
      <c r="AI25" s="290">
        <f t="shared" si="5"/>
        <v>0</v>
      </c>
      <c r="AJ25" s="290">
        <f t="shared" si="5"/>
        <v>0</v>
      </c>
      <c r="AK25" s="290">
        <f t="shared" si="5"/>
        <v>0</v>
      </c>
      <c r="AL25" s="290">
        <f t="shared" si="5"/>
        <v>0</v>
      </c>
      <c r="AM25" s="229"/>
      <c r="AN25" s="290">
        <f t="shared" si="4"/>
        <v>0</v>
      </c>
      <c r="AO25" s="290">
        <f t="shared" si="4"/>
        <v>0</v>
      </c>
      <c r="AP25" s="290">
        <f t="shared" si="4"/>
        <v>0</v>
      </c>
      <c r="AQ25" s="290">
        <f t="shared" si="4"/>
        <v>0</v>
      </c>
      <c r="AR25" s="290">
        <f t="shared" si="4"/>
        <v>50000</v>
      </c>
      <c r="AS25" s="290">
        <f t="shared" si="4"/>
        <v>0</v>
      </c>
      <c r="AT25" s="290">
        <f t="shared" si="4"/>
        <v>0</v>
      </c>
      <c r="AU25" s="290">
        <f t="shared" si="4"/>
        <v>0</v>
      </c>
      <c r="AV25" s="290">
        <f t="shared" si="4"/>
        <v>0</v>
      </c>
      <c r="AW25" s="290">
        <f t="shared" si="4"/>
        <v>0</v>
      </c>
      <c r="AX25" s="290">
        <f t="shared" si="4"/>
        <v>0</v>
      </c>
      <c r="AY25" s="290">
        <f t="shared" si="4"/>
        <v>0</v>
      </c>
      <c r="AZ25" s="290">
        <f t="shared" si="4"/>
        <v>0</v>
      </c>
      <c r="BA25" s="290">
        <f t="shared" si="4"/>
        <v>0</v>
      </c>
      <c r="BB25" s="290">
        <f t="shared" si="4"/>
        <v>0</v>
      </c>
      <c r="BD25" s="289">
        <f t="shared" si="3"/>
        <v>0</v>
      </c>
    </row>
    <row r="26" spans="1:56" x14ac:dyDescent="0.25">
      <c r="A26" s="285" t="s">
        <v>135</v>
      </c>
      <c r="B26" s="244" t="str">
        <f>VLOOKUP(A26,'DFP-Com'!$A$16:$B$50,2,1)</f>
        <v xml:space="preserve">     3.1.a  Student Assessment</v>
      </c>
      <c r="C26" s="235" t="s">
        <v>203</v>
      </c>
      <c r="D26" s="291">
        <v>100000</v>
      </c>
      <c r="E26" s="285" t="s">
        <v>195</v>
      </c>
      <c r="H26" s="305"/>
      <c r="I26" s="288">
        <v>0.25</v>
      </c>
      <c r="J26" s="288">
        <v>0.25</v>
      </c>
      <c r="K26" s="288">
        <v>0.25</v>
      </c>
      <c r="L26" s="288">
        <v>0.25</v>
      </c>
      <c r="U26" s="288">
        <f t="shared" si="0"/>
        <v>1</v>
      </c>
      <c r="X26" s="290">
        <f t="shared" si="5"/>
        <v>0</v>
      </c>
      <c r="Y26" s="290">
        <f t="shared" si="5"/>
        <v>0</v>
      </c>
      <c r="Z26" s="290">
        <f t="shared" si="5"/>
        <v>0</v>
      </c>
      <c r="AA26" s="290">
        <f t="shared" si="5"/>
        <v>25000</v>
      </c>
      <c r="AB26" s="290">
        <f t="shared" si="5"/>
        <v>25000</v>
      </c>
      <c r="AC26" s="290">
        <f t="shared" si="5"/>
        <v>25000</v>
      </c>
      <c r="AD26" s="290">
        <f t="shared" si="5"/>
        <v>25000</v>
      </c>
      <c r="AE26" s="290">
        <f t="shared" si="5"/>
        <v>0</v>
      </c>
      <c r="AF26" s="290">
        <f t="shared" si="5"/>
        <v>0</v>
      </c>
      <c r="AG26" s="290">
        <f t="shared" si="5"/>
        <v>0</v>
      </c>
      <c r="AH26" s="290">
        <f t="shared" si="5"/>
        <v>0</v>
      </c>
      <c r="AI26" s="290">
        <f t="shared" si="5"/>
        <v>0</v>
      </c>
      <c r="AJ26" s="290">
        <f t="shared" si="5"/>
        <v>0</v>
      </c>
      <c r="AK26" s="290">
        <f t="shared" si="5"/>
        <v>0</v>
      </c>
      <c r="AL26" s="290">
        <f t="shared" si="5"/>
        <v>0</v>
      </c>
      <c r="AM26" s="229"/>
      <c r="AN26" s="290">
        <f t="shared" si="4"/>
        <v>0</v>
      </c>
      <c r="AO26" s="290">
        <f t="shared" si="4"/>
        <v>0</v>
      </c>
      <c r="AP26" s="290">
        <f t="shared" si="4"/>
        <v>0</v>
      </c>
      <c r="AQ26" s="290">
        <f t="shared" si="4"/>
        <v>100000</v>
      </c>
      <c r="AR26" s="290">
        <f t="shared" si="4"/>
        <v>0</v>
      </c>
      <c r="AS26" s="290">
        <f t="shared" si="4"/>
        <v>0</v>
      </c>
      <c r="AT26" s="290">
        <f t="shared" si="4"/>
        <v>0</v>
      </c>
      <c r="AU26" s="290">
        <f t="shared" si="4"/>
        <v>0</v>
      </c>
      <c r="AV26" s="290">
        <f t="shared" si="4"/>
        <v>0</v>
      </c>
      <c r="AW26" s="290">
        <f t="shared" si="4"/>
        <v>0</v>
      </c>
      <c r="AX26" s="290">
        <f t="shared" si="4"/>
        <v>0</v>
      </c>
      <c r="AY26" s="290">
        <f t="shared" si="4"/>
        <v>0</v>
      </c>
      <c r="AZ26" s="290">
        <f t="shared" si="4"/>
        <v>0</v>
      </c>
      <c r="BA26" s="290">
        <f t="shared" si="4"/>
        <v>0</v>
      </c>
      <c r="BB26" s="290">
        <f t="shared" si="4"/>
        <v>0</v>
      </c>
      <c r="BD26" s="289">
        <f t="shared" si="3"/>
        <v>0</v>
      </c>
    </row>
    <row r="27" spans="1:56" x14ac:dyDescent="0.25">
      <c r="A27" s="285" t="s">
        <v>135</v>
      </c>
      <c r="B27" s="244" t="str">
        <f>VLOOKUP(A27,'DFP-Com'!$A$16:$B$50,2,1)</f>
        <v xml:space="preserve">     3.1.a  Student Assessment</v>
      </c>
      <c r="C27" s="235" t="s">
        <v>203</v>
      </c>
      <c r="D27" s="291">
        <v>500000</v>
      </c>
      <c r="E27" s="285" t="s">
        <v>224</v>
      </c>
      <c r="Q27" s="288">
        <v>0.25</v>
      </c>
      <c r="R27" s="288">
        <v>0.25</v>
      </c>
      <c r="S27" s="288">
        <v>0.25</v>
      </c>
      <c r="T27" s="288">
        <v>0.25</v>
      </c>
      <c r="U27" s="288">
        <f t="shared" si="0"/>
        <v>1</v>
      </c>
      <c r="X27" s="290">
        <f t="shared" si="5"/>
        <v>0</v>
      </c>
      <c r="Y27" s="290">
        <f t="shared" si="5"/>
        <v>0</v>
      </c>
      <c r="Z27" s="290">
        <f t="shared" si="5"/>
        <v>0</v>
      </c>
      <c r="AA27" s="290">
        <f t="shared" si="5"/>
        <v>0</v>
      </c>
      <c r="AB27" s="290">
        <f t="shared" si="5"/>
        <v>0</v>
      </c>
      <c r="AC27" s="290">
        <f t="shared" si="5"/>
        <v>0</v>
      </c>
      <c r="AD27" s="290">
        <f t="shared" si="5"/>
        <v>0</v>
      </c>
      <c r="AE27" s="290">
        <f t="shared" si="5"/>
        <v>0</v>
      </c>
      <c r="AF27" s="290">
        <f t="shared" si="5"/>
        <v>0</v>
      </c>
      <c r="AG27" s="290">
        <f t="shared" si="5"/>
        <v>0</v>
      </c>
      <c r="AH27" s="290">
        <f t="shared" si="5"/>
        <v>0</v>
      </c>
      <c r="AI27" s="290">
        <f t="shared" si="5"/>
        <v>125000</v>
      </c>
      <c r="AJ27" s="290">
        <f t="shared" si="5"/>
        <v>125000</v>
      </c>
      <c r="AK27" s="290">
        <f t="shared" si="5"/>
        <v>125000</v>
      </c>
      <c r="AL27" s="290">
        <f t="shared" si="5"/>
        <v>125000</v>
      </c>
      <c r="AM27" s="229"/>
      <c r="AN27" s="290">
        <f t="shared" si="4"/>
        <v>0</v>
      </c>
      <c r="AO27" s="290">
        <f t="shared" si="4"/>
        <v>0</v>
      </c>
      <c r="AP27" s="290">
        <f t="shared" si="4"/>
        <v>0</v>
      </c>
      <c r="AQ27" s="290">
        <f t="shared" si="4"/>
        <v>0</v>
      </c>
      <c r="AR27" s="290">
        <f t="shared" si="4"/>
        <v>0</v>
      </c>
      <c r="AS27" s="290">
        <f t="shared" si="4"/>
        <v>0</v>
      </c>
      <c r="AT27" s="290">
        <f t="shared" si="4"/>
        <v>0</v>
      </c>
      <c r="AU27" s="290">
        <f t="shared" si="4"/>
        <v>0</v>
      </c>
      <c r="AV27" s="290">
        <f t="shared" si="4"/>
        <v>0</v>
      </c>
      <c r="AW27" s="290">
        <f t="shared" si="4"/>
        <v>0</v>
      </c>
      <c r="AX27" s="290">
        <f t="shared" si="4"/>
        <v>0</v>
      </c>
      <c r="AY27" s="290">
        <f t="shared" si="4"/>
        <v>500000</v>
      </c>
      <c r="AZ27" s="290">
        <f t="shared" si="4"/>
        <v>0</v>
      </c>
      <c r="BA27" s="290">
        <f t="shared" si="4"/>
        <v>0</v>
      </c>
      <c r="BB27" s="290">
        <f t="shared" si="4"/>
        <v>0</v>
      </c>
      <c r="BD27" s="289">
        <f t="shared" si="3"/>
        <v>0</v>
      </c>
    </row>
    <row r="28" spans="1:56" x14ac:dyDescent="0.25">
      <c r="A28" s="285" t="s">
        <v>135</v>
      </c>
      <c r="B28" s="244" t="str">
        <f>VLOOKUP(A28,'DFP-Com'!$A$16:$B$50,2,1)</f>
        <v xml:space="preserve">     3.1.a  Student Assessment</v>
      </c>
      <c r="C28" s="285" t="s">
        <v>214</v>
      </c>
      <c r="D28" s="224">
        <v>7200</v>
      </c>
      <c r="E28" s="285" t="s">
        <v>195</v>
      </c>
      <c r="H28" s="305"/>
      <c r="I28" s="288">
        <v>0.3</v>
      </c>
      <c r="J28" s="288">
        <v>0.7</v>
      </c>
      <c r="K28" s="288"/>
      <c r="Q28" s="288"/>
      <c r="R28" s="288"/>
      <c r="S28" s="288"/>
      <c r="T28" s="288"/>
      <c r="U28" s="288">
        <f t="shared" si="0"/>
        <v>1</v>
      </c>
      <c r="X28" s="290">
        <f t="shared" si="5"/>
        <v>0</v>
      </c>
      <c r="Y28" s="290">
        <f t="shared" si="5"/>
        <v>0</v>
      </c>
      <c r="Z28" s="290">
        <f t="shared" si="5"/>
        <v>0</v>
      </c>
      <c r="AA28" s="290">
        <f t="shared" si="5"/>
        <v>2160</v>
      </c>
      <c r="AB28" s="290">
        <f t="shared" si="5"/>
        <v>5040</v>
      </c>
      <c r="AC28" s="290">
        <f t="shared" si="5"/>
        <v>0</v>
      </c>
      <c r="AD28" s="290">
        <f t="shared" si="5"/>
        <v>0</v>
      </c>
      <c r="AE28" s="290">
        <f t="shared" si="5"/>
        <v>0</v>
      </c>
      <c r="AF28" s="290">
        <f t="shared" si="5"/>
        <v>0</v>
      </c>
      <c r="AG28" s="290">
        <f t="shared" si="5"/>
        <v>0</v>
      </c>
      <c r="AH28" s="290">
        <f t="shared" si="5"/>
        <v>0</v>
      </c>
      <c r="AI28" s="290">
        <f t="shared" si="5"/>
        <v>0</v>
      </c>
      <c r="AJ28" s="290">
        <f t="shared" si="5"/>
        <v>0</v>
      </c>
      <c r="AK28" s="290">
        <f t="shared" si="5"/>
        <v>0</v>
      </c>
      <c r="AL28" s="290">
        <f t="shared" si="5"/>
        <v>0</v>
      </c>
      <c r="AM28" s="229"/>
      <c r="AN28" s="290">
        <f t="shared" si="4"/>
        <v>0</v>
      </c>
      <c r="AO28" s="290">
        <f t="shared" si="4"/>
        <v>0</v>
      </c>
      <c r="AP28" s="290">
        <f t="shared" si="4"/>
        <v>0</v>
      </c>
      <c r="AQ28" s="290">
        <f t="shared" si="4"/>
        <v>7200</v>
      </c>
      <c r="AR28" s="290">
        <f t="shared" si="4"/>
        <v>0</v>
      </c>
      <c r="AS28" s="290">
        <f t="shared" si="4"/>
        <v>0</v>
      </c>
      <c r="AT28" s="290">
        <f t="shared" si="4"/>
        <v>0</v>
      </c>
      <c r="AU28" s="290">
        <f t="shared" si="4"/>
        <v>0</v>
      </c>
      <c r="AV28" s="290">
        <f t="shared" si="4"/>
        <v>0</v>
      </c>
      <c r="AW28" s="290">
        <f t="shared" si="4"/>
        <v>0</v>
      </c>
      <c r="AX28" s="290">
        <f t="shared" si="4"/>
        <v>0</v>
      </c>
      <c r="AY28" s="290">
        <f t="shared" si="4"/>
        <v>0</v>
      </c>
      <c r="AZ28" s="290">
        <f t="shared" si="4"/>
        <v>0</v>
      </c>
      <c r="BA28" s="290">
        <f t="shared" si="4"/>
        <v>0</v>
      </c>
      <c r="BB28" s="290">
        <f t="shared" si="4"/>
        <v>0</v>
      </c>
      <c r="BD28" s="289"/>
    </row>
    <row r="29" spans="1:56" x14ac:dyDescent="0.25">
      <c r="A29" s="285" t="s">
        <v>135</v>
      </c>
      <c r="B29" s="244" t="str">
        <f>VLOOKUP(A29,'DFP-Com'!$A$16:$B$50,2,1)</f>
        <v xml:space="preserve">     3.1.a  Student Assessment</v>
      </c>
      <c r="C29" s="285" t="s">
        <v>215</v>
      </c>
      <c r="D29" s="224">
        <v>19200</v>
      </c>
      <c r="E29" s="285" t="s">
        <v>195</v>
      </c>
      <c r="H29" s="305"/>
      <c r="I29" s="288">
        <v>0.3</v>
      </c>
      <c r="J29" s="288">
        <v>0.7</v>
      </c>
      <c r="K29" s="288"/>
      <c r="Q29" s="288"/>
      <c r="R29" s="288"/>
      <c r="S29" s="288"/>
      <c r="T29" s="288"/>
      <c r="U29" s="288">
        <f t="shared" si="0"/>
        <v>1</v>
      </c>
      <c r="X29" s="290">
        <f t="shared" si="5"/>
        <v>0</v>
      </c>
      <c r="Y29" s="290">
        <f t="shared" si="5"/>
        <v>0</v>
      </c>
      <c r="Z29" s="290">
        <f t="shared" si="5"/>
        <v>0</v>
      </c>
      <c r="AA29" s="290">
        <f t="shared" si="5"/>
        <v>5760</v>
      </c>
      <c r="AB29" s="290">
        <f t="shared" si="5"/>
        <v>13440</v>
      </c>
      <c r="AC29" s="290">
        <f t="shared" si="5"/>
        <v>0</v>
      </c>
      <c r="AD29" s="290">
        <f t="shared" si="5"/>
        <v>0</v>
      </c>
      <c r="AE29" s="290">
        <f t="shared" si="5"/>
        <v>0</v>
      </c>
      <c r="AF29" s="290">
        <f t="shared" si="5"/>
        <v>0</v>
      </c>
      <c r="AG29" s="290">
        <f t="shared" si="5"/>
        <v>0</v>
      </c>
      <c r="AH29" s="290">
        <f t="shared" si="5"/>
        <v>0</v>
      </c>
      <c r="AI29" s="290">
        <f t="shared" si="5"/>
        <v>0</v>
      </c>
      <c r="AJ29" s="290">
        <f t="shared" si="5"/>
        <v>0</v>
      </c>
      <c r="AK29" s="290">
        <f t="shared" si="5"/>
        <v>0</v>
      </c>
      <c r="AL29" s="290">
        <f t="shared" si="5"/>
        <v>0</v>
      </c>
      <c r="AM29" s="229"/>
      <c r="AN29" s="290">
        <f t="shared" si="4"/>
        <v>0</v>
      </c>
      <c r="AO29" s="290">
        <f t="shared" si="4"/>
        <v>0</v>
      </c>
      <c r="AP29" s="290">
        <f t="shared" si="4"/>
        <v>0</v>
      </c>
      <c r="AQ29" s="290">
        <f t="shared" si="4"/>
        <v>19200</v>
      </c>
      <c r="AR29" s="290">
        <f t="shared" si="4"/>
        <v>0</v>
      </c>
      <c r="AS29" s="290">
        <f t="shared" si="4"/>
        <v>0</v>
      </c>
      <c r="AT29" s="290">
        <f t="shared" si="4"/>
        <v>0</v>
      </c>
      <c r="AU29" s="290">
        <f t="shared" si="4"/>
        <v>0</v>
      </c>
      <c r="AV29" s="290">
        <f t="shared" si="4"/>
        <v>0</v>
      </c>
      <c r="AW29" s="290">
        <f t="shared" si="4"/>
        <v>0</v>
      </c>
      <c r="AX29" s="290">
        <f t="shared" si="4"/>
        <v>0</v>
      </c>
      <c r="AY29" s="290">
        <f t="shared" si="4"/>
        <v>0</v>
      </c>
      <c r="AZ29" s="290">
        <f t="shared" si="4"/>
        <v>0</v>
      </c>
      <c r="BA29" s="290">
        <f t="shared" si="4"/>
        <v>0</v>
      </c>
      <c r="BB29" s="290">
        <f t="shared" si="4"/>
        <v>0</v>
      </c>
      <c r="BD29" s="289"/>
    </row>
    <row r="30" spans="1:56" x14ac:dyDescent="0.25">
      <c r="A30" s="285" t="s">
        <v>135</v>
      </c>
      <c r="B30" s="244" t="str">
        <f>VLOOKUP(A30,'DFP-Com'!$A$16:$B$50,2,1)</f>
        <v xml:space="preserve">     3.1.a  Student Assessment</v>
      </c>
      <c r="C30" s="285" t="s">
        <v>216</v>
      </c>
      <c r="D30" s="224">
        <v>8000</v>
      </c>
      <c r="E30" s="285" t="s">
        <v>163</v>
      </c>
      <c r="H30" s="305">
        <v>0.5</v>
      </c>
      <c r="I30" s="288">
        <v>0.5</v>
      </c>
      <c r="Q30" s="288"/>
      <c r="R30" s="288"/>
      <c r="S30" s="288"/>
      <c r="T30" s="288"/>
      <c r="U30" s="288">
        <f t="shared" si="0"/>
        <v>1</v>
      </c>
      <c r="X30" s="290">
        <f t="shared" si="5"/>
        <v>0</v>
      </c>
      <c r="Y30" s="290">
        <f t="shared" si="5"/>
        <v>0</v>
      </c>
      <c r="Z30" s="290">
        <f t="shared" si="5"/>
        <v>4000</v>
      </c>
      <c r="AA30" s="290">
        <f t="shared" si="5"/>
        <v>4000</v>
      </c>
      <c r="AB30" s="290">
        <f t="shared" si="5"/>
        <v>0</v>
      </c>
      <c r="AC30" s="290">
        <f t="shared" si="5"/>
        <v>0</v>
      </c>
      <c r="AD30" s="290">
        <f t="shared" si="5"/>
        <v>0</v>
      </c>
      <c r="AE30" s="290">
        <f t="shared" si="5"/>
        <v>0</v>
      </c>
      <c r="AF30" s="290">
        <f t="shared" si="5"/>
        <v>0</v>
      </c>
      <c r="AG30" s="290">
        <f t="shared" si="5"/>
        <v>0</v>
      </c>
      <c r="AH30" s="290">
        <f t="shared" si="5"/>
        <v>0</v>
      </c>
      <c r="AI30" s="290">
        <f t="shared" si="5"/>
        <v>0</v>
      </c>
      <c r="AJ30" s="290">
        <f t="shared" si="5"/>
        <v>0</v>
      </c>
      <c r="AK30" s="290">
        <f t="shared" si="5"/>
        <v>0</v>
      </c>
      <c r="AL30" s="290">
        <f t="shared" si="5"/>
        <v>0</v>
      </c>
      <c r="AM30" s="229"/>
      <c r="AN30" s="290">
        <f t="shared" si="4"/>
        <v>0</v>
      </c>
      <c r="AO30" s="290">
        <f t="shared" si="4"/>
        <v>0</v>
      </c>
      <c r="AP30" s="290">
        <f t="shared" si="4"/>
        <v>8000</v>
      </c>
      <c r="AQ30" s="290">
        <f t="shared" si="4"/>
        <v>0</v>
      </c>
      <c r="AR30" s="290">
        <f t="shared" si="4"/>
        <v>0</v>
      </c>
      <c r="AS30" s="290">
        <f t="shared" si="4"/>
        <v>0</v>
      </c>
      <c r="AT30" s="290">
        <f t="shared" si="4"/>
        <v>0</v>
      </c>
      <c r="AU30" s="290">
        <f t="shared" si="4"/>
        <v>0</v>
      </c>
      <c r="AV30" s="290">
        <f t="shared" si="4"/>
        <v>0</v>
      </c>
      <c r="AW30" s="290">
        <f t="shared" si="4"/>
        <v>0</v>
      </c>
      <c r="AX30" s="290">
        <f t="shared" si="4"/>
        <v>0</v>
      </c>
      <c r="AY30" s="290">
        <f t="shared" si="4"/>
        <v>0</v>
      </c>
      <c r="AZ30" s="290">
        <f t="shared" si="4"/>
        <v>0</v>
      </c>
      <c r="BA30" s="290">
        <f t="shared" si="4"/>
        <v>0</v>
      </c>
      <c r="BB30" s="290">
        <f t="shared" si="4"/>
        <v>0</v>
      </c>
      <c r="BD30" s="289"/>
    </row>
    <row r="31" spans="1:56" x14ac:dyDescent="0.25">
      <c r="A31" s="285" t="s">
        <v>135</v>
      </c>
      <c r="B31" s="244" t="str">
        <f>VLOOKUP(A31,'DFP-Com'!$A$16:$B$50,2,1)</f>
        <v xml:space="preserve">     3.1.a  Student Assessment</v>
      </c>
      <c r="C31" s="285" t="s">
        <v>217</v>
      </c>
      <c r="D31" s="224">
        <v>72000</v>
      </c>
      <c r="E31" s="285" t="s">
        <v>163</v>
      </c>
      <c r="H31" s="305">
        <v>8.3333333333333301E-2</v>
      </c>
      <c r="I31" s="288">
        <v>8.3333333333333301E-2</v>
      </c>
      <c r="J31" s="288">
        <v>8.3333333333333301E-2</v>
      </c>
      <c r="K31" s="288">
        <v>8.3333333333333301E-2</v>
      </c>
      <c r="L31" s="288">
        <v>8.3333333333333301E-2</v>
      </c>
      <c r="M31" s="288">
        <v>8.3333333333333301E-2</v>
      </c>
      <c r="N31" s="288">
        <v>8.3333333333333301E-2</v>
      </c>
      <c r="O31" s="288">
        <v>8.3333333333333301E-2</v>
      </c>
      <c r="P31" s="288">
        <v>8.3333333333333301E-2</v>
      </c>
      <c r="Q31" s="288">
        <v>8.3333333333333301E-2</v>
      </c>
      <c r="R31" s="288">
        <v>8.3333333333333301E-2</v>
      </c>
      <c r="S31" s="288">
        <v>8.3333333333333301E-2</v>
      </c>
      <c r="T31" s="288"/>
      <c r="U31" s="288">
        <f t="shared" si="0"/>
        <v>0.99999999999999944</v>
      </c>
      <c r="X31" s="290">
        <f t="shared" si="5"/>
        <v>0</v>
      </c>
      <c r="Y31" s="290">
        <f t="shared" si="5"/>
        <v>0</v>
      </c>
      <c r="Z31" s="290">
        <f t="shared" si="5"/>
        <v>5999.9999999999973</v>
      </c>
      <c r="AA31" s="290">
        <f t="shared" si="5"/>
        <v>5999.9999999999973</v>
      </c>
      <c r="AB31" s="290">
        <f t="shared" si="5"/>
        <v>5999.9999999999973</v>
      </c>
      <c r="AC31" s="290">
        <f t="shared" si="5"/>
        <v>5999.9999999999973</v>
      </c>
      <c r="AD31" s="290">
        <f t="shared" si="5"/>
        <v>5999.9999999999973</v>
      </c>
      <c r="AE31" s="290">
        <f t="shared" si="5"/>
        <v>5999.9999999999973</v>
      </c>
      <c r="AF31" s="290">
        <f t="shared" si="5"/>
        <v>5999.9999999999973</v>
      </c>
      <c r="AG31" s="290">
        <f t="shared" si="5"/>
        <v>5999.9999999999973</v>
      </c>
      <c r="AH31" s="290">
        <f t="shared" si="5"/>
        <v>5999.9999999999973</v>
      </c>
      <c r="AI31" s="290">
        <f t="shared" si="5"/>
        <v>5999.9999999999973</v>
      </c>
      <c r="AJ31" s="290">
        <f t="shared" si="5"/>
        <v>5999.9999999999973</v>
      </c>
      <c r="AK31" s="290">
        <f t="shared" si="5"/>
        <v>5999.9999999999973</v>
      </c>
      <c r="AL31" s="290">
        <f t="shared" si="5"/>
        <v>0</v>
      </c>
      <c r="AM31" s="229"/>
      <c r="AN31" s="290">
        <f t="shared" si="4"/>
        <v>0</v>
      </c>
      <c r="AO31" s="290">
        <f t="shared" si="4"/>
        <v>0</v>
      </c>
      <c r="AP31" s="290">
        <f t="shared" si="4"/>
        <v>72000</v>
      </c>
      <c r="AQ31" s="290">
        <f t="shared" si="4"/>
        <v>0</v>
      </c>
      <c r="AR31" s="290">
        <f t="shared" si="4"/>
        <v>0</v>
      </c>
      <c r="AS31" s="290">
        <f t="shared" si="4"/>
        <v>0</v>
      </c>
      <c r="AT31" s="290">
        <f t="shared" si="4"/>
        <v>0</v>
      </c>
      <c r="AU31" s="290">
        <f t="shared" si="4"/>
        <v>0</v>
      </c>
      <c r="AV31" s="290">
        <f t="shared" si="4"/>
        <v>0</v>
      </c>
      <c r="AW31" s="290">
        <f t="shared" si="4"/>
        <v>0</v>
      </c>
      <c r="AX31" s="290">
        <f t="shared" si="4"/>
        <v>0</v>
      </c>
      <c r="AY31" s="290">
        <f t="shared" si="4"/>
        <v>0</v>
      </c>
      <c r="AZ31" s="290">
        <f t="shared" si="4"/>
        <v>0</v>
      </c>
      <c r="BA31" s="290">
        <f t="shared" si="4"/>
        <v>0</v>
      </c>
      <c r="BB31" s="290">
        <f t="shared" si="4"/>
        <v>0</v>
      </c>
      <c r="BD31" s="289"/>
    </row>
    <row r="32" spans="1:56" x14ac:dyDescent="0.25">
      <c r="A32" s="285" t="s">
        <v>136</v>
      </c>
      <c r="B32" s="244" t="str">
        <f>VLOOKUP(A32,'DFP-Com'!$A$16:$B$50,2,1)</f>
        <v xml:space="preserve">     3.1.b  Teacher Evaluations</v>
      </c>
      <c r="C32" s="235" t="s">
        <v>203</v>
      </c>
      <c r="D32" s="224">
        <v>100000</v>
      </c>
      <c r="E32" s="285" t="s">
        <v>195</v>
      </c>
      <c r="I32" s="288">
        <v>0.25</v>
      </c>
      <c r="J32" s="288">
        <v>0.25</v>
      </c>
      <c r="K32" s="288">
        <v>0.25</v>
      </c>
      <c r="L32" s="288">
        <v>0.25</v>
      </c>
      <c r="U32" s="288">
        <f t="shared" si="0"/>
        <v>1</v>
      </c>
      <c r="X32" s="290">
        <f t="shared" si="5"/>
        <v>0</v>
      </c>
      <c r="Y32" s="290">
        <f t="shared" si="5"/>
        <v>0</v>
      </c>
      <c r="Z32" s="290">
        <f t="shared" si="5"/>
        <v>0</v>
      </c>
      <c r="AA32" s="290">
        <f t="shared" si="5"/>
        <v>25000</v>
      </c>
      <c r="AB32" s="290">
        <f t="shared" si="5"/>
        <v>25000</v>
      </c>
      <c r="AC32" s="290">
        <f t="shared" si="5"/>
        <v>25000</v>
      </c>
      <c r="AD32" s="290">
        <f t="shared" si="5"/>
        <v>25000</v>
      </c>
      <c r="AE32" s="290">
        <f t="shared" si="5"/>
        <v>0</v>
      </c>
      <c r="AF32" s="290">
        <f t="shared" si="5"/>
        <v>0</v>
      </c>
      <c r="AG32" s="290">
        <f t="shared" si="5"/>
        <v>0</v>
      </c>
      <c r="AH32" s="290">
        <f t="shared" si="5"/>
        <v>0</v>
      </c>
      <c r="AI32" s="290">
        <f t="shared" si="5"/>
        <v>0</v>
      </c>
      <c r="AJ32" s="290">
        <f t="shared" si="5"/>
        <v>0</v>
      </c>
      <c r="AK32" s="290">
        <f t="shared" si="5"/>
        <v>0</v>
      </c>
      <c r="AL32" s="290">
        <f t="shared" si="5"/>
        <v>0</v>
      </c>
      <c r="AM32" s="229"/>
      <c r="AN32" s="290">
        <f t="shared" si="4"/>
        <v>0</v>
      </c>
      <c r="AO32" s="290">
        <f t="shared" si="4"/>
        <v>0</v>
      </c>
      <c r="AP32" s="290">
        <f t="shared" si="4"/>
        <v>0</v>
      </c>
      <c r="AQ32" s="290">
        <f t="shared" si="4"/>
        <v>100000</v>
      </c>
      <c r="AR32" s="290">
        <f t="shared" si="4"/>
        <v>0</v>
      </c>
      <c r="AS32" s="290">
        <f t="shared" si="4"/>
        <v>0</v>
      </c>
      <c r="AT32" s="290">
        <f t="shared" si="4"/>
        <v>0</v>
      </c>
      <c r="AU32" s="290">
        <f t="shared" si="4"/>
        <v>0</v>
      </c>
      <c r="AV32" s="290">
        <f t="shared" si="4"/>
        <v>0</v>
      </c>
      <c r="AW32" s="290">
        <f t="shared" si="4"/>
        <v>0</v>
      </c>
      <c r="AX32" s="290">
        <f t="shared" si="4"/>
        <v>0</v>
      </c>
      <c r="AY32" s="290">
        <f t="shared" si="4"/>
        <v>0</v>
      </c>
      <c r="AZ32" s="290">
        <f t="shared" si="4"/>
        <v>0</v>
      </c>
      <c r="BA32" s="290">
        <f t="shared" si="4"/>
        <v>0</v>
      </c>
      <c r="BB32" s="290">
        <f t="shared" si="4"/>
        <v>0</v>
      </c>
      <c r="BD32" s="289">
        <f t="shared" ref="BD32:BD38" si="6">SUM(X32:AL32)-SUM(AN32:BB32)</f>
        <v>0</v>
      </c>
    </row>
    <row r="33" spans="1:56" x14ac:dyDescent="0.25">
      <c r="A33" s="285" t="s">
        <v>136</v>
      </c>
      <c r="B33" s="244" t="str">
        <f>VLOOKUP(A33,'DFP-Com'!$A$16:$B$50,2,1)</f>
        <v xml:space="preserve">     3.1.b  Teacher Evaluations</v>
      </c>
      <c r="C33" s="235" t="s">
        <v>203</v>
      </c>
      <c r="D33" s="224">
        <v>200000</v>
      </c>
      <c r="E33" s="285" t="s">
        <v>204</v>
      </c>
      <c r="Q33" s="288">
        <v>0.25</v>
      </c>
      <c r="R33" s="288">
        <v>0.25</v>
      </c>
      <c r="S33" s="288">
        <v>0.25</v>
      </c>
      <c r="T33" s="288">
        <v>0.25</v>
      </c>
      <c r="U33" s="288">
        <f t="shared" si="0"/>
        <v>1</v>
      </c>
      <c r="X33" s="290">
        <f t="shared" si="5"/>
        <v>0</v>
      </c>
      <c r="Y33" s="290">
        <f t="shared" si="5"/>
        <v>0</v>
      </c>
      <c r="Z33" s="290">
        <f t="shared" si="5"/>
        <v>0</v>
      </c>
      <c r="AA33" s="290">
        <f t="shared" si="5"/>
        <v>0</v>
      </c>
      <c r="AB33" s="290">
        <f t="shared" si="5"/>
        <v>0</v>
      </c>
      <c r="AC33" s="290">
        <f t="shared" si="5"/>
        <v>0</v>
      </c>
      <c r="AD33" s="290">
        <f t="shared" si="5"/>
        <v>0</v>
      </c>
      <c r="AE33" s="290">
        <f t="shared" si="5"/>
        <v>0</v>
      </c>
      <c r="AF33" s="290">
        <f t="shared" si="5"/>
        <v>0</v>
      </c>
      <c r="AG33" s="290">
        <f t="shared" si="5"/>
        <v>0</v>
      </c>
      <c r="AH33" s="290">
        <f t="shared" si="5"/>
        <v>0</v>
      </c>
      <c r="AI33" s="290">
        <f t="shared" si="5"/>
        <v>50000</v>
      </c>
      <c r="AJ33" s="290">
        <f t="shared" si="5"/>
        <v>50000</v>
      </c>
      <c r="AK33" s="290">
        <f t="shared" si="5"/>
        <v>50000</v>
      </c>
      <c r="AL33" s="290">
        <f t="shared" si="5"/>
        <v>50000</v>
      </c>
      <c r="AM33" s="229"/>
      <c r="AN33" s="290">
        <f t="shared" si="4"/>
        <v>0</v>
      </c>
      <c r="AO33" s="290">
        <f t="shared" si="4"/>
        <v>0</v>
      </c>
      <c r="AP33" s="290">
        <f t="shared" si="4"/>
        <v>0</v>
      </c>
      <c r="AQ33" s="290">
        <f t="shared" si="4"/>
        <v>0</v>
      </c>
      <c r="AR33" s="290">
        <f t="shared" si="4"/>
        <v>0</v>
      </c>
      <c r="AS33" s="290">
        <f t="shared" si="4"/>
        <v>0</v>
      </c>
      <c r="AT33" s="290">
        <f t="shared" si="4"/>
        <v>0</v>
      </c>
      <c r="AU33" s="290">
        <f t="shared" si="4"/>
        <v>0</v>
      </c>
      <c r="AV33" s="290">
        <f t="shared" si="4"/>
        <v>0</v>
      </c>
      <c r="AW33" s="290">
        <f t="shared" si="4"/>
        <v>0</v>
      </c>
      <c r="AX33" s="290">
        <f t="shared" si="4"/>
        <v>0</v>
      </c>
      <c r="AY33" s="290">
        <f t="shared" si="4"/>
        <v>0</v>
      </c>
      <c r="AZ33" s="290">
        <f t="shared" si="4"/>
        <v>0</v>
      </c>
      <c r="BA33" s="290">
        <f t="shared" si="4"/>
        <v>0</v>
      </c>
      <c r="BB33" s="290">
        <f t="shared" si="4"/>
        <v>200000</v>
      </c>
      <c r="BD33" s="289">
        <f t="shared" si="6"/>
        <v>0</v>
      </c>
    </row>
    <row r="34" spans="1:56" x14ac:dyDescent="0.25">
      <c r="A34" s="285" t="s">
        <v>137</v>
      </c>
      <c r="B34" s="244" t="str">
        <f>VLOOKUP(A34,'DFP-Com'!$A$16:$B$50,2,1)</f>
        <v xml:space="preserve">     3.1.c  Voc Ed Tracer Studies</v>
      </c>
      <c r="C34" s="235" t="s">
        <v>203</v>
      </c>
      <c r="D34" s="224">
        <v>100000</v>
      </c>
      <c r="E34" s="285" t="s">
        <v>177</v>
      </c>
      <c r="L34" s="288">
        <v>0.25</v>
      </c>
      <c r="M34" s="288">
        <v>0.25</v>
      </c>
      <c r="N34" s="288">
        <v>0.25</v>
      </c>
      <c r="O34" s="288">
        <v>0.25</v>
      </c>
      <c r="U34" s="288">
        <f t="shared" si="0"/>
        <v>1</v>
      </c>
      <c r="X34" s="290">
        <f t="shared" si="5"/>
        <v>0</v>
      </c>
      <c r="Y34" s="290">
        <f t="shared" si="5"/>
        <v>0</v>
      </c>
      <c r="Z34" s="290">
        <f t="shared" si="5"/>
        <v>0</v>
      </c>
      <c r="AA34" s="290">
        <f t="shared" si="5"/>
        <v>0</v>
      </c>
      <c r="AB34" s="290">
        <f t="shared" si="5"/>
        <v>0</v>
      </c>
      <c r="AC34" s="290">
        <f t="shared" si="5"/>
        <v>0</v>
      </c>
      <c r="AD34" s="290">
        <f t="shared" si="5"/>
        <v>25000</v>
      </c>
      <c r="AE34" s="290">
        <f t="shared" si="5"/>
        <v>25000</v>
      </c>
      <c r="AF34" s="290">
        <f t="shared" si="5"/>
        <v>25000</v>
      </c>
      <c r="AG34" s="290">
        <f t="shared" si="5"/>
        <v>25000</v>
      </c>
      <c r="AH34" s="290">
        <f t="shared" si="5"/>
        <v>0</v>
      </c>
      <c r="AI34" s="290">
        <f t="shared" si="5"/>
        <v>0</v>
      </c>
      <c r="AJ34" s="290">
        <f t="shared" si="5"/>
        <v>0</v>
      </c>
      <c r="AK34" s="290">
        <f t="shared" si="5"/>
        <v>0</v>
      </c>
      <c r="AL34" s="290">
        <f t="shared" si="5"/>
        <v>0</v>
      </c>
      <c r="AM34" s="229"/>
      <c r="AN34" s="290">
        <f t="shared" si="4"/>
        <v>0</v>
      </c>
      <c r="AO34" s="290">
        <f t="shared" si="4"/>
        <v>0</v>
      </c>
      <c r="AP34" s="290">
        <f t="shared" si="4"/>
        <v>0</v>
      </c>
      <c r="AQ34" s="290">
        <f t="shared" si="4"/>
        <v>0</v>
      </c>
      <c r="AR34" s="290">
        <f t="shared" si="4"/>
        <v>0</v>
      </c>
      <c r="AS34" s="290">
        <f t="shared" si="4"/>
        <v>0</v>
      </c>
      <c r="AT34" s="290">
        <f t="shared" si="4"/>
        <v>100000</v>
      </c>
      <c r="AU34" s="290">
        <f t="shared" si="4"/>
        <v>0</v>
      </c>
      <c r="AV34" s="290">
        <f t="shared" si="4"/>
        <v>0</v>
      </c>
      <c r="AW34" s="290">
        <f t="shared" si="4"/>
        <v>0</v>
      </c>
      <c r="AX34" s="290">
        <f t="shared" si="4"/>
        <v>0</v>
      </c>
      <c r="AY34" s="290">
        <f t="shared" si="4"/>
        <v>0</v>
      </c>
      <c r="AZ34" s="290">
        <f t="shared" si="4"/>
        <v>0</v>
      </c>
      <c r="BA34" s="290">
        <f t="shared" si="4"/>
        <v>0</v>
      </c>
      <c r="BB34" s="290">
        <f t="shared" si="4"/>
        <v>0</v>
      </c>
      <c r="BD34" s="289">
        <f t="shared" si="6"/>
        <v>0</v>
      </c>
    </row>
    <row r="35" spans="1:56" x14ac:dyDescent="0.25">
      <c r="A35" s="285" t="s">
        <v>137</v>
      </c>
      <c r="B35" s="244" t="str">
        <f>VLOOKUP(A35,'DFP-Com'!$A$16:$B$50,2,1)</f>
        <v xml:space="preserve">     3.1.c  Voc Ed Tracer Studies</v>
      </c>
      <c r="C35" s="235" t="s">
        <v>203</v>
      </c>
      <c r="D35" s="224">
        <v>200000</v>
      </c>
      <c r="E35" s="285" t="s">
        <v>204</v>
      </c>
      <c r="Q35" s="288">
        <v>0.25</v>
      </c>
      <c r="R35" s="288">
        <v>0.25</v>
      </c>
      <c r="S35" s="288">
        <v>0.25</v>
      </c>
      <c r="T35" s="288">
        <v>0.25</v>
      </c>
      <c r="U35" s="288">
        <f t="shared" si="0"/>
        <v>1</v>
      </c>
      <c r="X35" s="290">
        <f t="shared" si="5"/>
        <v>0</v>
      </c>
      <c r="Y35" s="290">
        <f t="shared" si="5"/>
        <v>0</v>
      </c>
      <c r="Z35" s="290">
        <f t="shared" si="5"/>
        <v>0</v>
      </c>
      <c r="AA35" s="290">
        <f t="shared" si="5"/>
        <v>0</v>
      </c>
      <c r="AB35" s="290">
        <f t="shared" si="5"/>
        <v>0</v>
      </c>
      <c r="AC35" s="290">
        <f t="shared" si="5"/>
        <v>0</v>
      </c>
      <c r="AD35" s="290">
        <f t="shared" si="5"/>
        <v>0</v>
      </c>
      <c r="AE35" s="290">
        <f t="shared" si="5"/>
        <v>0</v>
      </c>
      <c r="AF35" s="290">
        <f t="shared" si="5"/>
        <v>0</v>
      </c>
      <c r="AG35" s="290">
        <f t="shared" si="5"/>
        <v>0</v>
      </c>
      <c r="AH35" s="290">
        <f t="shared" si="5"/>
        <v>0</v>
      </c>
      <c r="AI35" s="290">
        <f t="shared" si="5"/>
        <v>50000</v>
      </c>
      <c r="AJ35" s="290">
        <f t="shared" si="5"/>
        <v>50000</v>
      </c>
      <c r="AK35" s="290">
        <f t="shared" si="5"/>
        <v>50000</v>
      </c>
      <c r="AL35" s="290">
        <f t="shared" si="5"/>
        <v>50000</v>
      </c>
      <c r="AM35" s="229"/>
      <c r="AN35" s="290">
        <f t="shared" si="4"/>
        <v>0</v>
      </c>
      <c r="AO35" s="290">
        <f t="shared" si="4"/>
        <v>0</v>
      </c>
      <c r="AP35" s="290">
        <f t="shared" si="4"/>
        <v>0</v>
      </c>
      <c r="AQ35" s="290">
        <f t="shared" si="4"/>
        <v>0</v>
      </c>
      <c r="AR35" s="290">
        <f t="shared" si="4"/>
        <v>0</v>
      </c>
      <c r="AS35" s="290">
        <f t="shared" si="4"/>
        <v>0</v>
      </c>
      <c r="AT35" s="290">
        <f t="shared" si="4"/>
        <v>0</v>
      </c>
      <c r="AU35" s="290">
        <f t="shared" si="4"/>
        <v>0</v>
      </c>
      <c r="AV35" s="290">
        <f t="shared" si="4"/>
        <v>0</v>
      </c>
      <c r="AW35" s="290">
        <f t="shared" si="4"/>
        <v>0</v>
      </c>
      <c r="AX35" s="290">
        <f t="shared" si="4"/>
        <v>0</v>
      </c>
      <c r="AY35" s="290">
        <f t="shared" si="4"/>
        <v>0</v>
      </c>
      <c r="AZ35" s="290">
        <f t="shared" si="4"/>
        <v>0</v>
      </c>
      <c r="BA35" s="290">
        <f t="shared" si="4"/>
        <v>0</v>
      </c>
      <c r="BB35" s="290">
        <f t="shared" si="4"/>
        <v>200000</v>
      </c>
      <c r="BD35" s="289">
        <f t="shared" si="6"/>
        <v>0</v>
      </c>
    </row>
    <row r="36" spans="1:56" x14ac:dyDescent="0.25">
      <c r="A36" s="285" t="s">
        <v>138</v>
      </c>
      <c r="B36" s="244" t="str">
        <f>VLOOKUP(A36,'DFP-Com'!$A$16:$B$50,2,1)</f>
        <v xml:space="preserve">     3.1 d Other</v>
      </c>
      <c r="C36" s="235" t="s">
        <v>203</v>
      </c>
      <c r="D36" s="224">
        <v>200000</v>
      </c>
      <c r="E36" s="285" t="s">
        <v>204</v>
      </c>
      <c r="Q36" s="288">
        <v>0.25</v>
      </c>
      <c r="R36" s="288">
        <v>0.25</v>
      </c>
      <c r="S36" s="288">
        <v>0.25</v>
      </c>
      <c r="T36" s="288">
        <v>0.25</v>
      </c>
      <c r="U36" s="288">
        <f t="shared" si="0"/>
        <v>1</v>
      </c>
      <c r="X36" s="290">
        <f t="shared" si="5"/>
        <v>0</v>
      </c>
      <c r="Y36" s="290">
        <f t="shared" si="5"/>
        <v>0</v>
      </c>
      <c r="Z36" s="290">
        <f t="shared" si="5"/>
        <v>0</v>
      </c>
      <c r="AA36" s="290">
        <f t="shared" si="5"/>
        <v>0</v>
      </c>
      <c r="AB36" s="290">
        <f t="shared" si="5"/>
        <v>0</v>
      </c>
      <c r="AC36" s="290">
        <f t="shared" si="5"/>
        <v>0</v>
      </c>
      <c r="AD36" s="290">
        <f t="shared" si="5"/>
        <v>0</v>
      </c>
      <c r="AE36" s="290">
        <f t="shared" si="5"/>
        <v>0</v>
      </c>
      <c r="AF36" s="290">
        <f t="shared" si="5"/>
        <v>0</v>
      </c>
      <c r="AG36" s="290">
        <f t="shared" si="5"/>
        <v>0</v>
      </c>
      <c r="AH36" s="290">
        <f t="shared" si="5"/>
        <v>0</v>
      </c>
      <c r="AI36" s="290">
        <f t="shared" si="5"/>
        <v>50000</v>
      </c>
      <c r="AJ36" s="290">
        <f t="shared" si="5"/>
        <v>50000</v>
      </c>
      <c r="AK36" s="290">
        <f t="shared" si="5"/>
        <v>50000</v>
      </c>
      <c r="AL36" s="290">
        <f t="shared" si="5"/>
        <v>50000</v>
      </c>
      <c r="AM36" s="229"/>
      <c r="AN36" s="290">
        <f t="shared" ref="AN36:BB38" si="7">IF(AN$3=$E36,$D36,0)</f>
        <v>0</v>
      </c>
      <c r="AO36" s="290">
        <f t="shared" si="7"/>
        <v>0</v>
      </c>
      <c r="AP36" s="290">
        <f t="shared" si="7"/>
        <v>0</v>
      </c>
      <c r="AQ36" s="290">
        <f t="shared" si="7"/>
        <v>0</v>
      </c>
      <c r="AR36" s="290">
        <f t="shared" si="7"/>
        <v>0</v>
      </c>
      <c r="AS36" s="290">
        <f t="shared" si="7"/>
        <v>0</v>
      </c>
      <c r="AT36" s="290">
        <f t="shared" si="7"/>
        <v>0</v>
      </c>
      <c r="AU36" s="290">
        <f t="shared" si="7"/>
        <v>0</v>
      </c>
      <c r="AV36" s="290">
        <f t="shared" si="7"/>
        <v>0</v>
      </c>
      <c r="AW36" s="290">
        <f t="shared" si="7"/>
        <v>0</v>
      </c>
      <c r="AX36" s="290">
        <f t="shared" si="7"/>
        <v>0</v>
      </c>
      <c r="AY36" s="290">
        <f t="shared" si="7"/>
        <v>0</v>
      </c>
      <c r="AZ36" s="290">
        <f t="shared" si="7"/>
        <v>0</v>
      </c>
      <c r="BA36" s="290">
        <f t="shared" si="7"/>
        <v>0</v>
      </c>
      <c r="BB36" s="290">
        <f t="shared" si="7"/>
        <v>200000</v>
      </c>
      <c r="BD36" s="289">
        <f t="shared" si="6"/>
        <v>0</v>
      </c>
    </row>
    <row r="37" spans="1:56" x14ac:dyDescent="0.25">
      <c r="A37" s="285" t="s">
        <v>141</v>
      </c>
      <c r="B37" s="244" t="str">
        <f>VLOOKUP(A37,'DFP-Com'!$A$16:$B$50,2,1)</f>
        <v xml:space="preserve">     4.1.c  Audit</v>
      </c>
      <c r="C37" s="235" t="s">
        <v>179</v>
      </c>
      <c r="D37" s="311">
        <v>90000</v>
      </c>
      <c r="E37" s="285" t="s">
        <v>192</v>
      </c>
      <c r="K37" s="227"/>
      <c r="L37" s="227">
        <f>1/6</f>
        <v>0.16666666666666666</v>
      </c>
      <c r="M37" s="227">
        <f>1/6</f>
        <v>0.16666666666666666</v>
      </c>
      <c r="P37" s="227">
        <f>1/6</f>
        <v>0.16666666666666666</v>
      </c>
      <c r="Q37" s="227">
        <f>1/6</f>
        <v>0.16666666666666666</v>
      </c>
      <c r="T37" s="227">
        <f>1/3</f>
        <v>0.33333333333333331</v>
      </c>
      <c r="U37" s="288">
        <f t="shared" si="0"/>
        <v>1</v>
      </c>
      <c r="X37" s="290">
        <f t="shared" si="5"/>
        <v>0</v>
      </c>
      <c r="Y37" s="290">
        <f t="shared" si="5"/>
        <v>0</v>
      </c>
      <c r="Z37" s="290">
        <f t="shared" si="5"/>
        <v>0</v>
      </c>
      <c r="AA37" s="290">
        <f t="shared" si="5"/>
        <v>0</v>
      </c>
      <c r="AB37" s="290">
        <f t="shared" si="5"/>
        <v>0</v>
      </c>
      <c r="AC37" s="290">
        <f t="shared" si="5"/>
        <v>0</v>
      </c>
      <c r="AD37" s="290">
        <f t="shared" si="5"/>
        <v>15000</v>
      </c>
      <c r="AE37" s="290">
        <f t="shared" si="5"/>
        <v>15000</v>
      </c>
      <c r="AF37" s="290">
        <f t="shared" si="5"/>
        <v>0</v>
      </c>
      <c r="AG37" s="290">
        <f t="shared" si="5"/>
        <v>0</v>
      </c>
      <c r="AH37" s="290">
        <f t="shared" si="5"/>
        <v>15000</v>
      </c>
      <c r="AI37" s="290">
        <f t="shared" si="5"/>
        <v>15000</v>
      </c>
      <c r="AJ37" s="290">
        <f t="shared" si="5"/>
        <v>0</v>
      </c>
      <c r="AK37" s="290">
        <f t="shared" si="5"/>
        <v>0</v>
      </c>
      <c r="AL37" s="290">
        <f t="shared" si="5"/>
        <v>30000</v>
      </c>
      <c r="AM37" s="229"/>
      <c r="AN37" s="290">
        <f t="shared" si="7"/>
        <v>0</v>
      </c>
      <c r="AO37" s="290">
        <f t="shared" si="7"/>
        <v>0</v>
      </c>
      <c r="AP37" s="290">
        <f t="shared" si="7"/>
        <v>0</v>
      </c>
      <c r="AQ37" s="290">
        <f t="shared" si="7"/>
        <v>0</v>
      </c>
      <c r="AR37" s="290">
        <f t="shared" si="7"/>
        <v>90000</v>
      </c>
      <c r="AS37" s="290">
        <f t="shared" si="7"/>
        <v>0</v>
      </c>
      <c r="AT37" s="290">
        <f t="shared" si="7"/>
        <v>0</v>
      </c>
      <c r="AU37" s="290">
        <f t="shared" si="7"/>
        <v>0</v>
      </c>
      <c r="AV37" s="290">
        <f t="shared" si="7"/>
        <v>0</v>
      </c>
      <c r="AW37" s="290">
        <f t="shared" si="7"/>
        <v>0</v>
      </c>
      <c r="AX37" s="290">
        <f t="shared" si="7"/>
        <v>0</v>
      </c>
      <c r="AY37" s="290">
        <f t="shared" si="7"/>
        <v>0</v>
      </c>
      <c r="AZ37" s="290">
        <f t="shared" si="7"/>
        <v>0</v>
      </c>
      <c r="BA37" s="290">
        <f t="shared" si="7"/>
        <v>0</v>
      </c>
      <c r="BB37" s="290">
        <f t="shared" si="7"/>
        <v>0</v>
      </c>
      <c r="BD37" s="289">
        <f t="shared" si="6"/>
        <v>0</v>
      </c>
    </row>
    <row r="38" spans="1:56" x14ac:dyDescent="0.25">
      <c r="A38" s="285" t="s">
        <v>142</v>
      </c>
      <c r="B38" s="244" t="str">
        <f>VLOOKUP(A38,'DFP-Com'!$A$16:$B$50,2,1)</f>
        <v xml:space="preserve">     4.1.d  Other</v>
      </c>
      <c r="C38" s="235" t="s">
        <v>180</v>
      </c>
      <c r="D38" s="301">
        <v>11500</v>
      </c>
      <c r="E38" s="285" t="s">
        <v>191</v>
      </c>
      <c r="G38" s="300">
        <v>0.67</v>
      </c>
      <c r="H38" s="306">
        <v>0.33</v>
      </c>
      <c r="U38" s="288">
        <f t="shared" si="0"/>
        <v>1</v>
      </c>
      <c r="X38" s="290">
        <f t="shared" ref="X38:AL38" si="8">F38*$D38</f>
        <v>0</v>
      </c>
      <c r="Y38" s="290">
        <f t="shared" si="8"/>
        <v>7705.0000000000009</v>
      </c>
      <c r="Z38" s="290">
        <f t="shared" si="8"/>
        <v>3795</v>
      </c>
      <c r="AA38" s="290">
        <f t="shared" si="8"/>
        <v>0</v>
      </c>
      <c r="AB38" s="290">
        <f t="shared" si="8"/>
        <v>0</v>
      </c>
      <c r="AC38" s="290">
        <f t="shared" si="8"/>
        <v>0</v>
      </c>
      <c r="AD38" s="290">
        <f t="shared" si="8"/>
        <v>0</v>
      </c>
      <c r="AE38" s="290">
        <f t="shared" si="8"/>
        <v>0</v>
      </c>
      <c r="AF38" s="290">
        <f t="shared" si="8"/>
        <v>0</v>
      </c>
      <c r="AG38" s="290">
        <f t="shared" si="8"/>
        <v>0</v>
      </c>
      <c r="AH38" s="290">
        <f t="shared" si="8"/>
        <v>0</v>
      </c>
      <c r="AI38" s="290">
        <f t="shared" si="8"/>
        <v>0</v>
      </c>
      <c r="AJ38" s="290">
        <f t="shared" si="8"/>
        <v>0</v>
      </c>
      <c r="AK38" s="290">
        <f t="shared" si="8"/>
        <v>0</v>
      </c>
      <c r="AL38" s="290">
        <f t="shared" si="8"/>
        <v>0</v>
      </c>
      <c r="AM38" s="229"/>
      <c r="AN38" s="290">
        <f t="shared" si="7"/>
        <v>0</v>
      </c>
      <c r="AO38" s="290">
        <f t="shared" si="7"/>
        <v>11500</v>
      </c>
      <c r="AP38" s="290">
        <f t="shared" si="7"/>
        <v>0</v>
      </c>
      <c r="AQ38" s="290">
        <f t="shared" si="7"/>
        <v>0</v>
      </c>
      <c r="AR38" s="290">
        <f t="shared" si="7"/>
        <v>0</v>
      </c>
      <c r="AS38" s="290">
        <f t="shared" si="7"/>
        <v>0</v>
      </c>
      <c r="AT38" s="290">
        <f t="shared" si="7"/>
        <v>0</v>
      </c>
      <c r="AU38" s="290">
        <f t="shared" si="7"/>
        <v>0</v>
      </c>
      <c r="AV38" s="290">
        <f t="shared" si="7"/>
        <v>0</v>
      </c>
      <c r="AW38" s="290">
        <f t="shared" si="7"/>
        <v>0</v>
      </c>
      <c r="AX38" s="290">
        <f t="shared" si="7"/>
        <v>0</v>
      </c>
      <c r="AY38" s="290">
        <f t="shared" si="7"/>
        <v>0</v>
      </c>
      <c r="AZ38" s="290">
        <f t="shared" si="7"/>
        <v>0</v>
      </c>
      <c r="BA38" s="290">
        <f t="shared" si="7"/>
        <v>0</v>
      </c>
      <c r="BB38" s="290">
        <f t="shared" si="7"/>
        <v>0</v>
      </c>
      <c r="BD38" s="289">
        <f t="shared" si="6"/>
        <v>0</v>
      </c>
    </row>
    <row r="39" spans="1:56" x14ac:dyDescent="0.25">
      <c r="B39" s="244"/>
      <c r="C39" s="235"/>
      <c r="D39" s="224"/>
      <c r="Q39" s="288"/>
      <c r="R39" s="288"/>
      <c r="S39" s="288"/>
      <c r="T39" s="288"/>
      <c r="U39" s="288"/>
      <c r="X39" s="290"/>
      <c r="Y39" s="290"/>
      <c r="Z39" s="290"/>
      <c r="AA39" s="290"/>
      <c r="AB39" s="290"/>
      <c r="AC39" s="290"/>
      <c r="AD39" s="290"/>
      <c r="AE39" s="290"/>
      <c r="AF39" s="290"/>
      <c r="AG39" s="290"/>
      <c r="AH39" s="290"/>
      <c r="AI39" s="290"/>
      <c r="AJ39" s="290"/>
      <c r="AK39" s="290"/>
      <c r="AL39" s="290"/>
      <c r="AM39" s="229"/>
      <c r="AN39" s="290"/>
      <c r="AO39" s="290"/>
      <c r="AP39" s="290"/>
      <c r="AQ39" s="290"/>
      <c r="AR39" s="290"/>
      <c r="AS39" s="290"/>
      <c r="AT39" s="290"/>
      <c r="AU39" s="290"/>
      <c r="AV39" s="290"/>
      <c r="AW39" s="290"/>
      <c r="AX39" s="290"/>
      <c r="AY39" s="290"/>
      <c r="AZ39" s="290"/>
      <c r="BA39" s="290"/>
      <c r="BB39" s="290"/>
      <c r="BD39" s="289"/>
    </row>
    <row r="40" spans="1:56" x14ac:dyDescent="0.25">
      <c r="B40" s="226" t="e">
        <f>VLOOKUP(A40,'DFP-Com'!$A$16:$B$50,2,1)</f>
        <v>#N/A</v>
      </c>
      <c r="C40" s="285" t="s">
        <v>196</v>
      </c>
      <c r="D40" s="224"/>
      <c r="X40" s="290">
        <f t="shared" ref="X40:AL40" si="9">F40*$D40</f>
        <v>0</v>
      </c>
      <c r="Y40" s="290">
        <f t="shared" si="9"/>
        <v>0</v>
      </c>
      <c r="Z40" s="290">
        <f t="shared" si="9"/>
        <v>0</v>
      </c>
      <c r="AA40" s="290">
        <f t="shared" si="9"/>
        <v>0</v>
      </c>
      <c r="AB40" s="290">
        <f t="shared" si="9"/>
        <v>0</v>
      </c>
      <c r="AC40" s="290">
        <f t="shared" si="9"/>
        <v>0</v>
      </c>
      <c r="AD40" s="290">
        <f t="shared" si="9"/>
        <v>0</v>
      </c>
      <c r="AE40" s="290">
        <f t="shared" si="9"/>
        <v>0</v>
      </c>
      <c r="AF40" s="290">
        <f t="shared" si="9"/>
        <v>0</v>
      </c>
      <c r="AG40" s="290">
        <f t="shared" si="9"/>
        <v>0</v>
      </c>
      <c r="AH40" s="290">
        <f t="shared" si="9"/>
        <v>0</v>
      </c>
      <c r="AI40" s="290">
        <f t="shared" si="9"/>
        <v>0</v>
      </c>
      <c r="AJ40" s="290">
        <f t="shared" si="9"/>
        <v>0</v>
      </c>
      <c r="AK40" s="290">
        <f t="shared" si="9"/>
        <v>0</v>
      </c>
      <c r="AL40" s="290">
        <f t="shared" si="9"/>
        <v>0</v>
      </c>
      <c r="AM40" s="229"/>
      <c r="AN40" s="290">
        <f t="shared" ref="AN40:BB40" si="10">IF(AN$3=$E40,$D40,0)</f>
        <v>0</v>
      </c>
      <c r="AO40" s="290">
        <f t="shared" si="10"/>
        <v>0</v>
      </c>
      <c r="AP40" s="290">
        <f t="shared" si="10"/>
        <v>0</v>
      </c>
      <c r="AQ40" s="290">
        <f t="shared" si="10"/>
        <v>0</v>
      </c>
      <c r="AR40" s="290">
        <f t="shared" si="10"/>
        <v>0</v>
      </c>
      <c r="AS40" s="290">
        <f t="shared" si="10"/>
        <v>0</v>
      </c>
      <c r="AT40" s="290">
        <f t="shared" si="10"/>
        <v>0</v>
      </c>
      <c r="AU40" s="290">
        <f t="shared" si="10"/>
        <v>0</v>
      </c>
      <c r="AV40" s="290">
        <f t="shared" si="10"/>
        <v>0</v>
      </c>
      <c r="AW40" s="290">
        <f t="shared" si="10"/>
        <v>0</v>
      </c>
      <c r="AX40" s="290">
        <f t="shared" si="10"/>
        <v>0</v>
      </c>
      <c r="AY40" s="290">
        <f t="shared" si="10"/>
        <v>0</v>
      </c>
      <c r="AZ40" s="290">
        <f t="shared" si="10"/>
        <v>0</v>
      </c>
      <c r="BA40" s="290">
        <f t="shared" si="10"/>
        <v>0</v>
      </c>
      <c r="BB40" s="290">
        <f t="shared" si="10"/>
        <v>0</v>
      </c>
      <c r="BD40" s="289">
        <f t="shared" ref="BD40:BD55" si="11">SUM(X40:AL40)-SUM(AN40:BB40)</f>
        <v>0</v>
      </c>
    </row>
    <row r="41" spans="1:56" x14ac:dyDescent="0.25">
      <c r="D41" s="285" t="s">
        <v>161</v>
      </c>
      <c r="F41" s="285" t="s">
        <v>144</v>
      </c>
      <c r="G41" s="285" t="s">
        <v>148</v>
      </c>
      <c r="H41" s="302" t="s">
        <v>149</v>
      </c>
      <c r="I41" s="285" t="s">
        <v>150</v>
      </c>
      <c r="J41" s="285" t="s">
        <v>151</v>
      </c>
      <c r="K41" s="285" t="s">
        <v>152</v>
      </c>
      <c r="L41" s="285" t="s">
        <v>153</v>
      </c>
      <c r="M41" s="285" t="s">
        <v>154</v>
      </c>
      <c r="N41" s="285" t="s">
        <v>155</v>
      </c>
      <c r="O41" s="285" t="s">
        <v>156</v>
      </c>
      <c r="P41" s="285" t="s">
        <v>157</v>
      </c>
      <c r="Q41" s="285" t="s">
        <v>158</v>
      </c>
      <c r="R41" s="285" t="s">
        <v>159</v>
      </c>
      <c r="S41" s="285" t="s">
        <v>160</v>
      </c>
      <c r="T41" s="285" t="s">
        <v>162</v>
      </c>
      <c r="U41" s="285" t="s">
        <v>161</v>
      </c>
      <c r="X41" s="290"/>
      <c r="Y41" s="290"/>
      <c r="Z41" s="290"/>
      <c r="AA41" s="290"/>
      <c r="AB41" s="290"/>
      <c r="AC41" s="290"/>
      <c r="AD41" s="290"/>
      <c r="AE41" s="290"/>
      <c r="AF41" s="290"/>
      <c r="AG41" s="290"/>
      <c r="AH41" s="290"/>
      <c r="AI41" s="290"/>
      <c r="AJ41" s="290"/>
      <c r="AK41" s="290"/>
      <c r="AL41" s="290"/>
      <c r="AM41" s="229"/>
      <c r="AN41" s="229"/>
      <c r="AO41" s="229"/>
      <c r="AP41" s="229"/>
      <c r="AQ41" s="229"/>
      <c r="AR41" s="229"/>
      <c r="AS41" s="229"/>
      <c r="AT41" s="229"/>
      <c r="AU41" s="229"/>
      <c r="AV41" s="229"/>
      <c r="AW41" s="229"/>
      <c r="AX41" s="229"/>
      <c r="AY41" s="229"/>
      <c r="AZ41" s="229"/>
      <c r="BA41" s="229"/>
      <c r="BB41" s="229"/>
      <c r="BD41" s="289">
        <f t="shared" si="11"/>
        <v>0</v>
      </c>
    </row>
    <row r="42" spans="1:56" x14ac:dyDescent="0.25">
      <c r="A42" s="225" t="s">
        <v>188</v>
      </c>
      <c r="B42" s="225"/>
      <c r="D42" s="224"/>
      <c r="X42" s="239"/>
      <c r="Y42" s="290"/>
      <c r="Z42" s="290"/>
      <c r="AA42" s="290"/>
      <c r="AB42" s="290"/>
      <c r="AC42" s="290"/>
      <c r="AD42" s="290"/>
      <c r="AE42" s="290"/>
      <c r="AF42" s="290"/>
      <c r="AG42" s="290"/>
      <c r="AH42" s="290"/>
      <c r="AI42" s="290"/>
      <c r="AJ42" s="290"/>
      <c r="AK42" s="290"/>
      <c r="AL42" s="290"/>
      <c r="AM42" s="229"/>
      <c r="AN42" s="228" t="s">
        <v>144</v>
      </c>
      <c r="AO42" s="228" t="s">
        <v>148</v>
      </c>
      <c r="AP42" s="228" t="s">
        <v>149</v>
      </c>
      <c r="AQ42" s="228" t="s">
        <v>150</v>
      </c>
      <c r="AR42" s="228" t="s">
        <v>144</v>
      </c>
      <c r="AS42" s="228" t="s">
        <v>148</v>
      </c>
      <c r="AT42" s="228" t="s">
        <v>149</v>
      </c>
      <c r="AU42" s="228" t="s">
        <v>150</v>
      </c>
      <c r="AV42" s="228" t="s">
        <v>144</v>
      </c>
      <c r="AW42" s="228" t="s">
        <v>148</v>
      </c>
      <c r="AX42" s="228" t="s">
        <v>149</v>
      </c>
      <c r="AY42" s="228" t="s">
        <v>150</v>
      </c>
      <c r="AZ42" s="228" t="s">
        <v>144</v>
      </c>
      <c r="BA42" s="228" t="s">
        <v>148</v>
      </c>
      <c r="BB42" s="228" t="s">
        <v>149</v>
      </c>
      <c r="BD42" s="289">
        <f t="shared" si="11"/>
        <v>0</v>
      </c>
    </row>
    <row r="43" spans="1:56" x14ac:dyDescent="0.25">
      <c r="A43" s="285" t="s">
        <v>129</v>
      </c>
      <c r="B43" s="233" t="str">
        <f>VLOOKUP(A43,'DFP-Com'!$A$16:$B$50,2,1)</f>
        <v xml:space="preserve">     1.3.b  Education Project Coordination team*</v>
      </c>
      <c r="C43" s="285" t="s">
        <v>167</v>
      </c>
      <c r="D43" s="224">
        <f t="shared" ref="D43:D49" si="12">SUM(F43:T43)</f>
        <v>121400</v>
      </c>
      <c r="E43" s="285" t="s">
        <v>191</v>
      </c>
      <c r="G43" s="292">
        <v>4400</v>
      </c>
      <c r="H43" s="307">
        <v>9000</v>
      </c>
      <c r="I43" s="292">
        <v>9000</v>
      </c>
      <c r="J43" s="292">
        <v>9000</v>
      </c>
      <c r="K43" s="292">
        <v>9000</v>
      </c>
      <c r="L43" s="292">
        <v>9000</v>
      </c>
      <c r="M43" s="292">
        <v>9000</v>
      </c>
      <c r="N43" s="292">
        <v>9000</v>
      </c>
      <c r="O43" s="292">
        <v>9000</v>
      </c>
      <c r="P43" s="292">
        <v>9000</v>
      </c>
      <c r="Q43" s="292">
        <v>9000</v>
      </c>
      <c r="R43" s="292">
        <v>9000</v>
      </c>
      <c r="S43" s="292">
        <v>9000</v>
      </c>
      <c r="T43" s="292">
        <v>9000</v>
      </c>
      <c r="U43" s="292">
        <f>SUM(F43:T43)</f>
        <v>121400</v>
      </c>
      <c r="X43" s="239">
        <f t="shared" ref="X43:AL51" si="13">F43</f>
        <v>0</v>
      </c>
      <c r="Y43" s="290">
        <f t="shared" si="13"/>
        <v>4400</v>
      </c>
      <c r="Z43" s="290">
        <f t="shared" si="13"/>
        <v>9000</v>
      </c>
      <c r="AA43" s="290">
        <f t="shared" si="13"/>
        <v>9000</v>
      </c>
      <c r="AB43" s="290">
        <f t="shared" si="13"/>
        <v>9000</v>
      </c>
      <c r="AC43" s="290">
        <f t="shared" si="13"/>
        <v>9000</v>
      </c>
      <c r="AD43" s="290">
        <f t="shared" si="13"/>
        <v>9000</v>
      </c>
      <c r="AE43" s="290">
        <f t="shared" si="13"/>
        <v>9000</v>
      </c>
      <c r="AF43" s="290">
        <f t="shared" si="13"/>
        <v>9000</v>
      </c>
      <c r="AG43" s="290">
        <f t="shared" si="13"/>
        <v>9000</v>
      </c>
      <c r="AH43" s="290">
        <f t="shared" si="13"/>
        <v>9000</v>
      </c>
      <c r="AI43" s="290">
        <f t="shared" si="13"/>
        <v>9000</v>
      </c>
      <c r="AJ43" s="290">
        <f t="shared" si="13"/>
        <v>9000</v>
      </c>
      <c r="AK43" s="290">
        <f t="shared" si="13"/>
        <v>9000</v>
      </c>
      <c r="AL43" s="290">
        <f t="shared" si="13"/>
        <v>9000</v>
      </c>
      <c r="AM43" s="229"/>
      <c r="AN43" s="290">
        <f>IF(AN$42=$E43,SUM(X43:AA43),0)</f>
        <v>0</v>
      </c>
      <c r="AO43" s="290">
        <f t="shared" ref="AO43:AY51" si="14">IF(AO$42=$E43,SUM(Y43:AB43),0)</f>
        <v>31400</v>
      </c>
      <c r="AP43" s="290">
        <f t="shared" si="14"/>
        <v>0</v>
      </c>
      <c r="AQ43" s="290">
        <f t="shared" si="14"/>
        <v>0</v>
      </c>
      <c r="AR43" s="290">
        <f t="shared" si="14"/>
        <v>0</v>
      </c>
      <c r="AS43" s="290">
        <f t="shared" si="14"/>
        <v>36000</v>
      </c>
      <c r="AT43" s="290">
        <f t="shared" si="14"/>
        <v>0</v>
      </c>
      <c r="AU43" s="290">
        <f t="shared" si="14"/>
        <v>0</v>
      </c>
      <c r="AV43" s="290">
        <f t="shared" si="14"/>
        <v>0</v>
      </c>
      <c r="AW43" s="290">
        <f t="shared" si="14"/>
        <v>36000</v>
      </c>
      <c r="AX43" s="290">
        <f t="shared" si="14"/>
        <v>0</v>
      </c>
      <c r="AY43" s="290">
        <f t="shared" si="14"/>
        <v>0</v>
      </c>
      <c r="AZ43" s="290">
        <f>IF(AZ$42=$E43,SUM(AJ43:$AL43),0)</f>
        <v>0</v>
      </c>
      <c r="BA43" s="290">
        <f>IF(BA$42=$E43,SUM(AK43:$AL43),0)</f>
        <v>18000</v>
      </c>
      <c r="BB43" s="290">
        <f>IF(BB$42=$E43,SUM(AL43:$AL43),0)</f>
        <v>0</v>
      </c>
      <c r="BD43" s="289">
        <f t="shared" si="11"/>
        <v>0</v>
      </c>
    </row>
    <row r="44" spans="1:56" x14ac:dyDescent="0.25">
      <c r="A44" s="285" t="s">
        <v>129</v>
      </c>
      <c r="B44" s="233" t="str">
        <f>VLOOKUP(A44,'DFP-Com'!$A$16:$B$50,2,1)</f>
        <v xml:space="preserve">     1.3.b  Education Project Coordination team*</v>
      </c>
      <c r="C44" s="285" t="s">
        <v>186</v>
      </c>
      <c r="D44" s="224">
        <f t="shared" si="12"/>
        <v>57000</v>
      </c>
      <c r="E44" s="285" t="s">
        <v>163</v>
      </c>
      <c r="G44" s="285">
        <v>0</v>
      </c>
      <c r="H44" s="307">
        <v>3000</v>
      </c>
      <c r="I44" s="292">
        <v>4500</v>
      </c>
      <c r="J44" s="292">
        <v>4500</v>
      </c>
      <c r="K44" s="292">
        <v>4500</v>
      </c>
      <c r="L44" s="292">
        <v>4500</v>
      </c>
      <c r="M44" s="292">
        <v>4500</v>
      </c>
      <c r="N44" s="292">
        <v>4500</v>
      </c>
      <c r="O44" s="292">
        <v>4500</v>
      </c>
      <c r="P44" s="292">
        <v>4500</v>
      </c>
      <c r="Q44" s="292">
        <v>4500</v>
      </c>
      <c r="R44" s="292">
        <v>4500</v>
      </c>
      <c r="S44" s="292">
        <v>4500</v>
      </c>
      <c r="T44" s="292">
        <v>4500</v>
      </c>
      <c r="U44" s="292">
        <f t="shared" ref="U44:U55" si="15">SUM(F44:T44)</f>
        <v>57000</v>
      </c>
      <c r="X44" s="239">
        <f t="shared" si="13"/>
        <v>0</v>
      </c>
      <c r="Y44" s="290">
        <f t="shared" si="13"/>
        <v>0</v>
      </c>
      <c r="Z44" s="290">
        <f t="shared" si="13"/>
        <v>3000</v>
      </c>
      <c r="AA44" s="290">
        <f t="shared" si="13"/>
        <v>4500</v>
      </c>
      <c r="AB44" s="290">
        <f t="shared" si="13"/>
        <v>4500</v>
      </c>
      <c r="AC44" s="290">
        <f t="shared" si="13"/>
        <v>4500</v>
      </c>
      <c r="AD44" s="290">
        <f t="shared" si="13"/>
        <v>4500</v>
      </c>
      <c r="AE44" s="290">
        <f t="shared" si="13"/>
        <v>4500</v>
      </c>
      <c r="AF44" s="290">
        <f t="shared" si="13"/>
        <v>4500</v>
      </c>
      <c r="AG44" s="290">
        <f t="shared" si="13"/>
        <v>4500</v>
      </c>
      <c r="AH44" s="290">
        <f t="shared" si="13"/>
        <v>4500</v>
      </c>
      <c r="AI44" s="290">
        <f t="shared" si="13"/>
        <v>4500</v>
      </c>
      <c r="AJ44" s="290">
        <f t="shared" si="13"/>
        <v>4500</v>
      </c>
      <c r="AK44" s="290">
        <f t="shared" si="13"/>
        <v>4500</v>
      </c>
      <c r="AL44" s="290">
        <f t="shared" si="13"/>
        <v>4500</v>
      </c>
      <c r="AM44" s="229"/>
      <c r="AN44" s="290">
        <f t="shared" ref="AN44:AN51" si="16">IF(AN$42=$E44,SUM(X44:AA44),0)</f>
        <v>0</v>
      </c>
      <c r="AO44" s="290">
        <f t="shared" si="14"/>
        <v>0</v>
      </c>
      <c r="AP44" s="290">
        <f t="shared" si="14"/>
        <v>16500</v>
      </c>
      <c r="AQ44" s="290">
        <f t="shared" si="14"/>
        <v>0</v>
      </c>
      <c r="AR44" s="290">
        <f t="shared" si="14"/>
        <v>0</v>
      </c>
      <c r="AS44" s="290">
        <f t="shared" si="14"/>
        <v>0</v>
      </c>
      <c r="AT44" s="290">
        <f t="shared" si="14"/>
        <v>18000</v>
      </c>
      <c r="AU44" s="290">
        <f t="shared" si="14"/>
        <v>0</v>
      </c>
      <c r="AV44" s="290">
        <f t="shared" si="14"/>
        <v>0</v>
      </c>
      <c r="AW44" s="290">
        <f t="shared" si="14"/>
        <v>0</v>
      </c>
      <c r="AX44" s="290">
        <f t="shared" si="14"/>
        <v>18000</v>
      </c>
      <c r="AY44" s="290">
        <f t="shared" si="14"/>
        <v>0</v>
      </c>
      <c r="AZ44" s="290">
        <f>IF(AZ$42=$E44,SUM(AJ44:$AL44),0)</f>
        <v>0</v>
      </c>
      <c r="BA44" s="290">
        <f>IF(BA$42=$E44,SUM(AK44:$AL44),0)</f>
        <v>0</v>
      </c>
      <c r="BB44" s="290">
        <f>IF(BB$42=$E44,SUM(AL44:$AL44),0)</f>
        <v>4500</v>
      </c>
      <c r="BD44" s="289">
        <f t="shared" si="11"/>
        <v>0</v>
      </c>
    </row>
    <row r="45" spans="1:56" x14ac:dyDescent="0.25">
      <c r="A45" s="285" t="s">
        <v>139</v>
      </c>
      <c r="B45" s="244" t="str">
        <f>VLOOKUP(A45,'DFP-Com'!$A$16:$B$50,2,1)</f>
        <v xml:space="preserve">     4.1.a  Staff Compensation*</v>
      </c>
      <c r="C45" s="285" t="s">
        <v>178</v>
      </c>
      <c r="D45" s="224">
        <f t="shared" si="12"/>
        <v>181000</v>
      </c>
      <c r="E45" s="285" t="s">
        <v>193</v>
      </c>
      <c r="F45" s="292">
        <v>10000</v>
      </c>
      <c r="G45" s="292">
        <f>15000</f>
        <v>15000</v>
      </c>
      <c r="H45" s="307">
        <v>12000</v>
      </c>
      <c r="I45" s="292">
        <v>12000</v>
      </c>
      <c r="J45" s="292">
        <v>12000</v>
      </c>
      <c r="K45" s="292">
        <v>12000</v>
      </c>
      <c r="L45" s="292">
        <v>12000</v>
      </c>
      <c r="M45" s="292">
        <v>12000</v>
      </c>
      <c r="N45" s="292">
        <v>12000</v>
      </c>
      <c r="O45" s="292">
        <v>12000</v>
      </c>
      <c r="P45" s="292">
        <v>12000</v>
      </c>
      <c r="Q45" s="292">
        <v>12000</v>
      </c>
      <c r="R45" s="292">
        <v>12000</v>
      </c>
      <c r="S45" s="292">
        <v>12000</v>
      </c>
      <c r="T45" s="292">
        <v>12000</v>
      </c>
      <c r="U45" s="292">
        <f t="shared" si="15"/>
        <v>181000</v>
      </c>
      <c r="X45" s="239">
        <f t="shared" si="13"/>
        <v>10000</v>
      </c>
      <c r="Y45" s="290">
        <f t="shared" si="13"/>
        <v>15000</v>
      </c>
      <c r="Z45" s="290">
        <f t="shared" si="13"/>
        <v>12000</v>
      </c>
      <c r="AA45" s="290">
        <f t="shared" si="13"/>
        <v>12000</v>
      </c>
      <c r="AB45" s="290">
        <f t="shared" si="13"/>
        <v>12000</v>
      </c>
      <c r="AC45" s="290">
        <f t="shared" si="13"/>
        <v>12000</v>
      </c>
      <c r="AD45" s="290">
        <f t="shared" si="13"/>
        <v>12000</v>
      </c>
      <c r="AE45" s="290">
        <f t="shared" si="13"/>
        <v>12000</v>
      </c>
      <c r="AF45" s="290">
        <f t="shared" si="13"/>
        <v>12000</v>
      </c>
      <c r="AG45" s="290">
        <f t="shared" si="13"/>
        <v>12000</v>
      </c>
      <c r="AH45" s="290">
        <f t="shared" si="13"/>
        <v>12000</v>
      </c>
      <c r="AI45" s="290">
        <f t="shared" si="13"/>
        <v>12000</v>
      </c>
      <c r="AJ45" s="290">
        <f t="shared" si="13"/>
        <v>12000</v>
      </c>
      <c r="AK45" s="290">
        <f t="shared" si="13"/>
        <v>12000</v>
      </c>
      <c r="AL45" s="290">
        <f t="shared" si="13"/>
        <v>12000</v>
      </c>
      <c r="AM45" s="229"/>
      <c r="AN45" s="290">
        <f t="shared" si="16"/>
        <v>49000</v>
      </c>
      <c r="AO45" s="290">
        <f t="shared" si="14"/>
        <v>0</v>
      </c>
      <c r="AP45" s="290">
        <f t="shared" si="14"/>
        <v>0</v>
      </c>
      <c r="AQ45" s="290">
        <f t="shared" si="14"/>
        <v>0</v>
      </c>
      <c r="AR45" s="290">
        <f t="shared" si="14"/>
        <v>48000</v>
      </c>
      <c r="AS45" s="290">
        <f t="shared" si="14"/>
        <v>0</v>
      </c>
      <c r="AT45" s="290">
        <f t="shared" si="14"/>
        <v>0</v>
      </c>
      <c r="AU45" s="290">
        <f t="shared" si="14"/>
        <v>0</v>
      </c>
      <c r="AV45" s="290">
        <f t="shared" si="14"/>
        <v>48000</v>
      </c>
      <c r="AW45" s="290">
        <f t="shared" si="14"/>
        <v>0</v>
      </c>
      <c r="AX45" s="290">
        <f t="shared" si="14"/>
        <v>0</v>
      </c>
      <c r="AY45" s="290">
        <f t="shared" si="14"/>
        <v>0</v>
      </c>
      <c r="AZ45" s="290">
        <f>IF(AZ$42=$E45,SUM(AJ45:$AL45),0)</f>
        <v>36000</v>
      </c>
      <c r="BA45" s="290">
        <f>IF(BA$42=$E45,SUM(AK45:$AL45),0)</f>
        <v>0</v>
      </c>
      <c r="BB45" s="290">
        <f>IF(BB$42=$E45,SUM(AL45:$AL45),0)</f>
        <v>0</v>
      </c>
      <c r="BD45" s="289">
        <f t="shared" si="11"/>
        <v>0</v>
      </c>
    </row>
    <row r="46" spans="1:56" x14ac:dyDescent="0.25">
      <c r="A46" s="285" t="s">
        <v>139</v>
      </c>
      <c r="B46" s="244" t="str">
        <f>VLOOKUP(A46,'DFP-Com'!$A$16:$B$50,2,1)</f>
        <v xml:space="preserve">     4.1.a  Staff Compensation*</v>
      </c>
      <c r="C46" s="285" t="s">
        <v>223</v>
      </c>
      <c r="D46" s="224">
        <f t="shared" si="12"/>
        <v>57000</v>
      </c>
      <c r="E46" s="285" t="s">
        <v>163</v>
      </c>
      <c r="G46" s="292">
        <v>0</v>
      </c>
      <c r="H46" s="307">
        <f>3000</f>
        <v>3000</v>
      </c>
      <c r="I46" s="292">
        <v>4500</v>
      </c>
      <c r="J46" s="292">
        <v>4500</v>
      </c>
      <c r="K46" s="292">
        <v>4500</v>
      </c>
      <c r="L46" s="292">
        <v>4500</v>
      </c>
      <c r="M46" s="292">
        <v>4500</v>
      </c>
      <c r="N46" s="292">
        <v>4500</v>
      </c>
      <c r="O46" s="292">
        <v>4500</v>
      </c>
      <c r="P46" s="292">
        <v>4500</v>
      </c>
      <c r="Q46" s="292">
        <v>4500</v>
      </c>
      <c r="R46" s="292">
        <v>4500</v>
      </c>
      <c r="S46" s="292">
        <v>4500</v>
      </c>
      <c r="T46" s="292">
        <v>4500</v>
      </c>
      <c r="U46" s="292">
        <f t="shared" si="15"/>
        <v>57000</v>
      </c>
      <c r="X46" s="239">
        <f t="shared" si="13"/>
        <v>0</v>
      </c>
      <c r="Y46" s="290">
        <f t="shared" si="13"/>
        <v>0</v>
      </c>
      <c r="Z46" s="290">
        <f t="shared" si="13"/>
        <v>3000</v>
      </c>
      <c r="AA46" s="290">
        <f t="shared" si="13"/>
        <v>4500</v>
      </c>
      <c r="AB46" s="290">
        <f t="shared" si="13"/>
        <v>4500</v>
      </c>
      <c r="AC46" s="290">
        <f t="shared" si="13"/>
        <v>4500</v>
      </c>
      <c r="AD46" s="290">
        <f t="shared" si="13"/>
        <v>4500</v>
      </c>
      <c r="AE46" s="290">
        <f t="shared" si="13"/>
        <v>4500</v>
      </c>
      <c r="AF46" s="290">
        <f t="shared" si="13"/>
        <v>4500</v>
      </c>
      <c r="AG46" s="290">
        <f t="shared" si="13"/>
        <v>4500</v>
      </c>
      <c r="AH46" s="290">
        <f t="shared" si="13"/>
        <v>4500</v>
      </c>
      <c r="AI46" s="290">
        <f t="shared" si="13"/>
        <v>4500</v>
      </c>
      <c r="AJ46" s="290">
        <f t="shared" si="13"/>
        <v>4500</v>
      </c>
      <c r="AK46" s="290">
        <f t="shared" si="13"/>
        <v>4500</v>
      </c>
      <c r="AL46" s="290">
        <f t="shared" si="13"/>
        <v>4500</v>
      </c>
      <c r="AM46" s="229"/>
      <c r="AN46" s="290">
        <f t="shared" si="16"/>
        <v>0</v>
      </c>
      <c r="AO46" s="290">
        <f t="shared" si="14"/>
        <v>0</v>
      </c>
      <c r="AP46" s="290">
        <f>IF(AP$42=$E46,SUM(Z46:AC46),0)</f>
        <v>16500</v>
      </c>
      <c r="AQ46" s="290">
        <f t="shared" si="14"/>
        <v>0</v>
      </c>
      <c r="AR46" s="290">
        <f t="shared" si="14"/>
        <v>0</v>
      </c>
      <c r="AS46" s="290">
        <f t="shared" si="14"/>
        <v>0</v>
      </c>
      <c r="AT46" s="290">
        <f t="shared" si="14"/>
        <v>18000</v>
      </c>
      <c r="AU46" s="290">
        <f t="shared" si="14"/>
        <v>0</v>
      </c>
      <c r="AV46" s="290">
        <f t="shared" si="14"/>
        <v>0</v>
      </c>
      <c r="AW46" s="290">
        <f t="shared" si="14"/>
        <v>0</v>
      </c>
      <c r="AX46" s="290">
        <f t="shared" si="14"/>
        <v>18000</v>
      </c>
      <c r="AY46" s="290">
        <f t="shared" si="14"/>
        <v>0</v>
      </c>
      <c r="AZ46" s="290">
        <f>IF(AZ$42=$E46,SUM(AJ46:$AL46),0)</f>
        <v>0</v>
      </c>
      <c r="BA46" s="290">
        <f>IF(BA$42=$E46,SUM(AK46:$AL46),0)</f>
        <v>0</v>
      </c>
      <c r="BB46" s="290">
        <f>IF(BB$42=$E46,SUM(AL46:$AL46),0)</f>
        <v>4500</v>
      </c>
      <c r="BD46" s="289">
        <f t="shared" si="11"/>
        <v>0</v>
      </c>
    </row>
    <row r="47" spans="1:56" x14ac:dyDescent="0.25">
      <c r="A47" s="285" t="s">
        <v>139</v>
      </c>
      <c r="B47" s="244" t="str">
        <f>VLOOKUP(A47,'DFP-Com'!$A$16:$B$50,2,1)</f>
        <v xml:space="preserve">     4.1.a  Staff Compensation*</v>
      </c>
      <c r="C47" s="285" t="s">
        <v>183</v>
      </c>
      <c r="D47" s="224">
        <f t="shared" si="12"/>
        <v>147000</v>
      </c>
      <c r="E47" s="285" t="s">
        <v>191</v>
      </c>
      <c r="G47" s="292">
        <v>10500</v>
      </c>
      <c r="H47" s="307">
        <f>3500*3</f>
        <v>10500</v>
      </c>
      <c r="I47" s="292">
        <v>10500</v>
      </c>
      <c r="J47" s="292">
        <v>10500</v>
      </c>
      <c r="K47" s="292">
        <v>10500</v>
      </c>
      <c r="L47" s="292">
        <v>10500</v>
      </c>
      <c r="M47" s="292">
        <v>10500</v>
      </c>
      <c r="N47" s="292">
        <v>10500</v>
      </c>
      <c r="O47" s="292">
        <v>10500</v>
      </c>
      <c r="P47" s="292">
        <v>10500</v>
      </c>
      <c r="Q47" s="292">
        <v>10500</v>
      </c>
      <c r="R47" s="292">
        <v>10500</v>
      </c>
      <c r="S47" s="292">
        <v>10500</v>
      </c>
      <c r="T47" s="292">
        <v>10500</v>
      </c>
      <c r="U47" s="292">
        <f t="shared" si="15"/>
        <v>147000</v>
      </c>
      <c r="X47" s="239">
        <f t="shared" si="13"/>
        <v>0</v>
      </c>
      <c r="Y47" s="290">
        <f t="shared" si="13"/>
        <v>10500</v>
      </c>
      <c r="Z47" s="290">
        <f t="shared" si="13"/>
        <v>10500</v>
      </c>
      <c r="AA47" s="290">
        <f t="shared" si="13"/>
        <v>10500</v>
      </c>
      <c r="AB47" s="290">
        <f t="shared" si="13"/>
        <v>10500</v>
      </c>
      <c r="AC47" s="290">
        <f t="shared" si="13"/>
        <v>10500</v>
      </c>
      <c r="AD47" s="290">
        <f t="shared" si="13"/>
        <v>10500</v>
      </c>
      <c r="AE47" s="290">
        <f t="shared" si="13"/>
        <v>10500</v>
      </c>
      <c r="AF47" s="290">
        <f t="shared" si="13"/>
        <v>10500</v>
      </c>
      <c r="AG47" s="290">
        <f t="shared" si="13"/>
        <v>10500</v>
      </c>
      <c r="AH47" s="290">
        <f t="shared" si="13"/>
        <v>10500</v>
      </c>
      <c r="AI47" s="290">
        <f t="shared" si="13"/>
        <v>10500</v>
      </c>
      <c r="AJ47" s="290">
        <f t="shared" si="13"/>
        <v>10500</v>
      </c>
      <c r="AK47" s="290">
        <f t="shared" si="13"/>
        <v>10500</v>
      </c>
      <c r="AL47" s="290">
        <f t="shared" si="13"/>
        <v>10500</v>
      </c>
      <c r="AM47" s="229"/>
      <c r="AN47" s="290">
        <f t="shared" si="16"/>
        <v>0</v>
      </c>
      <c r="AO47" s="290">
        <f t="shared" si="14"/>
        <v>42000</v>
      </c>
      <c r="AP47" s="290">
        <f t="shared" si="14"/>
        <v>0</v>
      </c>
      <c r="AQ47" s="290">
        <f t="shared" si="14"/>
        <v>0</v>
      </c>
      <c r="AR47" s="290">
        <f t="shared" si="14"/>
        <v>0</v>
      </c>
      <c r="AS47" s="290">
        <f t="shared" si="14"/>
        <v>42000</v>
      </c>
      <c r="AT47" s="290">
        <f t="shared" si="14"/>
        <v>0</v>
      </c>
      <c r="AU47" s="290">
        <f t="shared" si="14"/>
        <v>0</v>
      </c>
      <c r="AV47" s="290">
        <f t="shared" si="14"/>
        <v>0</v>
      </c>
      <c r="AW47" s="290">
        <f t="shared" si="14"/>
        <v>42000</v>
      </c>
      <c r="AX47" s="290">
        <f t="shared" si="14"/>
        <v>0</v>
      </c>
      <c r="AY47" s="290">
        <f t="shared" si="14"/>
        <v>0</v>
      </c>
      <c r="AZ47" s="290">
        <f>IF(AZ$42=$E47,SUM(AJ47:$AL47),0)</f>
        <v>0</v>
      </c>
      <c r="BA47" s="290">
        <f>IF(BA$42=$E47,SUM(AK47:$AL47),0)</f>
        <v>21000</v>
      </c>
      <c r="BB47" s="290">
        <f>IF(BB$42=$E47,SUM(AL47:$AL47),0)</f>
        <v>0</v>
      </c>
      <c r="BD47" s="289">
        <f t="shared" si="11"/>
        <v>0</v>
      </c>
    </row>
    <row r="48" spans="1:56" x14ac:dyDescent="0.25">
      <c r="A48" s="285" t="s">
        <v>139</v>
      </c>
      <c r="B48" s="244" t="str">
        <f>VLOOKUP(A48,'DFP-Com'!$A$16:$B$50,2,1)</f>
        <v xml:space="preserve">     4.1.a  Staff Compensation*</v>
      </c>
      <c r="C48" s="285" t="s">
        <v>184</v>
      </c>
      <c r="D48" s="224">
        <f t="shared" si="12"/>
        <v>89760</v>
      </c>
      <c r="E48" s="285" t="s">
        <v>191</v>
      </c>
      <c r="G48" s="292">
        <v>3960</v>
      </c>
      <c r="H48" s="307">
        <f>2200*3</f>
        <v>6600</v>
      </c>
      <c r="I48" s="292">
        <f t="shared" ref="I48:T49" si="17">2200*3</f>
        <v>6600</v>
      </c>
      <c r="J48" s="292">
        <f t="shared" si="17"/>
        <v>6600</v>
      </c>
      <c r="K48" s="292">
        <f t="shared" si="17"/>
        <v>6600</v>
      </c>
      <c r="L48" s="292">
        <f t="shared" si="17"/>
        <v>6600</v>
      </c>
      <c r="M48" s="292">
        <f t="shared" si="17"/>
        <v>6600</v>
      </c>
      <c r="N48" s="292">
        <f t="shared" si="17"/>
        <v>6600</v>
      </c>
      <c r="O48" s="292">
        <f t="shared" si="17"/>
        <v>6600</v>
      </c>
      <c r="P48" s="292">
        <f t="shared" si="17"/>
        <v>6600</v>
      </c>
      <c r="Q48" s="292">
        <f t="shared" si="17"/>
        <v>6600</v>
      </c>
      <c r="R48" s="292">
        <f t="shared" si="17"/>
        <v>6600</v>
      </c>
      <c r="S48" s="292">
        <f t="shared" si="17"/>
        <v>6600</v>
      </c>
      <c r="T48" s="292">
        <f t="shared" si="17"/>
        <v>6600</v>
      </c>
      <c r="U48" s="292">
        <f t="shared" si="15"/>
        <v>89760</v>
      </c>
      <c r="X48" s="239">
        <f t="shared" si="13"/>
        <v>0</v>
      </c>
      <c r="Y48" s="290">
        <f t="shared" si="13"/>
        <v>3960</v>
      </c>
      <c r="Z48" s="290">
        <f t="shared" si="13"/>
        <v>6600</v>
      </c>
      <c r="AA48" s="290">
        <f t="shared" si="13"/>
        <v>6600</v>
      </c>
      <c r="AB48" s="290">
        <f t="shared" si="13"/>
        <v>6600</v>
      </c>
      <c r="AC48" s="290">
        <f t="shared" si="13"/>
        <v>6600</v>
      </c>
      <c r="AD48" s="290">
        <f t="shared" si="13"/>
        <v>6600</v>
      </c>
      <c r="AE48" s="290">
        <f t="shared" si="13"/>
        <v>6600</v>
      </c>
      <c r="AF48" s="290">
        <f t="shared" si="13"/>
        <v>6600</v>
      </c>
      <c r="AG48" s="290">
        <f t="shared" si="13"/>
        <v>6600</v>
      </c>
      <c r="AH48" s="290">
        <f t="shared" si="13"/>
        <v>6600</v>
      </c>
      <c r="AI48" s="290">
        <f t="shared" si="13"/>
        <v>6600</v>
      </c>
      <c r="AJ48" s="290">
        <f t="shared" si="13"/>
        <v>6600</v>
      </c>
      <c r="AK48" s="290">
        <f t="shared" si="13"/>
        <v>6600</v>
      </c>
      <c r="AL48" s="290">
        <f t="shared" si="13"/>
        <v>6600</v>
      </c>
      <c r="AM48" s="229"/>
      <c r="AN48" s="290">
        <f t="shared" si="16"/>
        <v>0</v>
      </c>
      <c r="AO48" s="290">
        <f t="shared" si="14"/>
        <v>23760</v>
      </c>
      <c r="AP48" s="290">
        <f t="shared" si="14"/>
        <v>0</v>
      </c>
      <c r="AQ48" s="290">
        <f t="shared" si="14"/>
        <v>0</v>
      </c>
      <c r="AR48" s="290">
        <f t="shared" si="14"/>
        <v>0</v>
      </c>
      <c r="AS48" s="290">
        <f t="shared" si="14"/>
        <v>26400</v>
      </c>
      <c r="AT48" s="290">
        <f t="shared" si="14"/>
        <v>0</v>
      </c>
      <c r="AU48" s="290">
        <f t="shared" si="14"/>
        <v>0</v>
      </c>
      <c r="AV48" s="290">
        <f t="shared" si="14"/>
        <v>0</v>
      </c>
      <c r="AW48" s="290">
        <f t="shared" si="14"/>
        <v>26400</v>
      </c>
      <c r="AX48" s="290">
        <f t="shared" si="14"/>
        <v>0</v>
      </c>
      <c r="AY48" s="290">
        <f t="shared" si="14"/>
        <v>0</v>
      </c>
      <c r="AZ48" s="290">
        <f>IF(AZ$42=$E48,SUM(AJ48:$AL48),0)</f>
        <v>0</v>
      </c>
      <c r="BA48" s="290">
        <f>IF(BA$42=$E48,SUM(AK48:$AL48),0)</f>
        <v>13200</v>
      </c>
      <c r="BB48" s="290">
        <f>IF(BB$42=$E48,SUM(AL48:$AL48),0)</f>
        <v>0</v>
      </c>
      <c r="BD48" s="289">
        <f t="shared" si="11"/>
        <v>0</v>
      </c>
    </row>
    <row r="49" spans="1:56" x14ac:dyDescent="0.25">
      <c r="A49" s="285" t="s">
        <v>139</v>
      </c>
      <c r="B49" s="244" t="str">
        <f>VLOOKUP(A49,'DFP-Com'!$A$16:$B$50,2,1)</f>
        <v xml:space="preserve">     4.1.a  Staff Compensation*</v>
      </c>
      <c r="C49" s="285" t="s">
        <v>185</v>
      </c>
      <c r="D49" s="224">
        <f t="shared" si="12"/>
        <v>89760</v>
      </c>
      <c r="E49" s="285" t="s">
        <v>191</v>
      </c>
      <c r="G49" s="292">
        <v>3960</v>
      </c>
      <c r="H49" s="307">
        <f>2200*3</f>
        <v>6600</v>
      </c>
      <c r="I49" s="292">
        <f t="shared" si="17"/>
        <v>6600</v>
      </c>
      <c r="J49" s="292">
        <f t="shared" si="17"/>
        <v>6600</v>
      </c>
      <c r="K49" s="292">
        <f t="shared" si="17"/>
        <v>6600</v>
      </c>
      <c r="L49" s="292">
        <f t="shared" si="17"/>
        <v>6600</v>
      </c>
      <c r="M49" s="292">
        <f t="shared" si="17"/>
        <v>6600</v>
      </c>
      <c r="N49" s="292">
        <f t="shared" si="17"/>
        <v>6600</v>
      </c>
      <c r="O49" s="292">
        <f t="shared" si="17"/>
        <v>6600</v>
      </c>
      <c r="P49" s="292">
        <f t="shared" si="17"/>
        <v>6600</v>
      </c>
      <c r="Q49" s="292">
        <f t="shared" si="17"/>
        <v>6600</v>
      </c>
      <c r="R49" s="292">
        <f t="shared" si="17"/>
        <v>6600</v>
      </c>
      <c r="S49" s="292">
        <f t="shared" si="17"/>
        <v>6600</v>
      </c>
      <c r="T49" s="292">
        <f t="shared" si="17"/>
        <v>6600</v>
      </c>
      <c r="U49" s="292">
        <f t="shared" si="15"/>
        <v>89760</v>
      </c>
      <c r="X49" s="239">
        <f t="shared" si="13"/>
        <v>0</v>
      </c>
      <c r="Y49" s="290">
        <f t="shared" si="13"/>
        <v>3960</v>
      </c>
      <c r="Z49" s="290">
        <f t="shared" si="13"/>
        <v>6600</v>
      </c>
      <c r="AA49" s="290">
        <f t="shared" si="13"/>
        <v>6600</v>
      </c>
      <c r="AB49" s="290">
        <f t="shared" si="13"/>
        <v>6600</v>
      </c>
      <c r="AC49" s="290">
        <f t="shared" si="13"/>
        <v>6600</v>
      </c>
      <c r="AD49" s="290">
        <f t="shared" si="13"/>
        <v>6600</v>
      </c>
      <c r="AE49" s="290">
        <f t="shared" si="13"/>
        <v>6600</v>
      </c>
      <c r="AF49" s="290">
        <f t="shared" si="13"/>
        <v>6600</v>
      </c>
      <c r="AG49" s="290">
        <f t="shared" si="13"/>
        <v>6600</v>
      </c>
      <c r="AH49" s="290">
        <f t="shared" si="13"/>
        <v>6600</v>
      </c>
      <c r="AI49" s="290">
        <f t="shared" si="13"/>
        <v>6600</v>
      </c>
      <c r="AJ49" s="290">
        <f t="shared" si="13"/>
        <v>6600</v>
      </c>
      <c r="AK49" s="290">
        <f t="shared" si="13"/>
        <v>6600</v>
      </c>
      <c r="AL49" s="290">
        <f t="shared" si="13"/>
        <v>6600</v>
      </c>
      <c r="AM49" s="229"/>
      <c r="AN49" s="290">
        <f t="shared" si="16"/>
        <v>0</v>
      </c>
      <c r="AO49" s="290">
        <f t="shared" si="14"/>
        <v>23760</v>
      </c>
      <c r="AP49" s="290">
        <f t="shared" si="14"/>
        <v>0</v>
      </c>
      <c r="AQ49" s="290">
        <f t="shared" si="14"/>
        <v>0</v>
      </c>
      <c r="AR49" s="290">
        <f t="shared" si="14"/>
        <v>0</v>
      </c>
      <c r="AS49" s="290">
        <f t="shared" si="14"/>
        <v>26400</v>
      </c>
      <c r="AT49" s="290">
        <f t="shared" si="14"/>
        <v>0</v>
      </c>
      <c r="AU49" s="290">
        <f t="shared" si="14"/>
        <v>0</v>
      </c>
      <c r="AV49" s="290">
        <f t="shared" si="14"/>
        <v>0</v>
      </c>
      <c r="AW49" s="290">
        <f t="shared" si="14"/>
        <v>26400</v>
      </c>
      <c r="AX49" s="290">
        <f t="shared" si="14"/>
        <v>0</v>
      </c>
      <c r="AY49" s="290">
        <f t="shared" si="14"/>
        <v>0</v>
      </c>
      <c r="AZ49" s="290">
        <f>IF(AZ$42=$E49,SUM(AJ49:$AL49),0)</f>
        <v>0</v>
      </c>
      <c r="BA49" s="290">
        <f>IF(BA$42=$E49,SUM(AK49:$AL49),0)</f>
        <v>13200</v>
      </c>
      <c r="BB49" s="290">
        <f>IF(BB$42=$E49,SUM(AL49:$AL49),0)</f>
        <v>0</v>
      </c>
      <c r="BD49" s="289">
        <f t="shared" si="11"/>
        <v>0</v>
      </c>
    </row>
    <row r="50" spans="1:56" x14ac:dyDescent="0.25">
      <c r="A50" s="285" t="s">
        <v>139</v>
      </c>
      <c r="B50" s="244" t="str">
        <f>VLOOKUP(A50,'DFP-Com'!$A$16:$B$50,2,1)</f>
        <v xml:space="preserve">     4.1.a  Staff Compensation*</v>
      </c>
      <c r="C50" s="285" t="s">
        <v>225</v>
      </c>
      <c r="D50" s="224">
        <f>3000*24</f>
        <v>72000</v>
      </c>
      <c r="E50" s="285" t="s">
        <v>195</v>
      </c>
      <c r="G50" s="292"/>
      <c r="H50" s="307"/>
      <c r="I50" s="292">
        <f>3000*3</f>
        <v>9000</v>
      </c>
      <c r="J50" s="292">
        <f t="shared" ref="J50:P50" si="18">3000*3</f>
        <v>9000</v>
      </c>
      <c r="K50" s="292">
        <f t="shared" si="18"/>
        <v>9000</v>
      </c>
      <c r="L50" s="292">
        <f t="shared" si="18"/>
        <v>9000</v>
      </c>
      <c r="M50" s="292">
        <f t="shared" si="18"/>
        <v>9000</v>
      </c>
      <c r="N50" s="292">
        <f t="shared" si="18"/>
        <v>9000</v>
      </c>
      <c r="O50" s="292">
        <f t="shared" si="18"/>
        <v>9000</v>
      </c>
      <c r="P50" s="292">
        <f t="shared" si="18"/>
        <v>9000</v>
      </c>
      <c r="Q50" s="292"/>
      <c r="R50" s="292"/>
      <c r="S50" s="292"/>
      <c r="T50" s="292"/>
      <c r="U50" s="292">
        <f t="shared" si="15"/>
        <v>72000</v>
      </c>
      <c r="X50" s="239"/>
      <c r="Y50" s="290"/>
      <c r="Z50" s="290"/>
      <c r="AA50" s="290"/>
      <c r="AB50" s="290"/>
      <c r="AC50" s="290"/>
      <c r="AD50" s="290"/>
      <c r="AE50" s="290"/>
      <c r="AF50" s="290"/>
      <c r="AG50" s="290"/>
      <c r="AH50" s="290"/>
      <c r="AI50" s="290"/>
      <c r="AJ50" s="290"/>
      <c r="AK50" s="290"/>
      <c r="AL50" s="290"/>
      <c r="AM50" s="229"/>
      <c r="AN50" s="290"/>
      <c r="AO50" s="290"/>
      <c r="AP50" s="290"/>
      <c r="AQ50" s="290"/>
      <c r="AR50" s="290"/>
      <c r="AS50" s="290"/>
      <c r="AT50" s="290"/>
      <c r="AU50" s="290"/>
      <c r="AV50" s="290"/>
      <c r="AW50" s="290"/>
      <c r="AX50" s="290"/>
      <c r="AY50" s="290"/>
      <c r="AZ50" s="290"/>
      <c r="BA50" s="290"/>
      <c r="BB50" s="290"/>
      <c r="BD50" s="289"/>
    </row>
    <row r="51" spans="1:56" x14ac:dyDescent="0.25">
      <c r="A51" s="285" t="s">
        <v>127</v>
      </c>
      <c r="B51" s="233" t="str">
        <f>VLOOKUP(A51,'DFP-Com'!$A$16:$B$50,2,1)</f>
        <v xml:space="preserve">     1.2.a  TVET</v>
      </c>
      <c r="C51" s="285" t="s">
        <v>198</v>
      </c>
      <c r="D51" s="224">
        <f t="shared" ref="D51" si="19">SUM(F51:T51)</f>
        <v>144000</v>
      </c>
      <c r="E51" s="285" t="s">
        <v>195</v>
      </c>
      <c r="G51" s="292"/>
      <c r="H51" s="307">
        <v>0</v>
      </c>
      <c r="I51" s="292">
        <v>12000</v>
      </c>
      <c r="J51" s="292">
        <v>12000</v>
      </c>
      <c r="K51" s="292">
        <v>12000</v>
      </c>
      <c r="L51" s="292">
        <v>12000</v>
      </c>
      <c r="M51" s="292">
        <v>12000</v>
      </c>
      <c r="N51" s="292">
        <v>12000</v>
      </c>
      <c r="O51" s="292">
        <v>12000</v>
      </c>
      <c r="P51" s="292">
        <v>12000</v>
      </c>
      <c r="Q51" s="292">
        <v>12000</v>
      </c>
      <c r="R51" s="292">
        <v>12000</v>
      </c>
      <c r="S51" s="292">
        <v>12000</v>
      </c>
      <c r="T51" s="292">
        <v>12000</v>
      </c>
      <c r="U51" s="292">
        <f t="shared" si="15"/>
        <v>144000</v>
      </c>
      <c r="X51" s="239">
        <f t="shared" si="13"/>
        <v>0</v>
      </c>
      <c r="Y51" s="290">
        <f t="shared" si="13"/>
        <v>0</v>
      </c>
      <c r="Z51" s="290">
        <f t="shared" si="13"/>
        <v>0</v>
      </c>
      <c r="AA51" s="290">
        <f t="shared" si="13"/>
        <v>12000</v>
      </c>
      <c r="AB51" s="290">
        <f t="shared" si="13"/>
        <v>12000</v>
      </c>
      <c r="AC51" s="290">
        <f t="shared" si="13"/>
        <v>12000</v>
      </c>
      <c r="AD51" s="290">
        <f t="shared" si="13"/>
        <v>12000</v>
      </c>
      <c r="AE51" s="290">
        <f t="shared" si="13"/>
        <v>12000</v>
      </c>
      <c r="AF51" s="290">
        <f t="shared" si="13"/>
        <v>12000</v>
      </c>
      <c r="AG51" s="290">
        <f t="shared" si="13"/>
        <v>12000</v>
      </c>
      <c r="AH51" s="290">
        <f t="shared" si="13"/>
        <v>12000</v>
      </c>
      <c r="AI51" s="290">
        <f t="shared" si="13"/>
        <v>12000</v>
      </c>
      <c r="AJ51" s="290">
        <f t="shared" si="13"/>
        <v>12000</v>
      </c>
      <c r="AK51" s="290">
        <f t="shared" si="13"/>
        <v>12000</v>
      </c>
      <c r="AL51" s="290">
        <f t="shared" si="13"/>
        <v>12000</v>
      </c>
      <c r="AM51" s="229"/>
      <c r="AN51" s="290">
        <f t="shared" si="16"/>
        <v>0</v>
      </c>
      <c r="AO51" s="290">
        <f t="shared" si="14"/>
        <v>0</v>
      </c>
      <c r="AP51" s="290">
        <f t="shared" si="14"/>
        <v>0</v>
      </c>
      <c r="AQ51" s="290">
        <f t="shared" si="14"/>
        <v>48000</v>
      </c>
      <c r="AR51" s="290">
        <f t="shared" si="14"/>
        <v>0</v>
      </c>
      <c r="AS51" s="290">
        <f t="shared" si="14"/>
        <v>0</v>
      </c>
      <c r="AT51" s="290">
        <f t="shared" si="14"/>
        <v>0</v>
      </c>
      <c r="AU51" s="290">
        <f t="shared" si="14"/>
        <v>48000</v>
      </c>
      <c r="AV51" s="290">
        <f t="shared" si="14"/>
        <v>0</v>
      </c>
      <c r="AW51" s="290">
        <f t="shared" si="14"/>
        <v>0</v>
      </c>
      <c r="AX51" s="290">
        <f t="shared" si="14"/>
        <v>0</v>
      </c>
      <c r="AY51" s="290">
        <f t="shared" si="14"/>
        <v>48000</v>
      </c>
      <c r="AZ51" s="290">
        <f>IF(AZ$42=$E51,SUM(AJ51:$AL51),0)</f>
        <v>0</v>
      </c>
      <c r="BA51" s="290">
        <f>IF(BA$42=$E51,SUM(AK51:$AL51),0)</f>
        <v>0</v>
      </c>
      <c r="BB51" s="290">
        <f>IF(BB$42=$E51,SUM(AL51:$AL51),0)</f>
        <v>0</v>
      </c>
      <c r="BD51" s="289">
        <f t="shared" si="11"/>
        <v>0</v>
      </c>
    </row>
    <row r="52" spans="1:56" x14ac:dyDescent="0.25">
      <c r="G52" s="292"/>
      <c r="H52" s="307"/>
      <c r="I52" s="292"/>
      <c r="J52" s="292"/>
      <c r="K52" s="292"/>
      <c r="L52" s="292"/>
      <c r="M52" s="292"/>
      <c r="N52" s="292"/>
      <c r="O52" s="292"/>
      <c r="P52" s="292"/>
      <c r="Q52" s="292"/>
      <c r="R52" s="292"/>
      <c r="S52" s="292"/>
      <c r="T52" s="292"/>
      <c r="U52" s="292"/>
      <c r="X52" s="228"/>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D52" s="289">
        <f t="shared" si="11"/>
        <v>0</v>
      </c>
    </row>
    <row r="53" spans="1:56" x14ac:dyDescent="0.25">
      <c r="A53" s="225" t="s">
        <v>187</v>
      </c>
      <c r="B53" s="225"/>
      <c r="C53" s="225"/>
      <c r="D53" s="225"/>
      <c r="E53" s="225"/>
      <c r="G53" s="292"/>
      <c r="H53" s="307"/>
      <c r="I53" s="292"/>
      <c r="J53" s="292"/>
      <c r="K53" s="292"/>
      <c r="L53" s="292"/>
      <c r="M53" s="292"/>
      <c r="N53" s="292"/>
      <c r="O53" s="292"/>
      <c r="P53" s="292"/>
      <c r="Q53" s="292"/>
      <c r="R53" s="292"/>
      <c r="S53" s="292"/>
      <c r="T53" s="292"/>
      <c r="U53" s="292"/>
      <c r="X53" s="228"/>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D53" s="289">
        <f t="shared" si="11"/>
        <v>0</v>
      </c>
    </row>
    <row r="54" spans="1:56" x14ac:dyDescent="0.25">
      <c r="A54" s="285" t="s">
        <v>142</v>
      </c>
      <c r="B54" s="244" t="str">
        <f>VLOOKUP(A54,'DFP-Com'!$A$16:$B$50,2,1)</f>
        <v xml:space="preserve">     4.1.d  Other</v>
      </c>
      <c r="C54" s="285" t="s">
        <v>181</v>
      </c>
      <c r="D54" s="224">
        <v>20000</v>
      </c>
      <c r="G54" s="292">
        <v>1267.82</v>
      </c>
      <c r="H54" s="307">
        <v>2000</v>
      </c>
      <c r="I54" s="292">
        <v>1400</v>
      </c>
      <c r="J54" s="292">
        <v>1400</v>
      </c>
      <c r="K54" s="292">
        <v>1400</v>
      </c>
      <c r="L54" s="292">
        <v>1400</v>
      </c>
      <c r="M54" s="292">
        <v>1400</v>
      </c>
      <c r="N54" s="292">
        <v>1400</v>
      </c>
      <c r="O54" s="292">
        <v>1400</v>
      </c>
      <c r="P54" s="292">
        <v>1400</v>
      </c>
      <c r="Q54" s="292">
        <v>1400</v>
      </c>
      <c r="R54" s="292">
        <v>1400</v>
      </c>
      <c r="S54" s="292">
        <v>1400</v>
      </c>
      <c r="T54" s="292">
        <f>1400-68</f>
        <v>1332</v>
      </c>
      <c r="U54" s="292">
        <f t="shared" si="15"/>
        <v>19999.82</v>
      </c>
      <c r="X54" s="239">
        <f t="shared" ref="X54:AL55" si="20">F54</f>
        <v>0</v>
      </c>
      <c r="Y54" s="290">
        <f t="shared" si="20"/>
        <v>1267.82</v>
      </c>
      <c r="Z54" s="290">
        <f t="shared" si="20"/>
        <v>2000</v>
      </c>
      <c r="AA54" s="290">
        <f t="shared" si="20"/>
        <v>1400</v>
      </c>
      <c r="AB54" s="290">
        <f t="shared" si="20"/>
        <v>1400</v>
      </c>
      <c r="AC54" s="290">
        <f t="shared" si="20"/>
        <v>1400</v>
      </c>
      <c r="AD54" s="290">
        <f t="shared" si="20"/>
        <v>1400</v>
      </c>
      <c r="AE54" s="290">
        <f t="shared" si="20"/>
        <v>1400</v>
      </c>
      <c r="AF54" s="290">
        <f t="shared" si="20"/>
        <v>1400</v>
      </c>
      <c r="AG54" s="290">
        <f t="shared" si="20"/>
        <v>1400</v>
      </c>
      <c r="AH54" s="290">
        <f t="shared" si="20"/>
        <v>1400</v>
      </c>
      <c r="AI54" s="290">
        <f t="shared" si="20"/>
        <v>1400</v>
      </c>
      <c r="AJ54" s="290">
        <f t="shared" si="20"/>
        <v>1400</v>
      </c>
      <c r="AK54" s="290">
        <f t="shared" si="20"/>
        <v>1400</v>
      </c>
      <c r="AL54" s="290">
        <f t="shared" si="20"/>
        <v>1332</v>
      </c>
      <c r="AM54" s="229"/>
      <c r="AN54" s="290">
        <f>X54</f>
        <v>0</v>
      </c>
      <c r="AO54" s="290">
        <f t="shared" ref="AO54:BB55" si="21">Y54</f>
        <v>1267.82</v>
      </c>
      <c r="AP54" s="290">
        <f t="shared" si="21"/>
        <v>2000</v>
      </c>
      <c r="AQ54" s="290">
        <f t="shared" si="21"/>
        <v>1400</v>
      </c>
      <c r="AR54" s="290">
        <f t="shared" si="21"/>
        <v>1400</v>
      </c>
      <c r="AS54" s="290">
        <f t="shared" si="21"/>
        <v>1400</v>
      </c>
      <c r="AT54" s="290">
        <f t="shared" si="21"/>
        <v>1400</v>
      </c>
      <c r="AU54" s="290">
        <f t="shared" si="21"/>
        <v>1400</v>
      </c>
      <c r="AV54" s="290">
        <f t="shared" si="21"/>
        <v>1400</v>
      </c>
      <c r="AW54" s="290">
        <f t="shared" si="21"/>
        <v>1400</v>
      </c>
      <c r="AX54" s="290">
        <f t="shared" si="21"/>
        <v>1400</v>
      </c>
      <c r="AY54" s="290">
        <f t="shared" si="21"/>
        <v>1400</v>
      </c>
      <c r="AZ54" s="290">
        <f t="shared" si="21"/>
        <v>1400</v>
      </c>
      <c r="BA54" s="290">
        <f t="shared" si="21"/>
        <v>1400</v>
      </c>
      <c r="BB54" s="290">
        <f t="shared" si="21"/>
        <v>1332</v>
      </c>
      <c r="BD54" s="289">
        <f t="shared" si="11"/>
        <v>0</v>
      </c>
    </row>
    <row r="55" spans="1:56" x14ac:dyDescent="0.25">
      <c r="A55" s="285" t="s">
        <v>140</v>
      </c>
      <c r="B55" s="244" t="str">
        <f>VLOOKUP(A55,'DFP-Com'!$A$16:$B$50,2,1)</f>
        <v xml:space="preserve">     4.1.b  Travel*</v>
      </c>
      <c r="C55" s="285" t="s">
        <v>182</v>
      </c>
      <c r="D55" s="224">
        <v>35000</v>
      </c>
      <c r="G55" s="292">
        <v>0</v>
      </c>
      <c r="H55" s="307">
        <v>4000</v>
      </c>
      <c r="I55" s="292">
        <v>2500</v>
      </c>
      <c r="J55" s="292">
        <v>2500</v>
      </c>
      <c r="K55" s="292">
        <v>2500</v>
      </c>
      <c r="L55" s="292">
        <v>3500</v>
      </c>
      <c r="M55" s="292">
        <v>2500</v>
      </c>
      <c r="N55" s="292">
        <v>2500</v>
      </c>
      <c r="O55" s="292">
        <v>2500</v>
      </c>
      <c r="P55" s="292">
        <v>2500</v>
      </c>
      <c r="Q55" s="292">
        <v>2500</v>
      </c>
      <c r="R55" s="292">
        <v>2500</v>
      </c>
      <c r="S55" s="292">
        <v>2500</v>
      </c>
      <c r="T55" s="292">
        <v>2500</v>
      </c>
      <c r="U55" s="292">
        <f t="shared" si="15"/>
        <v>35000</v>
      </c>
      <c r="X55" s="239">
        <f t="shared" si="20"/>
        <v>0</v>
      </c>
      <c r="Y55" s="290">
        <f t="shared" si="20"/>
        <v>0</v>
      </c>
      <c r="Z55" s="290">
        <f t="shared" si="20"/>
        <v>4000</v>
      </c>
      <c r="AA55" s="290">
        <f t="shared" si="20"/>
        <v>2500</v>
      </c>
      <c r="AB55" s="290">
        <f t="shared" si="20"/>
        <v>2500</v>
      </c>
      <c r="AC55" s="290">
        <f t="shared" si="20"/>
        <v>2500</v>
      </c>
      <c r="AD55" s="290">
        <f t="shared" si="20"/>
        <v>3500</v>
      </c>
      <c r="AE55" s="290">
        <f t="shared" si="20"/>
        <v>2500</v>
      </c>
      <c r="AF55" s="290">
        <f t="shared" si="20"/>
        <v>2500</v>
      </c>
      <c r="AG55" s="290">
        <f t="shared" si="20"/>
        <v>2500</v>
      </c>
      <c r="AH55" s="290">
        <f t="shared" si="20"/>
        <v>2500</v>
      </c>
      <c r="AI55" s="290">
        <f t="shared" si="20"/>
        <v>2500</v>
      </c>
      <c r="AJ55" s="290">
        <f t="shared" si="20"/>
        <v>2500</v>
      </c>
      <c r="AK55" s="290">
        <f t="shared" si="20"/>
        <v>2500</v>
      </c>
      <c r="AL55" s="290">
        <f t="shared" si="20"/>
        <v>2500</v>
      </c>
      <c r="AM55" s="229"/>
      <c r="AN55" s="290">
        <f>X55</f>
        <v>0</v>
      </c>
      <c r="AO55" s="290">
        <f t="shared" si="21"/>
        <v>0</v>
      </c>
      <c r="AP55" s="290">
        <f t="shared" si="21"/>
        <v>4000</v>
      </c>
      <c r="AQ55" s="290">
        <f t="shared" si="21"/>
        <v>2500</v>
      </c>
      <c r="AR55" s="290">
        <f t="shared" si="21"/>
        <v>2500</v>
      </c>
      <c r="AS55" s="290">
        <f t="shared" si="21"/>
        <v>2500</v>
      </c>
      <c r="AT55" s="290">
        <f t="shared" si="21"/>
        <v>3500</v>
      </c>
      <c r="AU55" s="290">
        <f t="shared" si="21"/>
        <v>2500</v>
      </c>
      <c r="AV55" s="290">
        <f t="shared" si="21"/>
        <v>2500</v>
      </c>
      <c r="AW55" s="290">
        <f t="shared" si="21"/>
        <v>2500</v>
      </c>
      <c r="AX55" s="290">
        <f t="shared" si="21"/>
        <v>2500</v>
      </c>
      <c r="AY55" s="290">
        <f t="shared" si="21"/>
        <v>2500</v>
      </c>
      <c r="AZ55" s="290">
        <f t="shared" si="21"/>
        <v>2500</v>
      </c>
      <c r="BA55" s="290">
        <f t="shared" si="21"/>
        <v>2500</v>
      </c>
      <c r="BB55" s="290">
        <f t="shared" si="21"/>
        <v>2500</v>
      </c>
      <c r="BD55" s="289">
        <f t="shared" si="11"/>
        <v>0</v>
      </c>
    </row>
    <row r="56" spans="1:56" s="235" customFormat="1" x14ac:dyDescent="0.25">
      <c r="A56" s="236"/>
      <c r="D56" s="237"/>
      <c r="H56" s="308"/>
      <c r="U56" s="238"/>
      <c r="V56" s="285"/>
      <c r="W56" s="285"/>
      <c r="X56" s="232"/>
      <c r="Y56" s="232"/>
      <c r="Z56" s="232"/>
      <c r="AA56" s="232"/>
      <c r="AB56" s="232"/>
      <c r="AC56" s="232"/>
      <c r="AD56" s="232"/>
      <c r="AE56" s="232"/>
      <c r="AF56" s="232"/>
      <c r="AG56" s="232"/>
      <c r="AH56" s="232"/>
      <c r="AI56" s="232"/>
      <c r="AJ56" s="232"/>
      <c r="AK56" s="232"/>
      <c r="AL56" s="232"/>
    </row>
    <row r="57" spans="1:56" x14ac:dyDescent="0.25">
      <c r="B57" s="228" t="s">
        <v>201</v>
      </c>
      <c r="D57" s="239">
        <f>SUM(D4:D55)</f>
        <v>23584570</v>
      </c>
      <c r="E57" s="228"/>
      <c r="F57" s="228"/>
      <c r="G57" s="228"/>
      <c r="H57" s="309"/>
      <c r="I57" s="228"/>
      <c r="J57" s="228"/>
      <c r="K57" s="228"/>
      <c r="L57" s="228"/>
      <c r="M57" s="228"/>
      <c r="N57" s="228"/>
      <c r="O57" s="228"/>
      <c r="P57" s="228"/>
      <c r="Q57" s="228"/>
      <c r="R57" s="228"/>
      <c r="T57" s="228"/>
      <c r="U57" s="228"/>
      <c r="X57" s="289" t="s">
        <v>100</v>
      </c>
    </row>
    <row r="58" spans="1:56" x14ac:dyDescent="0.25">
      <c r="D58" s="242"/>
      <c r="E58" s="243"/>
      <c r="F58" s="243"/>
      <c r="G58" s="243"/>
      <c r="H58" s="308"/>
      <c r="I58" s="243"/>
      <c r="J58" s="243"/>
      <c r="K58" s="243"/>
      <c r="L58" s="243"/>
      <c r="M58" s="243"/>
      <c r="N58" s="243"/>
      <c r="O58" s="243"/>
      <c r="P58" s="243"/>
      <c r="Q58" s="243"/>
      <c r="R58" s="243"/>
      <c r="S58" s="243"/>
      <c r="T58" s="243"/>
      <c r="U58" s="243"/>
      <c r="X58" s="289"/>
    </row>
    <row r="59" spans="1:56" x14ac:dyDescent="0.25">
      <c r="A59" s="285" t="s">
        <v>124</v>
      </c>
      <c r="B59" s="528" t="str">
        <f>VLOOKUP(A59,'DFP-Com'!$A$16:$B$50,2,1)</f>
        <v xml:space="preserve">     1.1.a  Education Project Implementation Contract</v>
      </c>
      <c r="C59" s="528"/>
      <c r="D59" s="224">
        <f>SUMIF($A$4:$A$56,"="&amp;A59,$D$4:$D$56)</f>
        <v>8700000</v>
      </c>
    </row>
    <row r="60" spans="1:56" x14ac:dyDescent="0.25">
      <c r="A60" s="285" t="s">
        <v>125</v>
      </c>
      <c r="B60" s="528" t="str">
        <f>VLOOKUP(A60,'DFP-Com'!$A$16:$B$50,2,1)</f>
        <v xml:space="preserve">     1.1.b  Grants to Universities for Teacher Training (Diplomados)</v>
      </c>
      <c r="C60" s="528"/>
      <c r="D60" s="224">
        <f>SUMIF($A$4:$A$56,"="&amp;A60,$D$4:$D$56)</f>
        <v>3000000</v>
      </c>
    </row>
    <row r="61" spans="1:56" x14ac:dyDescent="0.25">
      <c r="A61" s="285" t="s">
        <v>127</v>
      </c>
      <c r="B61" s="528" t="str">
        <f>VLOOKUP(A61,'DFP-Com'!$A$16:$B$50,2,1)</f>
        <v xml:space="preserve">     1.2.a  TVET</v>
      </c>
      <c r="C61" s="528"/>
      <c r="D61" s="224">
        <f>SUMIF($A$4:$A$56,"="&amp;A61,$D$4:$D$56)</f>
        <v>4144000</v>
      </c>
    </row>
    <row r="62" spans="1:56" x14ac:dyDescent="0.25">
      <c r="A62" s="285" t="s">
        <v>128</v>
      </c>
      <c r="B62" s="528" t="str">
        <f>VLOOKUP(A62,'DFP-Com'!$A$16:$B$50,2,1)</f>
        <v xml:space="preserve">     1.3.a  Education Project Implementation Contract</v>
      </c>
      <c r="C62" s="528"/>
      <c r="D62" s="224">
        <f>SUMIF($A$4:$A$56,"="&amp;A62,$D$4:$D$56)</f>
        <v>2500000</v>
      </c>
    </row>
    <row r="63" spans="1:56" x14ac:dyDescent="0.25">
      <c r="A63" s="285" t="s">
        <v>129</v>
      </c>
      <c r="B63" s="528" t="str">
        <f>VLOOKUP(A63,'DFP-Com'!$A$16:$B$50,2,1)</f>
        <v xml:space="preserve">     1.3.b  Education Project Coordination team*</v>
      </c>
      <c r="C63" s="528"/>
      <c r="D63" s="224">
        <f>SUMIF($A$4:$A$56,"="&amp;A63,$D$4:$D$56)</f>
        <v>178400</v>
      </c>
    </row>
    <row r="64" spans="1:56" x14ac:dyDescent="0.25">
      <c r="B64" s="294" t="s">
        <v>218</v>
      </c>
      <c r="C64" s="294"/>
      <c r="D64" s="295">
        <f>SUM(D59:D63)</f>
        <v>18522400</v>
      </c>
      <c r="E64" s="231">
        <f>'QFR - B'!J14</f>
        <v>19888100</v>
      </c>
      <c r="F64" s="289">
        <f>E64-D64</f>
        <v>1365700</v>
      </c>
    </row>
    <row r="65" spans="1:6" x14ac:dyDescent="0.25">
      <c r="A65" s="285" t="s">
        <v>131</v>
      </c>
      <c r="B65" s="528" t="str">
        <f>VLOOKUP(A65,'DFP-Com'!$A$16:$B$50,2,1)</f>
        <v xml:space="preserve">     2.1.a  Tax and Customs</v>
      </c>
      <c r="C65" s="528"/>
      <c r="D65" s="224">
        <f>SUMIF($A$4:$A$56,"="&amp;A65,$D$4:$D$56)</f>
        <v>384000</v>
      </c>
    </row>
    <row r="66" spans="1:6" x14ac:dyDescent="0.25">
      <c r="B66" s="294" t="s">
        <v>219</v>
      </c>
      <c r="C66" s="294"/>
      <c r="D66" s="296">
        <f>D65</f>
        <v>384000</v>
      </c>
      <c r="E66" s="231">
        <f>'QFR - B'!J20</f>
        <v>1215000</v>
      </c>
      <c r="F66" s="289">
        <f>E66-D66</f>
        <v>831000</v>
      </c>
    </row>
    <row r="67" spans="1:6" x14ac:dyDescent="0.25">
      <c r="A67" s="285" t="s">
        <v>132</v>
      </c>
      <c r="B67" s="528" t="str">
        <f>VLOOKUP(A67,'DFP-Com'!$A$16:$B$50,2,1)</f>
        <v xml:space="preserve">     2.2.a  Advisors</v>
      </c>
      <c r="C67" s="528"/>
      <c r="D67" s="224">
        <f>SUMIF($A$4:$A$56,"="&amp;A67,$D$4:$D$56)</f>
        <v>728750</v>
      </c>
    </row>
    <row r="68" spans="1:6" x14ac:dyDescent="0.25">
      <c r="A68" s="285" t="s">
        <v>133</v>
      </c>
      <c r="B68" s="528" t="str">
        <f>VLOOKUP(A68,'DFP-Com'!$A$16:$B$50,2,1)</f>
        <v xml:space="preserve">     2.2.b  Feasiblity Studies/  Transaction Advisory Services</v>
      </c>
      <c r="C68" s="528"/>
      <c r="D68" s="224">
        <f>SUMIF($A$4:$A$56,"="&amp;A68,$D$4:$D$56)</f>
        <v>1650000</v>
      </c>
    </row>
    <row r="69" spans="1:6" x14ac:dyDescent="0.25">
      <c r="B69" s="294" t="s">
        <v>220</v>
      </c>
      <c r="C69" s="294"/>
      <c r="D69" s="296">
        <f>SUM(D67:D68)</f>
        <v>2378750</v>
      </c>
      <c r="E69" s="231">
        <f>'QFR - B'!J21</f>
        <v>2152400</v>
      </c>
      <c r="F69" s="289">
        <f>E69-D69</f>
        <v>-226350</v>
      </c>
    </row>
    <row r="70" spans="1:6" x14ac:dyDescent="0.25">
      <c r="A70" s="285" t="s">
        <v>135</v>
      </c>
      <c r="B70" s="528" t="str">
        <f>VLOOKUP(A70,'DFP-Com'!$A$16:$B$50,2,1)</f>
        <v xml:space="preserve">     3.1.a  Student Assessment</v>
      </c>
      <c r="C70" s="528"/>
      <c r="D70" s="224">
        <f>SUMIF($A$4:$A$56,"="&amp;A70,$D$4:$D$56)</f>
        <v>706400</v>
      </c>
    </row>
    <row r="71" spans="1:6" x14ac:dyDescent="0.25">
      <c r="A71" s="285" t="s">
        <v>136</v>
      </c>
      <c r="B71" s="528" t="str">
        <f>VLOOKUP(A71,'DFP-Com'!$A$16:$B$50,2,1)</f>
        <v xml:space="preserve">     3.1.b  Teacher Evaluations</v>
      </c>
      <c r="C71" s="528"/>
      <c r="D71" s="224">
        <f>SUMIF($A$4:$A$56,"="&amp;A71,$D$4:$D$56)</f>
        <v>300000</v>
      </c>
    </row>
    <row r="72" spans="1:6" x14ac:dyDescent="0.25">
      <c r="A72" s="285" t="s">
        <v>137</v>
      </c>
      <c r="B72" s="528" t="str">
        <f>VLOOKUP(A72,'DFP-Com'!$A$16:$B$50,2,1)</f>
        <v xml:space="preserve">     3.1.c  Voc Ed Tracer Studies</v>
      </c>
      <c r="C72" s="528"/>
      <c r="D72" s="224">
        <f>SUMIF($A$4:$A$56,"="&amp;A72,$D$4:$D$56)</f>
        <v>300000</v>
      </c>
    </row>
    <row r="73" spans="1:6" x14ac:dyDescent="0.25">
      <c r="A73" s="285" t="s">
        <v>138</v>
      </c>
      <c r="B73" s="528" t="str">
        <f>VLOOKUP(A73,'DFP-Com'!$A$16:$B$50,2,1)</f>
        <v xml:space="preserve">     3.1 d Other</v>
      </c>
      <c r="C73" s="528"/>
      <c r="D73" s="224">
        <f>SUMIF($A$4:$A$56,"="&amp;A73,$D$4:$D$56)</f>
        <v>200000</v>
      </c>
    </row>
    <row r="74" spans="1:6" x14ac:dyDescent="0.25">
      <c r="B74" s="294" t="s">
        <v>200</v>
      </c>
      <c r="C74" s="294"/>
      <c r="D74" s="296">
        <f>SUM(D70:D73)</f>
        <v>1506400</v>
      </c>
      <c r="E74" s="231">
        <f>'QFR - B'!J24</f>
        <v>1431000</v>
      </c>
      <c r="F74" s="289">
        <f>E74-D74</f>
        <v>-75400</v>
      </c>
    </row>
    <row r="75" spans="1:6" x14ac:dyDescent="0.25">
      <c r="A75" s="285" t="s">
        <v>139</v>
      </c>
      <c r="B75" s="528" t="str">
        <f>VLOOKUP(A75,'DFP-Com'!$A$16:$B$50,2,1)</f>
        <v xml:space="preserve">     4.1.a  Staff Compensation*</v>
      </c>
      <c r="C75" s="528"/>
      <c r="D75" s="224">
        <f>SUMIF($A$4:$A$56,"="&amp;A75,$D$4:$D$56)</f>
        <v>636520</v>
      </c>
    </row>
    <row r="76" spans="1:6" x14ac:dyDescent="0.25">
      <c r="A76" s="285" t="s">
        <v>140</v>
      </c>
      <c r="B76" s="528" t="str">
        <f>VLOOKUP(A76,'DFP-Com'!$A$16:$B$50,2,1)</f>
        <v xml:space="preserve">     4.1.b  Travel*</v>
      </c>
      <c r="C76" s="528"/>
      <c r="D76" s="224">
        <f>SUMIF($A$4:$A$56,"="&amp;A76,$D$4:$D$56)</f>
        <v>35000</v>
      </c>
    </row>
    <row r="77" spans="1:6" x14ac:dyDescent="0.25">
      <c r="A77" s="285" t="s">
        <v>141</v>
      </c>
      <c r="B77" s="528" t="str">
        <f>VLOOKUP(A77,'DFP-Com'!$A$16:$B$50,2,1)</f>
        <v xml:space="preserve">     4.1.c  Audit</v>
      </c>
      <c r="C77" s="528"/>
      <c r="D77" s="224">
        <f>SUMIF($A$4:$A$56,"="&amp;A77,$D$4:$D$56)</f>
        <v>90000</v>
      </c>
    </row>
    <row r="78" spans="1:6" x14ac:dyDescent="0.25">
      <c r="A78" s="285" t="s">
        <v>142</v>
      </c>
      <c r="B78" s="528" t="str">
        <f>VLOOKUP(A78,'DFP-Com'!$A$16:$B$50,2,1)</f>
        <v xml:space="preserve">     4.1.d  Other</v>
      </c>
      <c r="C78" s="528"/>
      <c r="D78" s="224">
        <f>SUMIF($A$4:$A$56,"="&amp;A78,$D$4:$D$56)</f>
        <v>31500</v>
      </c>
    </row>
    <row r="79" spans="1:6" x14ac:dyDescent="0.25">
      <c r="B79" s="294" t="s">
        <v>221</v>
      </c>
      <c r="C79" s="294"/>
      <c r="D79" s="296">
        <f>SUM(D75:D78)</f>
        <v>793020</v>
      </c>
      <c r="E79" s="231">
        <f>'QFR - B'!J27</f>
        <v>1511000</v>
      </c>
      <c r="F79" s="289">
        <f>E79-D79</f>
        <v>717980</v>
      </c>
    </row>
  </sheetData>
  <autoFilter ref="A3:BD38"/>
  <mergeCells count="16">
    <mergeCell ref="B75:C75"/>
    <mergeCell ref="B76:C76"/>
    <mergeCell ref="B77:C77"/>
    <mergeCell ref="B78:C78"/>
    <mergeCell ref="B67:C67"/>
    <mergeCell ref="B68:C68"/>
    <mergeCell ref="B70:C70"/>
    <mergeCell ref="B71:C71"/>
    <mergeCell ref="B72:C72"/>
    <mergeCell ref="B73:C73"/>
    <mergeCell ref="B65:C65"/>
    <mergeCell ref="B59:C59"/>
    <mergeCell ref="B60:C60"/>
    <mergeCell ref="B61:C61"/>
    <mergeCell ref="B62:C62"/>
    <mergeCell ref="B63:C6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3C046C-33C0-43F6-B7B3-4A615857768F}">
  <ds:schemaRefs>
    <ds:schemaRef ds:uri="http://schemas.microsoft.com/office/infopath/2007/PartnerControls"/>
    <ds:schemaRef ds:uri="c6aa829a-de30-4eeb-a917-5f1e16f11f75"/>
    <ds:schemaRef ds:uri="http://purl.org/dc/dcmitype/"/>
    <ds:schemaRef ds:uri="http://purl.org/dc/elements/1.1/"/>
    <ds:schemaRef ds:uri="133de3ae-5bb8-4cbb-9752-c1040d721e37"/>
    <ds:schemaRef ds:uri="http://schemas.microsoft.com/office/2006/metadata/properties"/>
    <ds:schemaRef ds:uri="http://schemas.microsoft.com/office/2006/documentManagement/types"/>
    <ds:schemaRef ds:uri="http://schemas.openxmlformats.org/package/2006/metadata/core-properties"/>
    <ds:schemaRef ds:uri="d3b91ed5-3f36-4885-8f16-366304d6a523"/>
    <ds:schemaRef ds:uri="http://www.w3.org/XML/1998/namespace"/>
    <ds:schemaRef ds:uri="http://purl.org/dc/terms/"/>
  </ds:schemaRefs>
</ds:datastoreItem>
</file>

<file path=customXml/itemProps2.xml><?xml version="1.0" encoding="utf-8"?>
<ds:datastoreItem xmlns:ds="http://schemas.openxmlformats.org/officeDocument/2006/customXml" ds:itemID="{138D9C3E-8C92-4208-8A5B-5D97F1107407}">
  <ds:schemaRefs>
    <ds:schemaRef ds:uri="http://schemas.microsoft.com/sharepoint/events"/>
  </ds:schemaRefs>
</ds:datastoreItem>
</file>

<file path=customXml/itemProps3.xml><?xml version="1.0" encoding="utf-8"?>
<ds:datastoreItem xmlns:ds="http://schemas.openxmlformats.org/officeDocument/2006/customXml" ds:itemID="{66C1C87B-2292-46AA-AF9B-7AA0FD922DE1}">
  <ds:schemaRefs>
    <ds:schemaRef ds:uri="http://schemas.microsoft.com/sharepoint/v3/contenttype/forms"/>
  </ds:schemaRefs>
</ds:datastoreItem>
</file>

<file path=customXml/itemProps4.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DFP-Com</vt:lpstr>
      <vt:lpstr>DFP-CASH</vt:lpstr>
      <vt:lpstr>QFR - A</vt:lpstr>
      <vt:lpstr>QFR - B</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2020-06-12T19:13:07Z</cp:lastPrinted>
  <dcterms:created xsi:type="dcterms:W3CDTF">2016-05-12T16:21:20Z</dcterms:created>
  <dcterms:modified xsi:type="dcterms:W3CDTF">2021-12-21T04:09:04Z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