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codeName="ThisWorkbook" defaultThemeVersion="124226"/>
  <bookViews>
    <workbookView xWindow="28680" yWindow="65416" windowWidth="29040" windowHeight="15840" tabRatio="493" activeTab="0"/>
  </bookViews>
  <sheets>
    <sheet name="FY20Q4" sheetId="9" r:id="rId1"/>
    <sheet name="Timeline" sheetId="7" state="hidden" r:id="rId2"/>
    <sheet name="Q4 resub" sheetId="10" state="hidden" r:id="rId3"/>
  </sheets>
  <externalReferences>
    <externalReference r:id="rId6"/>
    <externalReference r:id="rId7"/>
  </externalReferences>
  <definedNames>
    <definedName name="_xlnm._FilterDatabase" localSheetId="0" hidden="1">'FY20Q4'!$A$5:$W$18</definedName>
    <definedName name="Act_1">#REF!</definedName>
    <definedName name="Act_2">#REF!</definedName>
    <definedName name="Act_3">#REF!</definedName>
    <definedName name="Act1_Detail">#REF!</definedName>
    <definedName name="Admin">#REF!</definedName>
    <definedName name="AW">'FY20Q4'!#REF!</definedName>
    <definedName name="Categories" localSheetId="0">'FY20Q4'!#REF!</definedName>
    <definedName name="Categories">#REF!</definedName>
    <definedName name="ColumnB" localSheetId="0">#REF!</definedName>
    <definedName name="ColumnB">#REF!</definedName>
    <definedName name="ColumnC">#REF!</definedName>
    <definedName name="ColumnD">#REF!</definedName>
    <definedName name="ColumnE">#REF!</definedName>
    <definedName name="ColumnF">#REF!</definedName>
    <definedName name="ColumnG" localSheetId="0">#REF!</definedName>
    <definedName name="ColumnG">#REF!</definedName>
    <definedName name="ColumnH">#REF!</definedName>
    <definedName name="ColumnK">#REF!</definedName>
    <definedName name="ColumnL" localSheetId="0">#REF!</definedName>
    <definedName name="ColumnL">#REF!</definedName>
    <definedName name="Compact">#REF!</definedName>
    <definedName name="Country">#REF!</definedName>
    <definedName name="Cycle">#REF!</definedName>
    <definedName name="Date">#REF!</definedName>
    <definedName name="Disb_Period">#REF!</definedName>
    <definedName name="Entity">#REF!</definedName>
    <definedName name="Funds" localSheetId="0">'FY20Q4'!#REF!</definedName>
    <definedName name="Funds">#REF!</definedName>
    <definedName name="GrandTotal">#N/A</definedName>
    <definedName name="M_E">#REF!</definedName>
    <definedName name="Name">'[1]A. FP Adjustment Request'!$D$4</definedName>
    <definedName name="_xlnm.Print_Area" localSheetId="0">'FY20Q4'!$A:$W</definedName>
    <definedName name="_xlnm.Print_Area" localSheetId="1">'Timeline'!$A$1:$AC$26</definedName>
    <definedName name="Quarters" localSheetId="0">'FY20Q4'!#REF!</definedName>
    <definedName name="Quarters">#REF!</definedName>
    <definedName name="Recover">'[2]Macro1'!$A$74</definedName>
    <definedName name="Retention">#REF!</definedName>
    <definedName name="TableName">"Dummy"</definedName>
  </definedNames>
  <calcPr calcId="191029"/>
  <extLst/>
</workbook>
</file>

<file path=xl/comments3.xml><?xml version="1.0" encoding="utf-8"?>
<comments xmlns="http://schemas.openxmlformats.org/spreadsheetml/2006/main">
  <authors>
    <author>Dell</author>
    <author>cserot</author>
  </authors>
  <commentList>
    <comment ref="O45" authorId="0">
      <text>
        <r>
          <rPr>
            <b/>
            <sz val="9"/>
            <rFont val="Tahoma"/>
            <family val="2"/>
          </rPr>
          <t xml:space="preserve">YD: </t>
        </r>
        <r>
          <rPr>
            <sz val="9"/>
            <rFont val="Tahoma"/>
            <family val="2"/>
          </rPr>
          <t xml:space="preserve">
 1 rapport trimestriel (juillet à sept 2011), 1 rapport annuel (Oct 2010 à sept 2011) et honoraires sept 2011 pour 1 expert à court terme</t>
        </r>
      </text>
    </comment>
    <comment ref="I139" authorId="1">
      <text>
        <r>
          <rPr>
            <b/>
            <sz val="9"/>
            <rFont val="Tahoma"/>
            <family val="2"/>
          </rPr>
          <t>cserot:</t>
        </r>
        <r>
          <rPr>
            <sz val="9"/>
            <rFont val="Tahoma"/>
            <family val="2"/>
          </rPr>
          <t xml:space="preserve">
erreur dans le PPR</t>
        </r>
      </text>
    </comment>
  </commentList>
</comments>
</file>

<file path=xl/sharedStrings.xml><?xml version="1.0" encoding="utf-8"?>
<sst xmlns="http://schemas.openxmlformats.org/spreadsheetml/2006/main" count="2225" uniqueCount="651">
  <si>
    <t>Activity Code</t>
  </si>
  <si>
    <t>Project Code</t>
  </si>
  <si>
    <t>Invoice Date</t>
  </si>
  <si>
    <t>Invoice #</t>
  </si>
  <si>
    <t>Contract #</t>
  </si>
  <si>
    <t>MCA Name</t>
  </si>
  <si>
    <t>Category</t>
  </si>
  <si>
    <t>Vendor Name</t>
  </si>
  <si>
    <t>Fund Name</t>
  </si>
  <si>
    <t>Fund</t>
  </si>
  <si>
    <t>Compact</t>
  </si>
  <si>
    <t>CIF</t>
  </si>
  <si>
    <t>Invoice Amount</t>
  </si>
  <si>
    <t>2 - Estimate for work completed but no invoice</t>
  </si>
  <si>
    <t>C</t>
  </si>
  <si>
    <t>D</t>
  </si>
  <si>
    <t>E</t>
  </si>
  <si>
    <t>Mar 14</t>
  </si>
  <si>
    <t>Mar 21</t>
  </si>
  <si>
    <t>Mar 28</t>
  </si>
  <si>
    <t>April 4</t>
  </si>
  <si>
    <t>April 11</t>
  </si>
  <si>
    <t>April 18</t>
  </si>
  <si>
    <t>April 25</t>
  </si>
  <si>
    <t>May 2</t>
  </si>
  <si>
    <t>May 9</t>
  </si>
  <si>
    <t>May 16</t>
  </si>
  <si>
    <t>May 23</t>
  </si>
  <si>
    <t>May 30</t>
  </si>
  <si>
    <t>June 6</t>
  </si>
  <si>
    <t>Calculated using FX rate at the time of the release</t>
  </si>
  <si>
    <t>Formula: Do not modify</t>
  </si>
  <si>
    <t xml:space="preserve">At the historical FX rate as of the date of the original advance </t>
  </si>
  <si>
    <t>MON &amp; EVAL</t>
  </si>
  <si>
    <t>PGM ADMIN</t>
  </si>
  <si>
    <t>COMPACTS</t>
  </si>
  <si>
    <t>Calculated using FX rate of June 30, 2011</t>
  </si>
  <si>
    <t xml:space="preserve"> Calculated using FX rate as of Sep. 30, 2011</t>
  </si>
  <si>
    <t>Accrual Amount</t>
  </si>
  <si>
    <t>Retentions</t>
  </si>
  <si>
    <t>Advances</t>
  </si>
  <si>
    <t>In House Invoice</t>
  </si>
  <si>
    <t>A</t>
  </si>
  <si>
    <t>F</t>
  </si>
  <si>
    <t>G</t>
  </si>
  <si>
    <t>H</t>
  </si>
  <si>
    <t>J</t>
  </si>
  <si>
    <t>K</t>
  </si>
  <si>
    <t>L</t>
  </si>
  <si>
    <t>N</t>
  </si>
  <si>
    <t>O</t>
  </si>
  <si>
    <t>P</t>
  </si>
  <si>
    <t>Q</t>
  </si>
  <si>
    <t>S</t>
  </si>
  <si>
    <t>T</t>
  </si>
  <si>
    <t>V</t>
  </si>
  <si>
    <t>W</t>
  </si>
  <si>
    <t>X</t>
  </si>
  <si>
    <t>Procurement In Process</t>
  </si>
  <si>
    <t>Contract Closed</t>
  </si>
  <si>
    <t>Procurement Cancelled</t>
  </si>
  <si>
    <t>Contract Terminated</t>
  </si>
  <si>
    <t>Contract Action Status</t>
  </si>
  <si>
    <t>Active as of September 30, 2011</t>
  </si>
  <si>
    <t>609g</t>
  </si>
  <si>
    <t>Invoices</t>
  </si>
  <si>
    <t>Engineer Certification</t>
  </si>
  <si>
    <t>Other</t>
  </si>
  <si>
    <t>Contracts</t>
  </si>
  <si>
    <t>Remarks and Methodology</t>
  </si>
  <si>
    <t>FX Gain/(Loss) (Calculation)</t>
  </si>
  <si>
    <t>Currency Type</t>
  </si>
  <si>
    <t>Date of the Advance (Prepopulated)</t>
  </si>
  <si>
    <t>Advance Amount (Prepopulated)</t>
  </si>
  <si>
    <t>FX Rate at the Date of the Advance (Prepopulated)</t>
  </si>
  <si>
    <t>Currency type used to make payment</t>
  </si>
  <si>
    <t>M</t>
  </si>
  <si>
    <t>Y</t>
  </si>
  <si>
    <t>Z</t>
  </si>
  <si>
    <t>AA</t>
  </si>
  <si>
    <t>AB</t>
  </si>
  <si>
    <t>AC</t>
  </si>
  <si>
    <t>AF</t>
  </si>
  <si>
    <t>Categories of Information per contract line</t>
  </si>
  <si>
    <t xml:space="preserve">Consolidated Quarterly Data Call Form:  ALL AMOUNTS IN USD </t>
  </si>
  <si>
    <t>General Remarks</t>
  </si>
  <si>
    <t>REQUIRED</t>
  </si>
  <si>
    <t>REQUIRED, even if $0</t>
  </si>
  <si>
    <t>AG</t>
  </si>
  <si>
    <t>I</t>
  </si>
  <si>
    <t>U</t>
  </si>
  <si>
    <t xml:space="preserve">AD </t>
  </si>
  <si>
    <t>AH</t>
  </si>
  <si>
    <t>Sept 30, 2011 Estimated Work in Progress Accrual Amount</t>
  </si>
  <si>
    <t>For Reference Purposes only</t>
  </si>
  <si>
    <t>Document Management Number</t>
  </si>
  <si>
    <t>B</t>
  </si>
  <si>
    <t>R</t>
  </si>
  <si>
    <t>AI</t>
  </si>
  <si>
    <t>At the historical FX rate as of the date of the new advance</t>
  </si>
  <si>
    <t>Use drop-down list</t>
  </si>
  <si>
    <t>Update as necessary</t>
  </si>
  <si>
    <t>Use drop down list</t>
  </si>
  <si>
    <t>Invoice Period of Performance</t>
  </si>
  <si>
    <t>Accumulated Retention - September 30, 2011</t>
  </si>
  <si>
    <t>Section 1: Contract Information</t>
  </si>
  <si>
    <t>Section 2: WIP Estimate (IN USD)</t>
  </si>
  <si>
    <t>Section 3: In house Invoices (IN USD)</t>
  </si>
  <si>
    <t>Section 4: Retentions (IN USD)</t>
  </si>
  <si>
    <t>Section 5: Advances (IN USD)</t>
  </si>
  <si>
    <t>Section 6: Remarks</t>
  </si>
  <si>
    <t>AE</t>
  </si>
  <si>
    <t>Mali</t>
  </si>
  <si>
    <t>ACDI/VOCA</t>
  </si>
  <si>
    <t>MWH SA-NV/AGRER  Etudes et Conseils SA</t>
  </si>
  <si>
    <t>GIE AGEFORE</t>
  </si>
  <si>
    <t>ONG YEREDON</t>
  </si>
  <si>
    <t>SOGEA SATOM RAZEL</t>
  </si>
  <si>
    <t>Entreprise Générale de Construction</t>
  </si>
  <si>
    <t>Groupement BENKAN</t>
  </si>
  <si>
    <t>BECM-CG</t>
  </si>
  <si>
    <t>SNC LAVALIN</t>
  </si>
  <si>
    <t>SINOHYDRO</t>
  </si>
  <si>
    <t>Corbett &amp; Co International Construction Lawyers Ltd.</t>
  </si>
  <si>
    <t>AECOM TECSULT</t>
  </si>
  <si>
    <t>ROCHE</t>
  </si>
  <si>
    <t>TECSULT/ AECOM</t>
  </si>
  <si>
    <t>Boubacar NIARE</t>
  </si>
  <si>
    <t>Innovation for Poverty Action</t>
  </si>
  <si>
    <t>SYMFACT</t>
  </si>
  <si>
    <t>SEC DIARRA</t>
  </si>
  <si>
    <t>Emerging Markets Group, Ltd.</t>
  </si>
  <si>
    <t>Technicom &amp; FUTICO</t>
  </si>
  <si>
    <t>ALA-E08-bis</t>
  </si>
  <si>
    <t>ALA-E01</t>
  </si>
  <si>
    <t>ALA-B10</t>
  </si>
  <si>
    <t>ALA-D10c2-Lot2</t>
  </si>
  <si>
    <t>ALA-D10c2-Lot1</t>
  </si>
  <si>
    <t>ALA-B01</t>
  </si>
  <si>
    <t>ALA-D02</t>
  </si>
  <si>
    <t>ALA-D05</t>
  </si>
  <si>
    <t>ALA-D03</t>
  </si>
  <si>
    <t>ALA-D04</t>
  </si>
  <si>
    <t>ALA-B02</t>
  </si>
  <si>
    <t>ALA-B06a</t>
  </si>
  <si>
    <t>ALA-D15</t>
  </si>
  <si>
    <t>ALA-A07</t>
  </si>
  <si>
    <t>ALA-B06c</t>
  </si>
  <si>
    <t>ALA-E07</t>
  </si>
  <si>
    <t>ALA-B03-bis</t>
  </si>
  <si>
    <t>ALA-A09</t>
  </si>
  <si>
    <t>ALA-D08</t>
  </si>
  <si>
    <t>ALA-E09-bis</t>
  </si>
  <si>
    <t>AIR-A01</t>
  </si>
  <si>
    <t>AIR-A02</t>
  </si>
  <si>
    <t>AIR-B19</t>
  </si>
  <si>
    <t>AIR-B02</t>
  </si>
  <si>
    <t>M&amp;E-014</t>
  </si>
  <si>
    <t>M&amp;E-026</t>
  </si>
  <si>
    <t>PMO-A19</t>
  </si>
  <si>
    <t>PMO-D02-bis</t>
  </si>
  <si>
    <t>ALA-D10b</t>
  </si>
  <si>
    <t>PMO-A26</t>
  </si>
  <si>
    <t>PMO-A11</t>
  </si>
  <si>
    <t>PMO-A34</t>
  </si>
  <si>
    <t>PMO-A32</t>
  </si>
  <si>
    <t>ALATNA IRR</t>
  </si>
  <si>
    <t>BAM SEN</t>
  </si>
  <si>
    <t>DNACPN</t>
  </si>
  <si>
    <t>ON</t>
  </si>
  <si>
    <t>DNEF</t>
  </si>
  <si>
    <t>EDM</t>
  </si>
  <si>
    <t>Sylla froid</t>
  </si>
  <si>
    <t>Dansina Kone</t>
  </si>
  <si>
    <t>ACI</t>
  </si>
  <si>
    <t>Moulaye Cherif Coulibaly</t>
  </si>
  <si>
    <t>Internet Orange</t>
  </si>
  <si>
    <t>Net Superieur</t>
  </si>
  <si>
    <t>UPS</t>
  </si>
  <si>
    <t>Sotelma</t>
  </si>
  <si>
    <t>Ala-B12</t>
  </si>
  <si>
    <t>Ala-B11</t>
  </si>
  <si>
    <t>Ala-D22</t>
  </si>
  <si>
    <t>N/A</t>
  </si>
  <si>
    <t>Admin</t>
  </si>
  <si>
    <t>Air-B18</t>
  </si>
  <si>
    <t>Ala-D17</t>
  </si>
  <si>
    <t>Entreprise STB</t>
  </si>
  <si>
    <t>Ala-B04</t>
  </si>
  <si>
    <t>BECM-CG ALA-B04</t>
  </si>
  <si>
    <t>MLI-1</t>
  </si>
  <si>
    <t>MLI-2</t>
  </si>
  <si>
    <t>MLI-3</t>
  </si>
  <si>
    <t>MLI-4</t>
  </si>
  <si>
    <t>MLI-5</t>
  </si>
  <si>
    <t>MLI-6</t>
  </si>
  <si>
    <t>MLI-7</t>
  </si>
  <si>
    <t>MLI-8</t>
  </si>
  <si>
    <t>MLI-9</t>
  </si>
  <si>
    <t>MLI-10</t>
  </si>
  <si>
    <t>MLI-11</t>
  </si>
  <si>
    <t>MLI-12</t>
  </si>
  <si>
    <t>MLI-13</t>
  </si>
  <si>
    <t>MLI-14</t>
  </si>
  <si>
    <t>MLI-15</t>
  </si>
  <si>
    <t>MLI-16</t>
  </si>
  <si>
    <t>MLI-17</t>
  </si>
  <si>
    <t>MLI-18</t>
  </si>
  <si>
    <t>MLI-19</t>
  </si>
  <si>
    <t>MLI-20</t>
  </si>
  <si>
    <t>MLI-21</t>
  </si>
  <si>
    <t>MLI-22</t>
  </si>
  <si>
    <t>MLI-23</t>
  </si>
  <si>
    <t>MLI-24</t>
  </si>
  <si>
    <t>MLI-25</t>
  </si>
  <si>
    <t>MLI-26</t>
  </si>
  <si>
    <t>MLI-27</t>
  </si>
  <si>
    <t>MLI-28</t>
  </si>
  <si>
    <t>MLI-29</t>
  </si>
  <si>
    <t>MLI-30</t>
  </si>
  <si>
    <t>MLI-31</t>
  </si>
  <si>
    <t>MLI-32</t>
  </si>
  <si>
    <t>MLI-33</t>
  </si>
  <si>
    <t>MLI-34</t>
  </si>
  <si>
    <t>MLI-35</t>
  </si>
  <si>
    <t>MLI-36</t>
  </si>
  <si>
    <t>MLI-37</t>
  </si>
  <si>
    <t>MLI-38</t>
  </si>
  <si>
    <t>MLI-39</t>
  </si>
  <si>
    <t>MLI-40</t>
  </si>
  <si>
    <t>MLI-41</t>
  </si>
  <si>
    <t>MLI-42</t>
  </si>
  <si>
    <t>MLI-43</t>
  </si>
  <si>
    <t>MLI-44</t>
  </si>
  <si>
    <t>MLI-45</t>
  </si>
  <si>
    <t>MLI-46</t>
  </si>
  <si>
    <t>MLI-47</t>
  </si>
  <si>
    <t>MLI-48</t>
  </si>
  <si>
    <t>MLI-49</t>
  </si>
  <si>
    <t>MLI-50</t>
  </si>
  <si>
    <t>MLI-51</t>
  </si>
  <si>
    <t>MLI-52</t>
  </si>
  <si>
    <t>MLI-53</t>
  </si>
  <si>
    <t>MLI-54</t>
  </si>
  <si>
    <t>MLI-55</t>
  </si>
  <si>
    <t>MLI-56</t>
  </si>
  <si>
    <t>MLI-57</t>
  </si>
  <si>
    <t>MLI-58</t>
  </si>
  <si>
    <t>MLI-59</t>
  </si>
  <si>
    <t>MLI-60</t>
  </si>
  <si>
    <t>MLI-61</t>
  </si>
  <si>
    <t>AIR-C02a</t>
  </si>
  <si>
    <t>AIR-B03</t>
  </si>
  <si>
    <t>Sotelma/Malitel</t>
  </si>
  <si>
    <t>0144</t>
  </si>
  <si>
    <t>0134</t>
  </si>
  <si>
    <t>0136</t>
  </si>
  <si>
    <t>0138</t>
  </si>
  <si>
    <t>0133</t>
  </si>
  <si>
    <t>0139</t>
  </si>
  <si>
    <t>0090</t>
  </si>
  <si>
    <t>0016</t>
  </si>
  <si>
    <t>0017</t>
  </si>
  <si>
    <t>0031</t>
  </si>
  <si>
    <t>0021</t>
  </si>
  <si>
    <t>ALA-E11a</t>
  </si>
  <si>
    <t>IER 001 (Subvention)</t>
  </si>
  <si>
    <t>IER 004 (Subvention)</t>
  </si>
  <si>
    <t>ALA-E11b</t>
  </si>
  <si>
    <t>ICRAF (Subvention)</t>
  </si>
  <si>
    <t>ALA-E11c</t>
  </si>
  <si>
    <t>USD</t>
  </si>
  <si>
    <t>USD and Local Currency</t>
  </si>
  <si>
    <t>Local Currency</t>
  </si>
  <si>
    <t>AIR-A01b</t>
  </si>
  <si>
    <t>AIR-A11b</t>
  </si>
  <si>
    <t>GIE PANEL DONKO</t>
  </si>
  <si>
    <t>AIR-B11</t>
  </si>
  <si>
    <t>E.M.K S.A.R.L</t>
  </si>
  <si>
    <t>Sogreah Consultants</t>
  </si>
  <si>
    <t>Fiscal Agent</t>
  </si>
  <si>
    <t>Shell Mali SA</t>
  </si>
  <si>
    <t>To Delete</t>
  </si>
  <si>
    <t xml:space="preserve">Taux de Change </t>
  </si>
  <si>
    <t>Environmental Audit - Slection in Process</t>
  </si>
  <si>
    <t>AIR-A11a</t>
  </si>
  <si>
    <t>PMO-A15</t>
  </si>
  <si>
    <t>Recruitement et Gestion (UPS)</t>
  </si>
  <si>
    <t>IDEA CONSULTING</t>
  </si>
  <si>
    <t>TBD</t>
  </si>
  <si>
    <t>Total BLOCK B:  Addition of All Active Contracts as of September 30, 2011</t>
  </si>
  <si>
    <t>TOTAL BLOCK A+B:  As of September 30, 2011</t>
  </si>
  <si>
    <t>Contract Categories</t>
  </si>
  <si>
    <t>BLOCK A: Prepopulated contracts from the June 2011 PPR.</t>
  </si>
  <si>
    <t>Contract Amount per the June PPR</t>
  </si>
  <si>
    <t>Total Contract Value at September 30, 2011</t>
  </si>
  <si>
    <t>June 30, 2011 Work in Progress Accrual Amount</t>
  </si>
  <si>
    <t xml:space="preserve">WIP Period of Performance </t>
  </si>
  <si>
    <t>Accumulated Retention - June 30, 2011 (Prepopulated)</t>
  </si>
  <si>
    <t xml:space="preserve">New Retentions  - July to September, 2011 and Adjustments </t>
  </si>
  <si>
    <t xml:space="preserve">Retentions Released -July to September 2011 and Adjustments </t>
  </si>
  <si>
    <t>Advance Liquidations - Cumulative - June 30, 2011 (Prepopulated)</t>
  </si>
  <si>
    <t>Advance Balance - June 30, 2011 (Prepopulated)</t>
  </si>
  <si>
    <t xml:space="preserve">New Advances July to Sep. 2011 and Adjustments </t>
  </si>
  <si>
    <t xml:space="preserve">Advance Liquidations  July to Sep.  2011 and Adjustments </t>
  </si>
  <si>
    <t>Advance Balance at September 30, 2011 (Calculation)</t>
  </si>
  <si>
    <t>[insert date - Sept. 30, 2011]</t>
  </si>
  <si>
    <t>NA</t>
  </si>
  <si>
    <t>Procurement in process</t>
  </si>
  <si>
    <t>Please refer to PA Certificate (MLI-1_PA Certificate) ascertaining that these contracts are not yet finalized</t>
  </si>
  <si>
    <t>EmbalMali</t>
  </si>
  <si>
    <t>ALA-E06</t>
  </si>
  <si>
    <t>(See MLI-Closing in Process file provided by Procurement Agent)</t>
  </si>
  <si>
    <t>Closure</t>
  </si>
  <si>
    <t>Methology</t>
  </si>
  <si>
    <t>WIP</t>
  </si>
  <si>
    <t>Aug.01,2011 -Sept.30. 2011</t>
  </si>
  <si>
    <t>Information from contract and review of payments to date.</t>
  </si>
  <si>
    <t>1. Base Contract Page 31-33 requires 2/3 of 5% of contract amount ($10,800,000). Also see Page 63-64 for timing of deliverables.
2. Amended Consulting Contract for $530K. 2/3 of 20% of contract expected to be achieved by 9/30/2011. See Page 3.
3. Previous deliverable and related invoice  for Year 4-Q3 is also attached.</t>
  </si>
  <si>
    <t>Information from contract</t>
  </si>
  <si>
    <t>2/3 of 10% of contract amount (denominate in both US and FCFA) is billed quarterly with only August and September 2011 falling in the current billing cycle. See Page 36, 80-82 of Contract.</t>
  </si>
  <si>
    <t>ALA-F02</t>
  </si>
  <si>
    <t>0040</t>
  </si>
  <si>
    <t>IPC</t>
  </si>
  <si>
    <t>Multiple</t>
  </si>
  <si>
    <t>04/2011/MCA</t>
  </si>
  <si>
    <t>8/1/2011 - 9/30/2011</t>
  </si>
  <si>
    <t>10% of contraact amount. See page 35c of Contract part 2. Monthly payment through August.</t>
  </si>
  <si>
    <t>12/11/OY</t>
  </si>
  <si>
    <t>10% of contract amount. See page 10-13 of Contract part 2. Monthly Payment through August. September Invoice on hand.</t>
  </si>
  <si>
    <t>Sept.01-Sept.30. 2011</t>
  </si>
  <si>
    <t>Information from Engineer and revised by Project Direction to account for 27378920 paid to Arbritrator thorugh this contract bit not incliuded in the contract amount. Further an adjustment was also made to account for work to be performed during the close out period (Oct through December)</t>
  </si>
  <si>
    <t>1/REC</t>
  </si>
  <si>
    <t>WIP is based on Final Estimate based on temporary project work acceptance less payments made to date including payment made after receipt of the engineers estimate. Further, MCA adjusted Engineer's report to account for work to be performed after 9/30/2011. On Retention, Contractor submitted a guarrantee which allowed MCA to release all retentions. The WIP was adjusted to reflected in house invoice received but originally included. The Beginning bal of retention was adjusted to reflect the correct historical fx rate.</t>
  </si>
  <si>
    <t>Contract in Final phase. All work performed and IPC under review. Outstanding payment reflects Retention Bal and stand by team during the close out period. The Beginning bal of retention was adjusted to reflect the correct historical fx rate.</t>
  </si>
  <si>
    <t>Information from Engineer</t>
  </si>
  <si>
    <t>162 to 166 USD &amp; XOF</t>
  </si>
  <si>
    <t>Estimated Provided by Consultant.</t>
  </si>
  <si>
    <t>05/1/2011 - 9/29/2011</t>
  </si>
  <si>
    <t>written confirmation from Contractor. Validation Workshop of APS held on 9/29/2011.</t>
  </si>
  <si>
    <t>Contractors' estimate</t>
  </si>
  <si>
    <t>Etablissements Babouya Sylla</t>
  </si>
  <si>
    <t>ALA-E03 (Lot 2)</t>
  </si>
  <si>
    <t>Entreprise Koniba Bamba</t>
  </si>
  <si>
    <t>ALA-E03 (Lot 1)</t>
  </si>
  <si>
    <t>004/2011</t>
  </si>
  <si>
    <t>Information from contract and Project Director through Invoice #15</t>
  </si>
  <si>
    <t>8/2011 - 9/2011</t>
  </si>
  <si>
    <t>BERD-GEDUR-SA</t>
  </si>
  <si>
    <t>ALA-C01</t>
  </si>
  <si>
    <t>0135</t>
  </si>
  <si>
    <t>This item was an payment tied to a deliverable and as such should not have been recorded as advance.</t>
  </si>
  <si>
    <t>EGK</t>
  </si>
  <si>
    <t>ALA-A01b</t>
  </si>
  <si>
    <t>Toguna SARL</t>
  </si>
  <si>
    <t>ALA-E05-bis</t>
  </si>
  <si>
    <t xml:space="preserve">Information from Engineer with discussion with contractor </t>
  </si>
  <si>
    <t>Engineer's signed Report. The Advance and Retention was split between 2 currencies (CFA and USD). The Fiscal Agent transferred the CFA portion of the Advance into a USD. This contract is structured with a locked in rate of 459.5. AI51</t>
  </si>
  <si>
    <t>ABV Mali SARL</t>
  </si>
  <si>
    <t>ALA-E04-bis</t>
  </si>
  <si>
    <t>ALA-D10c1</t>
  </si>
  <si>
    <t>Contrat annulé</t>
  </si>
  <si>
    <t>ALA-F02b</t>
  </si>
  <si>
    <t>E-Sud Consulting</t>
  </si>
  <si>
    <t>ALA-F02a</t>
  </si>
  <si>
    <t>This contract is active but worls has not yet started. Planned for 10/3/2011. See Page __</t>
  </si>
  <si>
    <t>ALA-A01a</t>
  </si>
  <si>
    <t>Road maintenance for September.</t>
  </si>
  <si>
    <t>Jan.01,2011 -Sept.30. 2011</t>
  </si>
  <si>
    <t>Information from Contractor and from contract adjusted for In house invoice</t>
  </si>
  <si>
    <t>F112829-F112831</t>
  </si>
  <si>
    <t>1/1/2011 - 3/31/2011</t>
  </si>
  <si>
    <t>The diffrence between estimate submitted by Contractor and MCA's calculation is due to fx difference (460 vs. 465.88)</t>
  </si>
  <si>
    <t>APS Kouroumari</t>
  </si>
  <si>
    <t>ALA-E02</t>
  </si>
  <si>
    <t>ALA-C06</t>
  </si>
  <si>
    <t>ALA-B06b1</t>
  </si>
  <si>
    <t>Cabinet Veterinaire le Kouroumari &amp; Youssouf Ongoiba</t>
  </si>
  <si>
    <t>ALA-E10</t>
  </si>
  <si>
    <t>Valeur contrat PPR june est la somme de ALA-E10 et ALA-E10 (lot 2)/Contrat terminé, la valeur du contrat au 30/09/11 est égale à celle des dépenses effectives</t>
  </si>
  <si>
    <t>0149947</t>
  </si>
  <si>
    <t>7/1/2011 - 8/31/2011</t>
  </si>
  <si>
    <t>The Advance as reflected in the supporting documentation is based on a grouping of dollar amount and CFA amount on both contracts instead of presentation on individual contracts.The beginning bal of  advance was adjusted to reflect the correct historical fx rate.</t>
  </si>
  <si>
    <t>MLI-37.1</t>
  </si>
  <si>
    <t>The Advance as reflected in the supporting documentation is based on a grouping of dollar amount and CFA amount on both contracts instead of presentation on individual contracts. The beginning bal of retention and advance was adjusted to reflect the correct historical fx rate.</t>
  </si>
  <si>
    <t>General Motors</t>
  </si>
  <si>
    <t>AIR-A09b</t>
  </si>
  <si>
    <t>Série de contrats terminés, la valeur du contrat au 30/09/11 est égale à celle des dépenses effectives.</t>
  </si>
  <si>
    <t>September 01 to 30, 2011</t>
  </si>
  <si>
    <t>Information from contract : AIR-A01a - Supervision - September to November (Total to be invoiced =188 206,75 $)</t>
  </si>
  <si>
    <t xml:space="preserve">F109361 </t>
  </si>
  <si>
    <t>Invoice in house is from May and was rejected by MCA because the contractor failed to provide an insurance. La valeur au 30/09/11 inclus les différents amendements faits.</t>
  </si>
  <si>
    <t>Information from contract : AIR-A01b - Supervision - August to October (Total to be invoiced = 315 241,25 $)</t>
  </si>
  <si>
    <t>Les paiements se font avec deux codes activités différents : "Coté Piste" et "Coté Ville"</t>
  </si>
  <si>
    <t xml:space="preserve">Information from Engineer. </t>
  </si>
  <si>
    <t>Le PPR au 30/06/11 ne donnait pas la valeur du contrat signé, la valeur indiquée au 30/09/11 est celle du contrat signé. Opening Advance Balance as at June 30, 2011 differs with the previous data call submission due to exchange rate. In the June data call, advance balance reported at USD4,495,391.75</t>
  </si>
  <si>
    <t>Salary - Paid from NA/NA</t>
  </si>
  <si>
    <t>AIR-C02b</t>
  </si>
  <si>
    <t>AIR-C02c</t>
  </si>
  <si>
    <t>AIR-C02d</t>
  </si>
  <si>
    <t>La valeur au 30/09/11 inclus les différents amendements en cours pour intégrer les options retenues</t>
  </si>
  <si>
    <t>Sodson Corp</t>
  </si>
  <si>
    <t>M&amp;E-002b</t>
  </si>
  <si>
    <t>7/6/2011 - 9/27/2011</t>
  </si>
  <si>
    <t>Contractor estimate</t>
  </si>
  <si>
    <t>17-0011</t>
  </si>
  <si>
    <t>7/6/2011 - 9/28/2011</t>
  </si>
  <si>
    <t>Il est prévu de faire dautres engagements en octobre 2011</t>
  </si>
  <si>
    <t>M&amp;E-013</t>
  </si>
  <si>
    <t>7/1/2011 - 9/30/2011</t>
  </si>
  <si>
    <t>Le PPR au 30/06/11 ne donnait pas la valeur du contrat signé, la valeur indiquée au 30/09/11 est celle du contrat signé</t>
  </si>
  <si>
    <t>Yiriwa Conseils</t>
  </si>
  <si>
    <t>M&amp;E-004-bis</t>
  </si>
  <si>
    <t>(See MLI-Closing in Process file provided by Procurement Agent). La valeur au 30/09/11 inclus les différents amendements faits.</t>
  </si>
  <si>
    <t>Consultants Panel Technique du MCA</t>
  </si>
  <si>
    <t>M&amp;E-034</t>
  </si>
  <si>
    <t>No panel during this period.</t>
  </si>
  <si>
    <t>Technical Panel Consultants - Vérifier les 43.000 USD d'engagements au 30/06/11 alors que les dépenses au 16/09/11 ne so,t que de 6.000 USD. This contract is for a panel to review the contract in progress and such no activity is recorded this quarter.</t>
  </si>
  <si>
    <t>Yearly maintenancefor calendar year 2011 is fully paid.</t>
  </si>
  <si>
    <t>Paid from NA/NA</t>
  </si>
  <si>
    <t>La valeur du contrat au 30/09/11 est calculée pour 1 USD = 460 FCFA (au moment de la signature le taux utilisé était 1 USD = 450 FCFA), elle comprend également le montant de l'avenant pour l'audit des Data Call</t>
  </si>
  <si>
    <t>PMO-A28</t>
  </si>
  <si>
    <t>Final Payment made on this contract</t>
  </si>
  <si>
    <t>Final Invoice submitted and paid.</t>
  </si>
  <si>
    <t>Juripartner</t>
  </si>
  <si>
    <t>PMO-A16a</t>
  </si>
  <si>
    <t>This is an open contract for consultants used for litigation in August. Invoice paid through NA/NA</t>
  </si>
  <si>
    <t>PMO-A35a</t>
  </si>
  <si>
    <t>This contract was signed on 9/27/2011 and work has been performed as of 9/30/2011.</t>
  </si>
  <si>
    <t xml:space="preserve">Technical Panel Consultants </t>
  </si>
  <si>
    <t>PMO-A20</t>
  </si>
  <si>
    <t>Technuica l Panel are paid through the local account NA/NA</t>
  </si>
  <si>
    <t xml:space="preserve">European Construction Ventures </t>
  </si>
  <si>
    <t>PMO-A29</t>
  </si>
  <si>
    <t>Monthly recurring cost paid through August 2011. Prepopulated twice on MLI-94.</t>
  </si>
  <si>
    <t>Total Mali</t>
  </si>
  <si>
    <t>PMO-A31</t>
  </si>
  <si>
    <t>MLI-62</t>
  </si>
  <si>
    <t>Universal Prestation Service (UPS-RH)</t>
  </si>
  <si>
    <t>ALA-B14</t>
  </si>
  <si>
    <t>32'299.13</t>
  </si>
  <si>
    <t>MLI-63</t>
  </si>
  <si>
    <t>Blanket PO for IT Equipment. No goods receipts on hand.</t>
  </si>
  <si>
    <t>MLI-64</t>
  </si>
  <si>
    <t>PROTEAMUM</t>
  </si>
  <si>
    <t>PMO-A23</t>
  </si>
  <si>
    <t>IT Maintenance contract paid through September 2011 from local account NA/NA</t>
  </si>
  <si>
    <t>MLI-65</t>
  </si>
  <si>
    <t>Monthly recurring cost paid through August 2011. Prepopulated twice on MLI-95.</t>
  </si>
  <si>
    <t>MLI-66</t>
  </si>
  <si>
    <t>September Gas Tickets paid though local account NA/NA</t>
  </si>
  <si>
    <t>MLI-67</t>
  </si>
  <si>
    <t>AMAP</t>
  </si>
  <si>
    <t>PMO-A25</t>
  </si>
  <si>
    <t>Communication contract paid through local account</t>
  </si>
  <si>
    <t>MLI-68</t>
  </si>
  <si>
    <t>PMO-A10</t>
  </si>
  <si>
    <t>MLI-69</t>
  </si>
  <si>
    <t>Technicom</t>
  </si>
  <si>
    <t>PMO-A10 (Lot2)</t>
  </si>
  <si>
    <t>MLI-70</t>
  </si>
  <si>
    <t>CompuMali</t>
  </si>
  <si>
    <t>PMO-A10 (Lot3)</t>
  </si>
  <si>
    <t>MLI-71</t>
  </si>
  <si>
    <t>PMO-A10 (Lot1)</t>
  </si>
  <si>
    <t>MLI-72</t>
  </si>
  <si>
    <t>FDIC Expert no active in September.</t>
  </si>
  <si>
    <t>0012D &amp; 0013D</t>
  </si>
  <si>
    <t>MLI-73</t>
  </si>
  <si>
    <t>PMO-A12</t>
  </si>
  <si>
    <t>Technical Panel Consultants. This was a purchase.</t>
  </si>
  <si>
    <t>MLI-74</t>
  </si>
  <si>
    <t>Manutention Africaine</t>
  </si>
  <si>
    <t>PMO-A33</t>
  </si>
  <si>
    <t>23152.17</t>
  </si>
  <si>
    <t>This was a purcahse order.</t>
  </si>
  <si>
    <t>MLI-75</t>
  </si>
  <si>
    <t>PMO-A30</t>
  </si>
  <si>
    <t>MLI-76</t>
  </si>
  <si>
    <t>MATFORCE</t>
  </si>
  <si>
    <t>PMO-A06c</t>
  </si>
  <si>
    <t>MLI-77</t>
  </si>
  <si>
    <t>This is a sub-grant. Paid from NA/NA</t>
  </si>
  <si>
    <t>MLI-78</t>
  </si>
  <si>
    <t>MLI-79</t>
  </si>
  <si>
    <t>MLI-80</t>
  </si>
  <si>
    <t xml:space="preserve">Cardno </t>
  </si>
  <si>
    <t>0131</t>
  </si>
  <si>
    <t>Duplicate lines</t>
  </si>
  <si>
    <t>MLI-81</t>
  </si>
  <si>
    <t>MLI-82</t>
  </si>
  <si>
    <t>MLI-83</t>
  </si>
  <si>
    <t>Paid via local Account</t>
  </si>
  <si>
    <t>MLI-84</t>
  </si>
  <si>
    <t>Paid via local Account, NA/NA</t>
  </si>
  <si>
    <t>MLI-85</t>
  </si>
  <si>
    <t>MLI-86</t>
  </si>
  <si>
    <t>Paid via local Account for repairs and maintenance on MCA Headquarters</t>
  </si>
  <si>
    <t>MLI-87</t>
  </si>
  <si>
    <t>MLI-88</t>
  </si>
  <si>
    <t>This relates to a panel member that was paid already . No further service is required. Paid vis NA/NA</t>
  </si>
  <si>
    <t>MLI-89</t>
  </si>
  <si>
    <t>September 30,11</t>
  </si>
  <si>
    <t>August Invoice Paid</t>
  </si>
  <si>
    <t>MLI-90</t>
  </si>
  <si>
    <t>CFAO Motors</t>
  </si>
  <si>
    <t>ALA-D06b</t>
  </si>
  <si>
    <t>Purchase Order</t>
  </si>
  <si>
    <t>119/11/M</t>
  </si>
  <si>
    <t>MLI-91</t>
  </si>
  <si>
    <t>Paid via NA/NA</t>
  </si>
  <si>
    <t>MLI-92</t>
  </si>
  <si>
    <t>Paid  via NA/NA</t>
  </si>
  <si>
    <t>MLI-93</t>
  </si>
  <si>
    <t>MLI-94</t>
  </si>
  <si>
    <t>Cardno</t>
  </si>
  <si>
    <t>This is a duplicate line which is already captured on MLI-60</t>
  </si>
  <si>
    <t>MLI-95</t>
  </si>
  <si>
    <t>This is a duplicate line which is already captured on MLI-65.</t>
  </si>
  <si>
    <t>MLI-96</t>
  </si>
  <si>
    <t>MLI-97</t>
  </si>
  <si>
    <t>MLI-98</t>
  </si>
  <si>
    <t>AHSTROM BV</t>
  </si>
  <si>
    <t>Ala-A01</t>
  </si>
  <si>
    <t>This represent a correction of a prior period error reported by the contractor who deducted more advances than received by incorprating charges not accepted by MCA. The deductions relate to charges not accepted by MCA.</t>
  </si>
  <si>
    <t>MLI-99</t>
  </si>
  <si>
    <t>Works done. Closure not yet started.</t>
  </si>
  <si>
    <t>The retention amount requested by the contractor exceeded the retained amount by $321 but this amount was guarranteed by a bank agreement. This amount will be held against the guarrantee set up until amount nthe fiscal recovers from the contractor. The Beginning bal of retention was adjusted to reflect the correct historical fx rate.</t>
  </si>
  <si>
    <t>MLI-100</t>
  </si>
  <si>
    <t>Ala-B03</t>
  </si>
  <si>
    <t>This contract was cancelled but CFA portion of Advance amount was mistakenly included here in the lJune submission</t>
  </si>
  <si>
    <t>MLI-101</t>
  </si>
  <si>
    <t>The Beginning bal of retention was adjusted to reflect the correct historical fx rate.</t>
  </si>
  <si>
    <t>MLI-102</t>
  </si>
  <si>
    <t>INFOTOP</t>
  </si>
  <si>
    <t>PMO-A06</t>
  </si>
  <si>
    <t>MLI-103</t>
  </si>
  <si>
    <t xml:space="preserve">Invoice 4 was not paid this quarter. </t>
  </si>
  <si>
    <t>MLI-104</t>
  </si>
  <si>
    <t>Work done and in liability period</t>
  </si>
  <si>
    <t>MLI-105</t>
  </si>
  <si>
    <t>MLI-106</t>
  </si>
  <si>
    <t>0077/2011/CRRA-N</t>
  </si>
  <si>
    <t>7/1/2011 -9/30/2011</t>
  </si>
  <si>
    <t>MLI-107</t>
  </si>
  <si>
    <t>This is a sub-grant. See Series E estimate provided by Grantee.</t>
  </si>
  <si>
    <t>MLI-108</t>
  </si>
  <si>
    <t>MLI-109</t>
  </si>
  <si>
    <t>MLI-110</t>
  </si>
  <si>
    <t>CABINET ARDI</t>
  </si>
  <si>
    <t>PMO-A07</t>
  </si>
  <si>
    <t>MLI-111</t>
  </si>
  <si>
    <t>NEF</t>
  </si>
  <si>
    <t>AIR-B12</t>
  </si>
  <si>
    <t>MLI-112</t>
  </si>
  <si>
    <t>Cadis</t>
  </si>
  <si>
    <t>AIR-C01</t>
  </si>
  <si>
    <t>MLI-116</t>
  </si>
  <si>
    <t>ONG Yeredon</t>
  </si>
  <si>
    <t>ALA-E01a</t>
  </si>
  <si>
    <t>MLI-117</t>
  </si>
  <si>
    <t>ESDCO</t>
  </si>
  <si>
    <t>M&amp;E-001</t>
  </si>
  <si>
    <t>MLI-118</t>
  </si>
  <si>
    <t>ALA-D01</t>
  </si>
  <si>
    <t>MLI-119</t>
  </si>
  <si>
    <t>ALA-D01a</t>
  </si>
  <si>
    <t>MLI-120</t>
  </si>
  <si>
    <t>SCET Mali</t>
  </si>
  <si>
    <t>ALA-D16</t>
  </si>
  <si>
    <t>MLI-121</t>
  </si>
  <si>
    <t>Intelec3</t>
  </si>
  <si>
    <t>PMO-A09</t>
  </si>
  <si>
    <t>MLI-122</t>
  </si>
  <si>
    <t>Lot 1 ORCA</t>
  </si>
  <si>
    <t xml:space="preserve">ALA-B09 </t>
  </si>
  <si>
    <t>MLI-123</t>
  </si>
  <si>
    <t>Entreprise Damanguile</t>
  </si>
  <si>
    <t>ALA-B07</t>
  </si>
  <si>
    <t>MLI-139</t>
  </si>
  <si>
    <t>Manutention Africaine Lot 2</t>
  </si>
  <si>
    <t>Global Business Solution</t>
  </si>
  <si>
    <t>ALA-C05d</t>
  </si>
  <si>
    <t>MLI-140</t>
  </si>
  <si>
    <t>SDF3 SARL</t>
  </si>
  <si>
    <t>ALA-D18</t>
  </si>
  <si>
    <t>MLI-124</t>
  </si>
  <si>
    <t>ALA-B08</t>
  </si>
  <si>
    <t>MLI-125</t>
  </si>
  <si>
    <t>ALA-F03a</t>
  </si>
  <si>
    <t>MLI-126</t>
  </si>
  <si>
    <t>AVELUX</t>
  </si>
  <si>
    <t>ALA-F03c</t>
  </si>
  <si>
    <t>MLI-127</t>
  </si>
  <si>
    <t>La Malienne de l'automobile</t>
  </si>
  <si>
    <t>ALA-B14b</t>
  </si>
  <si>
    <t>MLI-128</t>
  </si>
  <si>
    <t>Camodi SA</t>
  </si>
  <si>
    <t>ALA-D06a</t>
  </si>
  <si>
    <t>MLI-129</t>
  </si>
  <si>
    <t>Sabine Sarl</t>
  </si>
  <si>
    <t>M&amp;E002a</t>
  </si>
  <si>
    <t>MLI-130</t>
  </si>
  <si>
    <t>Icoted International</t>
  </si>
  <si>
    <t>M&amp;E003</t>
  </si>
  <si>
    <t>MLI-131</t>
  </si>
  <si>
    <t>Ofetoc Secadi</t>
  </si>
  <si>
    <t>AIR-A10</t>
  </si>
  <si>
    <t>MLI-132</t>
  </si>
  <si>
    <t>SEC Diarra</t>
  </si>
  <si>
    <t>PMO-D01</t>
  </si>
  <si>
    <t>MLI-133</t>
  </si>
  <si>
    <t>Gassamara Informatique</t>
  </si>
  <si>
    <t>PMO-A04</t>
  </si>
  <si>
    <t>MLI-134</t>
  </si>
  <si>
    <t>CFAO Motors Lot 2</t>
  </si>
  <si>
    <t>PMO-A03</t>
  </si>
  <si>
    <t>MLI-135</t>
  </si>
  <si>
    <t>Cabinet Sow et Associés</t>
  </si>
  <si>
    <t>MLI-136</t>
  </si>
  <si>
    <t>PMO-A06a</t>
  </si>
  <si>
    <t>MLI-137</t>
  </si>
  <si>
    <t>PMO-A35b</t>
  </si>
  <si>
    <t>MLI-138</t>
  </si>
  <si>
    <t>Paid using NA/NA</t>
  </si>
  <si>
    <t>9/19/2011 - 9/18/2012</t>
  </si>
  <si>
    <t xml:space="preserve">This relates to a prepayment of VSAT services for 1 year starting </t>
  </si>
  <si>
    <r>
      <t xml:space="preserve">Information from Contractor and from contract. </t>
    </r>
    <r>
      <rPr>
        <b/>
        <sz val="10"/>
        <color indexed="8"/>
        <rFont val="Arial"/>
        <family val="2"/>
      </rPr>
      <t>This contract is allocated between Airside and Landside at 40/60 respectively. Note that reimbursable expenses only cover September 2011.</t>
    </r>
  </si>
  <si>
    <t>Contract Amount per the Prior Quarter Accrual</t>
  </si>
  <si>
    <t xml:space="preserve">New Advances  </t>
  </si>
  <si>
    <t>Advance Liquidations</t>
  </si>
  <si>
    <t>BLOCK A: Prepopulated contracts from the Prior Quarter Submission</t>
  </si>
  <si>
    <t>Total Contract Value at Current Quarter End</t>
  </si>
  <si>
    <t>Advance Balance at End of Prior Quarter (Prepopulated)</t>
  </si>
  <si>
    <t>Advance Balance at End of Current Quarter (Calculation)</t>
  </si>
  <si>
    <t>Accumulated Retention - Beginning Balance (Prepopulated)</t>
  </si>
  <si>
    <t xml:space="preserve">New Retentions </t>
  </si>
  <si>
    <t>Retentions Released</t>
  </si>
  <si>
    <t>Accumulated Retention at the end of Current Quarter</t>
  </si>
  <si>
    <t xml:space="preserve"> </t>
  </si>
  <si>
    <t>Section 2: Retentions (IN USD)</t>
  </si>
  <si>
    <t>Section 3: Advances (IN USD)</t>
  </si>
  <si>
    <t>Section 4: Remarks</t>
  </si>
  <si>
    <t>Do not modify</t>
  </si>
  <si>
    <t>E=A+B-C+D</t>
  </si>
  <si>
    <t>Adjustments (+/-) - Please include an explanation in the General Remarks Column</t>
  </si>
  <si>
    <t>J=F+G-H+I</t>
  </si>
  <si>
    <t>Please insert extra rows as needed.</t>
  </si>
  <si>
    <t xml:space="preserve"> Calculated using FX rate as of September 30, 2020</t>
  </si>
  <si>
    <t>BLOCK B: New Contracts from Current Quarter</t>
  </si>
  <si>
    <t>Add the contract information for any contracts which are new as of end of current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</si>
</sst>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0_ ;\-#,##0.00\ "/>
    <numFmt numFmtId="166" formatCode="0.00000000"/>
  </numFmts>
  <fonts count="41">
    <font>
      <sz val="10"/>
      <name val="Arial"/>
      <family val="2"/>
    </font>
    <font>
      <sz val="11"/>
      <color indexed="8"/>
      <name val="Calibri"/>
      <family val="2"/>
    </font>
    <font>
      <b/>
      <u val="single"/>
      <sz val="10"/>
      <name val="Arial"/>
      <family val="2"/>
    </font>
    <font>
      <b/>
      <sz val="10"/>
      <name val="Arial"/>
      <family val="2"/>
    </font>
    <font>
      <sz val="10"/>
      <name val="Century Gothic"/>
      <family val="2"/>
    </font>
    <font>
      <sz val="10"/>
      <color indexed="63"/>
      <name val="Century Gothic"/>
      <family val="2"/>
    </font>
    <font>
      <sz val="8"/>
      <color indexed="16"/>
      <name val="Century Gothic"/>
      <family val="2"/>
    </font>
    <font>
      <sz val="10"/>
      <color indexed="8"/>
      <name val="Arial"/>
      <family val="2"/>
    </font>
    <font>
      <b/>
      <u val="single"/>
      <sz val="14"/>
      <name val="Arial"/>
      <family val="2"/>
    </font>
    <font>
      <b/>
      <sz val="10"/>
      <color indexed="8"/>
      <name val="Arial"/>
      <family val="2"/>
    </font>
    <font>
      <sz val="12"/>
      <name val="Arial"/>
      <family val="2"/>
    </font>
    <font>
      <sz val="14"/>
      <name val="Arial"/>
      <family val="2"/>
    </font>
    <font>
      <b/>
      <sz val="12"/>
      <name val="Arial"/>
      <family val="2"/>
    </font>
    <font>
      <b/>
      <sz val="9"/>
      <name val="Tahoma"/>
      <family val="2"/>
    </font>
    <font>
      <sz val="9"/>
      <name val="Tahoma"/>
      <family val="2"/>
    </font>
    <font>
      <u val="single"/>
      <sz val="14"/>
      <name val="Arial"/>
      <family val="2"/>
    </font>
    <font>
      <sz val="10"/>
      <color indexed="8"/>
      <name val="Calibri"/>
      <family val="2"/>
    </font>
    <font>
      <sz val="8"/>
      <color indexed="8"/>
      <name val="Calibri"/>
      <family val="2"/>
    </font>
    <font>
      <sz val="9"/>
      <color indexed="8"/>
      <name val="Calibri"/>
      <family val="2"/>
    </font>
    <font>
      <sz val="10"/>
      <name val="Times New Roman"/>
      <family val="1"/>
    </font>
    <font>
      <sz val="11"/>
      <color theme="1"/>
      <name val="Calibri"/>
      <family val="2"/>
      <scheme val="minor"/>
    </font>
    <font>
      <sz val="8"/>
      <color theme="1"/>
      <name val="Calibri"/>
      <family val="2"/>
    </font>
    <font>
      <sz val="10"/>
      <color theme="1"/>
      <name val="Calibri"/>
      <family val="2"/>
    </font>
    <font>
      <u val="single"/>
      <sz val="10"/>
      <color theme="10"/>
      <name val="Arial"/>
      <family val="2"/>
    </font>
    <font>
      <sz val="10"/>
      <color rgb="FFFF0000"/>
      <name val="Arial"/>
      <family val="2"/>
    </font>
    <font>
      <sz val="14"/>
      <color theme="0"/>
      <name val="Arial"/>
      <family val="2"/>
    </font>
    <font>
      <b/>
      <u val="single"/>
      <sz val="14"/>
      <color theme="0"/>
      <name val="Arial"/>
      <family val="2"/>
    </font>
    <font>
      <sz val="10"/>
      <color theme="1"/>
      <name val="Arial"/>
      <family val="2"/>
    </font>
    <font>
      <b/>
      <u val="single"/>
      <sz val="10"/>
      <color rgb="FFFF0000"/>
      <name val="Arial"/>
      <family val="2"/>
    </font>
    <font>
      <b/>
      <sz val="10"/>
      <color rgb="FFFF0000"/>
      <name val="Arial"/>
      <family val="2"/>
    </font>
    <font>
      <b/>
      <sz val="12"/>
      <color theme="0"/>
      <name val="Arial"/>
      <family val="2"/>
    </font>
    <font>
      <b/>
      <sz val="12"/>
      <color rgb="FFFF0000"/>
      <name val="Arial"/>
      <family val="2"/>
    </font>
    <font>
      <b/>
      <u val="single"/>
      <sz val="14"/>
      <color theme="1"/>
      <name val="Arial"/>
      <family val="2"/>
    </font>
    <font>
      <sz val="8"/>
      <color rgb="FF000000"/>
      <name val="Century Gothic"/>
      <family val="2"/>
    </font>
    <font>
      <sz val="10"/>
      <name val="+mn-cs"/>
      <family val="2"/>
    </font>
    <font>
      <sz val="10"/>
      <color rgb="FFFF0000"/>
      <name val="+mn-cs"/>
      <family val="2"/>
    </font>
    <font>
      <b/>
      <sz val="9"/>
      <color rgb="FF5F5F5F"/>
      <name val="Century Gothic"/>
      <family val="2"/>
    </font>
    <font>
      <sz val="9"/>
      <color rgb="FF5F5F5F"/>
      <name val="Century Gothic"/>
      <family val="2"/>
    </font>
    <font>
      <sz val="9"/>
      <color rgb="FF000000"/>
      <name val="Century Gothic"/>
      <family val="2"/>
    </font>
    <font>
      <sz val="24"/>
      <color rgb="FF800000"/>
      <name val="Century Gothic"/>
      <family val="2"/>
    </font>
    <font>
      <b/>
      <sz val="8"/>
      <name val="Arial"/>
      <family val="2"/>
    </font>
  </fonts>
  <fills count="21">
    <fill>
      <patternFill/>
    </fill>
    <fill>
      <patternFill patternType="gray125"/>
    </fill>
    <fill>
      <patternFill patternType="solid">
        <fgColor indexed="9"/>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2" tint="-0.24997000396251678"/>
        <bgColor indexed="64"/>
      </patternFill>
    </fill>
    <fill>
      <patternFill patternType="solid">
        <fgColor theme="4"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7" tint="0.39998000860214233"/>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8DB3E2"/>
        <bgColor indexed="64"/>
      </patternFill>
    </fill>
    <fill>
      <patternFill patternType="solid">
        <fgColor rgb="FFFFC000"/>
        <bgColor indexed="64"/>
      </patternFill>
    </fill>
  </fills>
  <borders count="40">
    <border>
      <left/>
      <right/>
      <top/>
      <bottom/>
      <diagonal/>
    </border>
    <border>
      <left/>
      <right/>
      <top/>
      <bottom style="thin">
        <color theme="0" tint="-0.4999699890613556"/>
      </bottom>
    </border>
    <border>
      <left/>
      <right style="thin">
        <color theme="0" tint="-0.4999699890613556"/>
      </right>
      <top/>
      <bottom/>
    </border>
    <border>
      <left/>
      <right style="thin">
        <color theme="0" tint="-0.4999699890613556"/>
      </right>
      <top style="thin">
        <color theme="0" tint="-0.4999699890613556"/>
      </top>
      <bottom/>
    </border>
    <border>
      <left style="thin">
        <color theme="0" tint="-0.4999699890613556"/>
      </left>
      <right/>
      <top/>
      <bottom/>
    </border>
    <border>
      <left style="thin">
        <color theme="0" tint="-0.4999699890613556"/>
      </left>
      <right style="thin">
        <color theme="0" tint="-0.4999699890613556"/>
      </right>
      <top/>
      <bottom/>
    </border>
    <border>
      <left/>
      <right style="thin">
        <color indexed="43"/>
      </right>
      <top/>
      <bottom/>
    </border>
    <border>
      <left style="thin">
        <color indexed="43"/>
      </left>
      <right style="thin">
        <color indexed="43"/>
      </right>
      <top/>
      <bottom/>
    </border>
    <border>
      <left style="thin">
        <color indexed="43"/>
      </left>
      <right/>
      <top/>
      <bottom/>
    </border>
    <border>
      <left/>
      <right style="thin">
        <color indexed="43"/>
      </right>
      <top/>
      <bottom style="thin">
        <color indexed="16"/>
      </bottom>
    </border>
    <border>
      <left style="thin">
        <color indexed="43"/>
      </left>
      <right style="thin">
        <color indexed="43"/>
      </right>
      <top/>
      <bottom style="thin">
        <color indexed="16"/>
      </bottom>
    </border>
    <border>
      <left style="thin">
        <color indexed="43"/>
      </left>
      <right/>
      <top/>
      <bottom style="thin">
        <color indexed="16"/>
      </bottom>
    </border>
    <border>
      <left/>
      <right style="thin">
        <color indexed="22"/>
      </right>
      <top/>
      <bottom/>
    </border>
    <border>
      <left style="medium">
        <color indexed="16"/>
      </left>
      <right/>
      <top style="thin">
        <color indexed="16"/>
      </top>
      <bottom/>
    </border>
    <border>
      <left style="thin">
        <color indexed="43"/>
      </left>
      <right style="medium">
        <color indexed="16"/>
      </right>
      <top style="thin">
        <color indexed="16"/>
      </top>
      <bottom/>
    </border>
    <border>
      <left/>
      <right style="thin">
        <color indexed="43"/>
      </right>
      <top/>
      <bottom style="thin">
        <color theme="0" tint="-0.4999699890613556"/>
      </bottom>
    </border>
    <border>
      <left style="thin">
        <color indexed="43"/>
      </left>
      <right style="thin">
        <color indexed="43"/>
      </right>
      <top/>
      <bottom style="thin">
        <color theme="0" tint="-0.4999699890613556"/>
      </bottom>
    </border>
    <border>
      <left style="thin">
        <color indexed="43"/>
      </left>
      <right style="thin">
        <color theme="0" tint="-0.4999699890613556"/>
      </right>
      <top/>
      <bottom style="thin">
        <color theme="0" tint="-0.4999699890613556"/>
      </bottom>
    </border>
    <border>
      <left/>
      <right style="thin">
        <color theme="0" tint="-0.4999699890613556"/>
      </right>
      <top/>
      <bottom style="thin">
        <color theme="0" tint="-0.4999699890613556"/>
      </bottom>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style="thin"/>
    </border>
    <border>
      <left/>
      <right/>
      <top style="thin"/>
      <bottom style="thin"/>
    </border>
    <border>
      <left/>
      <right/>
      <top style="thin"/>
      <bottom style="medium"/>
    </border>
    <border>
      <left style="thin"/>
      <right/>
      <top/>
      <bottom style="thin"/>
    </border>
    <border>
      <left style="thin">
        <color rgb="FF000000"/>
      </left>
      <right style="thin">
        <color rgb="FF000000"/>
      </right>
      <top style="thin">
        <color rgb="FF000000"/>
      </top>
      <bottom style="thin">
        <color rgb="FF000000"/>
      </bottom>
    </border>
    <border>
      <left/>
      <right/>
      <top style="thin"/>
      <bottom style="medium">
        <color indexed="23"/>
      </bottom>
    </border>
    <border>
      <left/>
      <right style="thin"/>
      <top style="thin"/>
      <bottom style="medium">
        <color indexed="23"/>
      </bottom>
    </border>
    <border>
      <left/>
      <right style="thin"/>
      <top style="thin"/>
      <bottom style="thin"/>
    </border>
    <border>
      <left/>
      <right/>
      <top/>
      <bottom style="thin"/>
    </border>
    <border>
      <left/>
      <right style="thin"/>
      <top/>
      <bottom style="thin"/>
    </border>
    <border>
      <left style="thin"/>
      <right/>
      <top style="thin"/>
      <bottom style="medium">
        <color indexed="23"/>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style="thin">
        <color rgb="FF000000"/>
      </right>
      <top/>
      <bottom/>
    </border>
    <border>
      <left style="thin">
        <color rgb="FF000000"/>
      </left>
      <right/>
      <top/>
      <bottom/>
    </border>
    <border>
      <left style="thin">
        <color rgb="FF000000"/>
      </left>
      <right style="thin">
        <color rgb="FF000000"/>
      </right>
      <top/>
      <bottom style="thin">
        <color rgb="FF000000"/>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3"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cellStyleXfs>
  <cellXfs count="317">
    <xf numFmtId="0" fontId="0" fillId="0" borderId="0" xfId="0"/>
    <xf numFmtId="0" fontId="4" fillId="0" borderId="0" xfId="77" applyFont="1">
      <alignment/>
      <protection/>
    </xf>
    <xf numFmtId="0" fontId="4" fillId="2" borderId="1" xfId="77" applyFont="1" applyFill="1" applyBorder="1">
      <alignment/>
      <protection/>
    </xf>
    <xf numFmtId="0" fontId="4" fillId="0" borderId="1" xfId="77" applyFont="1" applyBorder="1">
      <alignment/>
      <protection/>
    </xf>
    <xf numFmtId="0" fontId="4" fillId="0" borderId="2" xfId="77" applyFont="1" applyBorder="1">
      <alignment/>
      <protection/>
    </xf>
    <xf numFmtId="0" fontId="5" fillId="3" borderId="0" xfId="77" applyFont="1" applyFill="1" applyBorder="1">
      <alignment/>
      <protection/>
    </xf>
    <xf numFmtId="0" fontId="5" fillId="3" borderId="3" xfId="77" applyFont="1" applyFill="1" applyBorder="1">
      <alignment/>
      <protection/>
    </xf>
    <xf numFmtId="0" fontId="4" fillId="0" borderId="4" xfId="77" applyFont="1" applyBorder="1">
      <alignment/>
      <protection/>
    </xf>
    <xf numFmtId="0" fontId="5" fillId="3" borderId="2" xfId="77" applyFont="1" applyFill="1" applyBorder="1">
      <alignment/>
      <protection/>
    </xf>
    <xf numFmtId="0" fontId="5" fillId="3" borderId="1" xfId="77" applyFont="1" applyFill="1" applyBorder="1">
      <alignment/>
      <protection/>
    </xf>
    <xf numFmtId="0" fontId="5" fillId="3" borderId="5" xfId="77" applyFont="1" applyFill="1" applyBorder="1">
      <alignment/>
      <protection/>
    </xf>
    <xf numFmtId="0" fontId="4" fillId="4" borderId="6" xfId="77" applyFont="1" applyFill="1" applyBorder="1">
      <alignment/>
      <protection/>
    </xf>
    <xf numFmtId="0" fontId="4" fillId="4" borderId="7" xfId="77" applyFont="1" applyFill="1" applyBorder="1">
      <alignment/>
      <protection/>
    </xf>
    <xf numFmtId="0" fontId="4" fillId="4" borderId="8" xfId="77" applyFont="1" applyFill="1" applyBorder="1">
      <alignment/>
      <protection/>
    </xf>
    <xf numFmtId="0" fontId="4" fillId="0" borderId="0" xfId="77" applyFont="1" applyBorder="1">
      <alignment/>
      <protection/>
    </xf>
    <xf numFmtId="0" fontId="4" fillId="4" borderId="9" xfId="77" applyFont="1" applyFill="1" applyBorder="1">
      <alignment/>
      <protection/>
    </xf>
    <xf numFmtId="0" fontId="4" fillId="4" borderId="10" xfId="77" applyFont="1" applyFill="1" applyBorder="1">
      <alignment/>
      <protection/>
    </xf>
    <xf numFmtId="0" fontId="4" fillId="4" borderId="11" xfId="77" applyFont="1" applyFill="1" applyBorder="1">
      <alignment/>
      <protection/>
    </xf>
    <xf numFmtId="0" fontId="4" fillId="4" borderId="0" xfId="77" applyFont="1" applyFill="1" applyBorder="1">
      <alignment/>
      <protection/>
    </xf>
    <xf numFmtId="0" fontId="4" fillId="4" borderId="12" xfId="77" applyFont="1" applyFill="1" applyBorder="1">
      <alignment/>
      <protection/>
    </xf>
    <xf numFmtId="0" fontId="4" fillId="4" borderId="13" xfId="77" applyFont="1" applyFill="1" applyBorder="1">
      <alignment/>
      <protection/>
    </xf>
    <xf numFmtId="0" fontId="4" fillId="4" borderId="14" xfId="77" applyFont="1" applyFill="1" applyBorder="1">
      <alignment/>
      <protection/>
    </xf>
    <xf numFmtId="0" fontId="4" fillId="5" borderId="0" xfId="77" applyFont="1" applyFill="1" applyBorder="1">
      <alignment/>
      <protection/>
    </xf>
    <xf numFmtId="0" fontId="4" fillId="4" borderId="15" xfId="77" applyFont="1" applyFill="1" applyBorder="1">
      <alignment/>
      <protection/>
    </xf>
    <xf numFmtId="0" fontId="4" fillId="4" borderId="16" xfId="77" applyFont="1" applyFill="1" applyBorder="1">
      <alignment/>
      <protection/>
    </xf>
    <xf numFmtId="0" fontId="4" fillId="4" borderId="17" xfId="77" applyFont="1" applyFill="1" applyBorder="1">
      <alignment/>
      <protection/>
    </xf>
    <xf numFmtId="0" fontId="4" fillId="3" borderId="0" xfId="77" applyFont="1" applyFill="1" applyBorder="1">
      <alignment/>
      <protection/>
    </xf>
    <xf numFmtId="0" fontId="4" fillId="3" borderId="2" xfId="77" applyFont="1" applyFill="1" applyBorder="1">
      <alignment/>
      <protection/>
    </xf>
    <xf numFmtId="0" fontId="4" fillId="3" borderId="1" xfId="77" applyFont="1" applyFill="1" applyBorder="1">
      <alignment/>
      <protection/>
    </xf>
    <xf numFmtId="0" fontId="4" fillId="3" borderId="18" xfId="77" applyFont="1" applyFill="1" applyBorder="1">
      <alignment/>
      <protection/>
    </xf>
    <xf numFmtId="0" fontId="4" fillId="2" borderId="0" xfId="77" applyFont="1" applyFill="1">
      <alignment/>
      <protection/>
    </xf>
    <xf numFmtId="0" fontId="7" fillId="6" borderId="19" xfId="0" applyFont="1" applyFill="1" applyBorder="1" applyAlignment="1" applyProtection="1">
      <alignment horizontal="left" vertical="top" wrapText="1"/>
      <protection locked="0"/>
    </xf>
    <xf numFmtId="0" fontId="7" fillId="7" borderId="19" xfId="0" applyFont="1" applyFill="1" applyBorder="1" applyAlignment="1" applyProtection="1">
      <alignment horizontal="right" wrapText="1"/>
      <protection locked="0"/>
    </xf>
    <xf numFmtId="0" fontId="0" fillId="5" borderId="19" xfId="0" applyFill="1" applyBorder="1" applyAlignment="1" applyProtection="1">
      <alignment horizontal="right"/>
      <protection locked="0"/>
    </xf>
    <xf numFmtId="43" fontId="7" fillId="7" borderId="19" xfId="18" applyFont="1" applyFill="1" applyBorder="1" applyAlignment="1" applyProtection="1">
      <alignment horizontal="right" wrapText="1"/>
      <protection locked="0"/>
    </xf>
    <xf numFmtId="0" fontId="0" fillId="5" borderId="0" xfId="0" applyFill="1" applyBorder="1" applyAlignment="1" applyProtection="1">
      <alignment horizontal="right"/>
      <protection locked="0"/>
    </xf>
    <xf numFmtId="0" fontId="0" fillId="0" borderId="19" xfId="0" applyFill="1" applyBorder="1" applyAlignment="1" applyProtection="1">
      <alignment horizontal="right"/>
      <protection locked="0"/>
    </xf>
    <xf numFmtId="0" fontId="2" fillId="8" borderId="19" xfId="0" applyFont="1" applyFill="1" applyBorder="1" applyAlignment="1" applyProtection="1">
      <alignment horizontal="right" wrapText="1"/>
      <protection locked="0"/>
    </xf>
    <xf numFmtId="43" fontId="7" fillId="9" borderId="19" xfId="18" applyFont="1" applyFill="1" applyBorder="1" applyAlignment="1" applyProtection="1">
      <alignment horizontal="right" wrapText="1"/>
      <protection locked="0"/>
    </xf>
    <xf numFmtId="0" fontId="0" fillId="0" borderId="19" xfId="0" applyBorder="1" applyAlignment="1" applyProtection="1">
      <alignment horizontal="right"/>
      <protection locked="0"/>
    </xf>
    <xf numFmtId="0" fontId="7" fillId="10" borderId="19" xfId="0" applyFont="1" applyFill="1" applyBorder="1" applyAlignment="1" applyProtection="1">
      <alignment horizontal="right" wrapText="1"/>
      <protection locked="0"/>
    </xf>
    <xf numFmtId="43" fontId="7" fillId="10" borderId="19" xfId="18" applyFont="1" applyFill="1" applyBorder="1" applyAlignment="1" applyProtection="1">
      <alignment horizontal="right" wrapText="1"/>
      <protection locked="0"/>
    </xf>
    <xf numFmtId="164" fontId="7" fillId="10" borderId="19" xfId="18" applyNumberFormat="1" applyFont="1" applyFill="1" applyBorder="1" applyAlignment="1" applyProtection="1">
      <alignment horizontal="right" wrapText="1"/>
      <protection locked="0"/>
    </xf>
    <xf numFmtId="0" fontId="7" fillId="0" borderId="19" xfId="0" applyFont="1" applyFill="1" applyBorder="1" applyAlignment="1" applyProtection="1">
      <alignment horizontal="right" wrapText="1"/>
      <protection locked="0"/>
    </xf>
    <xf numFmtId="164" fontId="7" fillId="0" borderId="19" xfId="18" applyNumberFormat="1" applyFont="1" applyFill="1" applyBorder="1" applyAlignment="1" applyProtection="1">
      <alignment horizontal="right" wrapText="1"/>
      <protection locked="0"/>
    </xf>
    <xf numFmtId="43" fontId="7" fillId="0" borderId="19" xfId="18" applyFont="1" applyFill="1" applyBorder="1" applyAlignment="1" applyProtection="1">
      <alignment horizontal="right" wrapText="1"/>
      <protection locked="0"/>
    </xf>
    <xf numFmtId="0" fontId="7" fillId="0" borderId="19" xfId="0" applyFont="1" applyFill="1" applyBorder="1" applyAlignment="1" applyProtection="1" quotePrefix="1">
      <alignment horizontal="right" wrapText="1"/>
      <protection locked="0"/>
    </xf>
    <xf numFmtId="0" fontId="0" fillId="0" borderId="19"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2" fillId="5" borderId="19" xfId="0" applyFont="1" applyFill="1" applyBorder="1" applyAlignment="1" applyProtection="1">
      <alignment horizontal="right"/>
      <protection locked="0"/>
    </xf>
    <xf numFmtId="0" fontId="0" fillId="5" borderId="19" xfId="0" applyFill="1" applyBorder="1" applyAlignment="1" applyProtection="1">
      <alignment horizontal="left" vertical="top"/>
      <protection locked="0"/>
    </xf>
    <xf numFmtId="43" fontId="7" fillId="10" borderId="19" xfId="18" applyFont="1" applyFill="1" applyBorder="1" applyAlignment="1" applyProtection="1">
      <alignment horizontal="right" wrapText="1"/>
      <protection/>
    </xf>
    <xf numFmtId="0" fontId="0" fillId="8" borderId="19" xfId="0" applyFont="1" applyFill="1" applyBorder="1" applyAlignment="1" applyProtection="1">
      <alignment horizontal="right" wrapText="1"/>
      <protection locked="0"/>
    </xf>
    <xf numFmtId="43" fontId="7" fillId="8" borderId="19" xfId="18" applyFont="1" applyFill="1" applyBorder="1" applyAlignment="1" applyProtection="1">
      <alignment horizontal="right" wrapText="1"/>
      <protection locked="0"/>
    </xf>
    <xf numFmtId="43" fontId="7" fillId="9" borderId="19" xfId="18" applyFont="1" applyFill="1" applyBorder="1" applyAlignment="1" applyProtection="1">
      <alignment horizontal="right" wrapText="1"/>
      <protection/>
    </xf>
    <xf numFmtId="43" fontId="7" fillId="9" borderId="19" xfId="0" applyNumberFormat="1" applyFont="1" applyFill="1" applyBorder="1" applyAlignment="1" applyProtection="1">
      <alignment horizontal="right" wrapText="1"/>
      <protection/>
    </xf>
    <xf numFmtId="14" fontId="7" fillId="7" borderId="19" xfId="0" applyNumberFormat="1" applyFont="1" applyFill="1" applyBorder="1" applyAlignment="1" applyProtection="1">
      <alignment horizontal="right" wrapText="1"/>
      <protection locked="0"/>
    </xf>
    <xf numFmtId="43" fontId="7" fillId="7" borderId="19" xfId="18" applyFont="1" applyFill="1" applyBorder="1" applyAlignment="1" applyProtection="1">
      <alignment horizontal="right" wrapText="1"/>
      <protection/>
    </xf>
    <xf numFmtId="43" fontId="7" fillId="7" borderId="19" xfId="0" applyNumberFormat="1" applyFont="1" applyFill="1" applyBorder="1" applyAlignment="1" applyProtection="1">
      <alignment horizontal="right" wrapText="1"/>
      <protection/>
    </xf>
    <xf numFmtId="43" fontId="0" fillId="10" borderId="19" xfId="0" applyNumberFormat="1" applyFont="1" applyFill="1" applyBorder="1" applyAlignment="1" applyProtection="1">
      <alignment horizontal="right" wrapText="1"/>
      <protection/>
    </xf>
    <xf numFmtId="43" fontId="7" fillId="9" borderId="19" xfId="18" applyFont="1" applyFill="1" applyBorder="1" applyAlignment="1" applyProtection="1">
      <alignment horizontal="center" wrapText="1"/>
      <protection/>
    </xf>
    <xf numFmtId="43" fontId="7" fillId="9" borderId="19" xfId="18" applyFont="1" applyFill="1" applyBorder="1" applyAlignment="1" applyProtection="1">
      <alignment horizontal="left" wrapText="1"/>
      <protection locked="0"/>
    </xf>
    <xf numFmtId="43" fontId="7" fillId="9" borderId="19" xfId="0" applyNumberFormat="1" applyFont="1" applyFill="1" applyBorder="1" applyAlignment="1" applyProtection="1">
      <alignment horizontal="left" wrapText="1"/>
      <protection/>
    </xf>
    <xf numFmtId="0" fontId="0" fillId="10" borderId="19" xfId="0" applyFont="1" applyFill="1" applyBorder="1" applyAlignment="1" applyProtection="1">
      <alignment horizontal="right" wrapText="1"/>
      <protection locked="0"/>
    </xf>
    <xf numFmtId="43" fontId="0" fillId="0" borderId="19" xfId="18" applyFont="1" applyFill="1" applyBorder="1" applyAlignment="1" applyProtection="1">
      <alignment horizontal="right" wrapText="1"/>
      <protection locked="0"/>
    </xf>
    <xf numFmtId="43" fontId="0" fillId="0" borderId="19" xfId="18" applyFont="1" applyBorder="1" applyAlignment="1" applyProtection="1">
      <alignment horizontal="right"/>
      <protection locked="0"/>
    </xf>
    <xf numFmtId="0" fontId="0" fillId="10" borderId="19" xfId="0" applyFill="1" applyBorder="1" applyAlignment="1" applyProtection="1">
      <alignment horizontal="right"/>
      <protection locked="0"/>
    </xf>
    <xf numFmtId="43" fontId="0" fillId="10" borderId="19" xfId="18" applyFont="1" applyFill="1" applyBorder="1" applyAlignment="1" applyProtection="1">
      <alignment horizontal="right"/>
      <protection locked="0"/>
    </xf>
    <xf numFmtId="43" fontId="0" fillId="9" borderId="19" xfId="18" applyFont="1" applyFill="1" applyBorder="1" applyAlignment="1" applyProtection="1">
      <alignment horizontal="right"/>
      <protection locked="0"/>
    </xf>
    <xf numFmtId="0" fontId="0" fillId="9" borderId="19" xfId="0" applyFill="1" applyBorder="1" applyAlignment="1" applyProtection="1">
      <alignment horizontal="right"/>
      <protection locked="0"/>
    </xf>
    <xf numFmtId="0" fontId="0" fillId="7" borderId="19" xfId="0" applyFill="1" applyBorder="1" applyAlignment="1" applyProtection="1">
      <alignment horizontal="right"/>
      <protection locked="0"/>
    </xf>
    <xf numFmtId="43" fontId="0" fillId="7" borderId="19" xfId="18" applyFont="1" applyFill="1" applyBorder="1" applyAlignment="1" applyProtection="1">
      <alignment horizontal="right"/>
      <protection locked="0"/>
    </xf>
    <xf numFmtId="0" fontId="0" fillId="7" borderId="19" xfId="0" applyFill="1" applyBorder="1" applyAlignment="1" applyProtection="1">
      <alignment horizontal="left" vertical="top"/>
      <protection locked="0"/>
    </xf>
    <xf numFmtId="0" fontId="0" fillId="5" borderId="0" xfId="0" applyFont="1" applyFill="1" applyBorder="1" applyAlignment="1" applyProtection="1">
      <alignment horizontal="right"/>
      <protection locked="0"/>
    </xf>
    <xf numFmtId="43" fontId="0" fillId="5" borderId="0" xfId="18" applyFont="1" applyFill="1" applyBorder="1" applyAlignment="1" applyProtection="1">
      <alignment horizontal="right"/>
      <protection locked="0"/>
    </xf>
    <xf numFmtId="0" fontId="0" fillId="5" borderId="0" xfId="0" applyFill="1" applyBorder="1" applyAlignment="1" applyProtection="1">
      <alignment horizontal="left" vertical="top"/>
      <protection locked="0"/>
    </xf>
    <xf numFmtId="0" fontId="0" fillId="11" borderId="0" xfId="0" applyFont="1" applyFill="1" applyBorder="1" applyAlignment="1" applyProtection="1">
      <alignment horizontal="right"/>
      <protection locked="0"/>
    </xf>
    <xf numFmtId="0" fontId="0" fillId="0" borderId="0" xfId="0" applyBorder="1" applyAlignment="1" applyProtection="1">
      <alignment horizontal="right"/>
      <protection locked="0"/>
    </xf>
    <xf numFmtId="43" fontId="0" fillId="0" borderId="0" xfId="18" applyFont="1" applyBorder="1" applyAlignment="1" applyProtection="1">
      <alignment horizontal="right"/>
      <protection locked="0"/>
    </xf>
    <xf numFmtId="0" fontId="0" fillId="10" borderId="0" xfId="0" applyFill="1" applyBorder="1" applyAlignment="1" applyProtection="1">
      <alignment horizontal="right"/>
      <protection locked="0"/>
    </xf>
    <xf numFmtId="43" fontId="0" fillId="10" borderId="0" xfId="18" applyFont="1" applyFill="1" applyBorder="1" applyAlignment="1" applyProtection="1">
      <alignment horizontal="right"/>
      <protection locked="0"/>
    </xf>
    <xf numFmtId="43" fontId="0" fillId="9" borderId="0" xfId="18" applyFont="1" applyFill="1" applyBorder="1" applyAlignment="1" applyProtection="1">
      <alignment horizontal="right"/>
      <protection locked="0"/>
    </xf>
    <xf numFmtId="0" fontId="0" fillId="9" borderId="0" xfId="0" applyFill="1" applyBorder="1" applyAlignment="1" applyProtection="1">
      <alignment horizontal="right"/>
      <protection locked="0"/>
    </xf>
    <xf numFmtId="0" fontId="0" fillId="7" borderId="0" xfId="0" applyFill="1" applyBorder="1" applyAlignment="1" applyProtection="1">
      <alignment horizontal="right"/>
      <protection locked="0"/>
    </xf>
    <xf numFmtId="43" fontId="0" fillId="7" borderId="0" xfId="18" applyFont="1" applyFill="1" applyBorder="1" applyAlignment="1" applyProtection="1">
      <alignment horizontal="right"/>
      <protection locked="0"/>
    </xf>
    <xf numFmtId="0" fontId="0" fillId="7" borderId="0" xfId="0" applyFill="1" applyBorder="1" applyAlignment="1" applyProtection="1">
      <alignment horizontal="left" vertical="top"/>
      <protection locked="0"/>
    </xf>
    <xf numFmtId="14" fontId="0" fillId="8" borderId="19" xfId="0" applyNumberFormat="1" applyFont="1" applyFill="1" applyBorder="1" applyAlignment="1" applyProtection="1">
      <alignment horizontal="right" wrapText="1"/>
      <protection locked="0"/>
    </xf>
    <xf numFmtId="17" fontId="10" fillId="8" borderId="19" xfId="0" applyNumberFormat="1" applyFont="1" applyFill="1" applyBorder="1" applyAlignment="1" applyProtection="1">
      <alignment horizontal="center" wrapText="1"/>
      <protection locked="0"/>
    </xf>
    <xf numFmtId="17" fontId="0" fillId="8" borderId="19" xfId="0" applyNumberFormat="1" applyFont="1" applyFill="1" applyBorder="1" applyAlignment="1" applyProtection="1">
      <alignment horizontal="right" wrapText="1"/>
      <protection locked="0"/>
    </xf>
    <xf numFmtId="43" fontId="24" fillId="9" borderId="19" xfId="18" applyFont="1" applyFill="1" applyBorder="1" applyAlignment="1" applyProtection="1">
      <alignment horizontal="right" wrapText="1"/>
      <protection locked="0"/>
    </xf>
    <xf numFmtId="43" fontId="24" fillId="9" borderId="19" xfId="18" applyFont="1" applyFill="1" applyBorder="1" applyAlignment="1" applyProtection="1">
      <alignment horizontal="right" wrapText="1"/>
      <protection/>
    </xf>
    <xf numFmtId="0" fontId="0" fillId="8" borderId="19" xfId="0" applyFont="1" applyFill="1" applyBorder="1" applyAlignment="1" applyProtection="1" quotePrefix="1">
      <alignment horizontal="right" wrapText="1"/>
      <protection locked="0"/>
    </xf>
    <xf numFmtId="0" fontId="7" fillId="5" borderId="19" xfId="0" applyFont="1" applyFill="1" applyBorder="1" applyAlignment="1" applyProtection="1">
      <alignment horizontal="right" wrapText="1"/>
      <protection locked="0"/>
    </xf>
    <xf numFmtId="14" fontId="7" fillId="7" borderId="19" xfId="0" applyNumberFormat="1" applyFont="1" applyFill="1" applyBorder="1" applyAlignment="1" applyProtection="1">
      <alignment horizontal="left" wrapText="1"/>
      <protection locked="0"/>
    </xf>
    <xf numFmtId="14" fontId="0" fillId="7" borderId="19" xfId="0" applyNumberFormat="1" applyFill="1" applyBorder="1" applyAlignment="1" applyProtection="1">
      <alignment horizontal="left"/>
      <protection locked="0"/>
    </xf>
    <xf numFmtId="43" fontId="0" fillId="7" borderId="19" xfId="18" applyFont="1" applyFill="1" applyBorder="1" applyAlignment="1" applyProtection="1">
      <alignment/>
      <protection locked="0"/>
    </xf>
    <xf numFmtId="0" fontId="8" fillId="12" borderId="19" xfId="0" applyFont="1" applyFill="1" applyBorder="1" applyAlignment="1" applyProtection="1">
      <alignment horizontal="right"/>
      <protection locked="0"/>
    </xf>
    <xf numFmtId="43" fontId="8" fillId="12" borderId="19" xfId="18" applyFont="1" applyFill="1" applyBorder="1" applyAlignment="1" applyProtection="1">
      <alignment horizontal="right"/>
      <protection locked="0"/>
    </xf>
    <xf numFmtId="0" fontId="8" fillId="12" borderId="19" xfId="0" applyFont="1" applyFill="1" applyBorder="1" applyAlignment="1" applyProtection="1">
      <alignment horizontal="left" vertical="top"/>
      <protection locked="0"/>
    </xf>
    <xf numFmtId="43" fontId="7" fillId="9" borderId="19" xfId="0" applyNumberFormat="1" applyFont="1" applyFill="1" applyBorder="1" applyAlignment="1" applyProtection="1">
      <alignment horizontal="right" wrapText="1"/>
      <protection locked="0"/>
    </xf>
    <xf numFmtId="0" fontId="7" fillId="0" borderId="20" xfId="0" applyFont="1" applyFill="1" applyBorder="1" applyAlignment="1" applyProtection="1">
      <alignment horizontal="right" wrapText="1"/>
      <protection locked="0"/>
    </xf>
    <xf numFmtId="0" fontId="0" fillId="0" borderId="20" xfId="0" applyBorder="1" applyAlignment="1" applyProtection="1">
      <alignment horizontal="right"/>
      <protection locked="0"/>
    </xf>
    <xf numFmtId="0" fontId="0" fillId="5" borderId="20" xfId="0" applyFill="1" applyBorder="1" applyAlignment="1" applyProtection="1">
      <alignment horizontal="right"/>
      <protection locked="0"/>
    </xf>
    <xf numFmtId="43" fontId="0" fillId="5" borderId="19" xfId="18" applyFont="1" applyFill="1" applyBorder="1" applyAlignment="1" applyProtection="1">
      <alignment horizontal="right"/>
      <protection locked="0"/>
    </xf>
    <xf numFmtId="0" fontId="7" fillId="0" borderId="19" xfId="0" applyFont="1" applyFill="1" applyBorder="1" applyAlignment="1" applyProtection="1">
      <alignment horizontal="right" vertical="top" wrapText="1"/>
      <protection locked="0"/>
    </xf>
    <xf numFmtId="43" fontId="11" fillId="12" borderId="19" xfId="0" applyNumberFormat="1" applyFont="1" applyFill="1" applyBorder="1" applyAlignment="1" applyProtection="1">
      <alignment horizontal="right"/>
      <protection locked="0"/>
    </xf>
    <xf numFmtId="43" fontId="25" fillId="13" borderId="19" xfId="0" applyNumberFormat="1" applyFont="1" applyFill="1" applyBorder="1" applyAlignment="1" applyProtection="1">
      <alignment horizontal="right"/>
      <protection locked="0"/>
    </xf>
    <xf numFmtId="0" fontId="26" fillId="13" borderId="19" xfId="0" applyFont="1" applyFill="1" applyBorder="1" applyAlignment="1" applyProtection="1">
      <alignment horizontal="right"/>
      <protection locked="0"/>
    </xf>
    <xf numFmtId="43" fontId="26" fillId="13" borderId="19" xfId="18" applyFont="1" applyFill="1" applyBorder="1" applyAlignment="1" applyProtection="1">
      <alignment horizontal="right"/>
      <protection locked="0"/>
    </xf>
    <xf numFmtId="0" fontId="26" fillId="13" borderId="19" xfId="0" applyFont="1" applyFill="1" applyBorder="1" applyAlignment="1" applyProtection="1">
      <alignment horizontal="left" vertical="top"/>
      <protection locked="0"/>
    </xf>
    <xf numFmtId="43" fontId="24" fillId="7" borderId="19" xfId="18" applyFont="1" applyFill="1" applyBorder="1" applyAlignment="1" applyProtection="1">
      <alignment horizontal="right" wrapText="1"/>
      <protection/>
    </xf>
    <xf numFmtId="43" fontId="24" fillId="7" borderId="19" xfId="18" applyFont="1" applyFill="1" applyBorder="1" applyAlignment="1" applyProtection="1">
      <alignment horizontal="left" wrapText="1"/>
      <protection/>
    </xf>
    <xf numFmtId="43" fontId="7" fillId="11" borderId="19" xfId="18" applyFont="1" applyFill="1" applyBorder="1" applyAlignment="1" applyProtection="1">
      <alignment horizontal="right" wrapText="1"/>
      <protection locked="0"/>
    </xf>
    <xf numFmtId="43" fontId="0" fillId="11" borderId="19" xfId="18" applyFont="1" applyFill="1" applyBorder="1" applyAlignment="1" applyProtection="1">
      <alignment horizontal="right"/>
      <protection locked="0"/>
    </xf>
    <xf numFmtId="43" fontId="0" fillId="11" borderId="20" xfId="18" applyFont="1" applyFill="1" applyBorder="1" applyAlignment="1" applyProtection="1">
      <alignment horizontal="right"/>
      <protection locked="0"/>
    </xf>
    <xf numFmtId="43" fontId="27" fillId="7" borderId="19" xfId="18" applyFont="1" applyFill="1" applyBorder="1" applyAlignment="1" applyProtection="1">
      <alignment horizontal="right" wrapText="1"/>
      <protection/>
    </xf>
    <xf numFmtId="0" fontId="2" fillId="14" borderId="19" xfId="0" applyFont="1" applyFill="1" applyBorder="1" applyAlignment="1" applyProtection="1">
      <alignment horizontal="right"/>
      <protection locked="0"/>
    </xf>
    <xf numFmtId="0" fontId="2" fillId="6" borderId="19" xfId="0" applyFont="1" applyFill="1" applyBorder="1" applyAlignment="1" applyProtection="1">
      <alignment horizontal="left" vertical="top"/>
      <protection locked="0"/>
    </xf>
    <xf numFmtId="0" fontId="2" fillId="12" borderId="19" xfId="0" applyFont="1" applyFill="1" applyBorder="1" applyAlignment="1" applyProtection="1">
      <alignment horizontal="right"/>
      <protection locked="0"/>
    </xf>
    <xf numFmtId="0" fontId="0" fillId="12" borderId="19" xfId="0" applyFill="1" applyBorder="1" applyAlignment="1" applyProtection="1">
      <alignment horizontal="right"/>
      <protection locked="0"/>
    </xf>
    <xf numFmtId="43" fontId="0" fillId="12" borderId="19" xfId="18" applyFont="1" applyFill="1" applyBorder="1" applyAlignment="1" applyProtection="1">
      <alignment horizontal="right"/>
      <protection locked="0"/>
    </xf>
    <xf numFmtId="43" fontId="2" fillId="12" borderId="19" xfId="18" applyFont="1" applyFill="1" applyBorder="1" applyAlignment="1" applyProtection="1">
      <alignment horizontal="right"/>
      <protection locked="0"/>
    </xf>
    <xf numFmtId="0" fontId="0" fillId="12" borderId="19" xfId="0" applyFill="1" applyBorder="1" applyAlignment="1" applyProtection="1">
      <alignment horizontal="left" vertical="top"/>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protection locked="0"/>
    </xf>
    <xf numFmtId="43" fontId="2" fillId="0" borderId="19" xfId="18" applyFont="1" applyFill="1" applyBorder="1" applyAlignment="1" applyProtection="1">
      <alignment horizontal="center" vertical="center" wrapText="1"/>
      <protection locked="0"/>
    </xf>
    <xf numFmtId="43" fontId="2" fillId="10" borderId="19" xfId="18" applyFont="1" applyFill="1" applyBorder="1" applyAlignment="1" applyProtection="1">
      <alignment horizontal="center" vertical="center" wrapText="1"/>
      <protection locked="0"/>
    </xf>
    <xf numFmtId="0" fontId="2" fillId="10" borderId="19" xfId="0" applyFont="1" applyFill="1" applyBorder="1" applyAlignment="1" applyProtection="1">
      <alignment horizontal="center" vertical="center" wrapText="1"/>
      <protection locked="0"/>
    </xf>
    <xf numFmtId="0" fontId="2" fillId="8" borderId="19" xfId="0" applyFont="1" applyFill="1" applyBorder="1" applyAlignment="1" applyProtection="1">
      <alignment horizontal="center" vertical="center" wrapText="1"/>
      <protection locked="0"/>
    </xf>
    <xf numFmtId="43" fontId="2" fillId="8" borderId="19" xfId="18" applyFont="1" applyFill="1" applyBorder="1" applyAlignment="1" applyProtection="1">
      <alignment horizontal="center" vertical="center" wrapText="1"/>
      <protection locked="0"/>
    </xf>
    <xf numFmtId="43" fontId="2" fillId="9" borderId="19" xfId="18" applyFont="1" applyFill="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43" fontId="2" fillId="7" borderId="19" xfId="18"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11"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protection locked="0"/>
    </xf>
    <xf numFmtId="0" fontId="28" fillId="0" borderId="19" xfId="0" applyFont="1" applyFill="1" applyBorder="1" applyAlignment="1" applyProtection="1">
      <alignment horizontal="right"/>
      <protection locked="0"/>
    </xf>
    <xf numFmtId="43" fontId="2" fillId="0" borderId="19" xfId="18" applyFont="1" applyFill="1" applyBorder="1" applyAlignment="1" applyProtection="1">
      <alignment horizontal="right"/>
      <protection locked="0"/>
    </xf>
    <xf numFmtId="43" fontId="2" fillId="0" borderId="19" xfId="18" applyFont="1" applyFill="1" applyBorder="1" applyAlignment="1" applyProtection="1">
      <alignment horizontal="right" wrapText="1"/>
      <protection locked="0"/>
    </xf>
    <xf numFmtId="0" fontId="28" fillId="10" borderId="19" xfId="0" applyFont="1" applyFill="1" applyBorder="1" applyAlignment="1" applyProtection="1">
      <alignment horizontal="right" wrapText="1"/>
      <protection locked="0"/>
    </xf>
    <xf numFmtId="0" fontId="28" fillId="10" borderId="19" xfId="0" applyFont="1" applyFill="1" applyBorder="1" applyAlignment="1" applyProtection="1">
      <alignment horizontal="right"/>
      <protection locked="0"/>
    </xf>
    <xf numFmtId="0" fontId="2" fillId="10" borderId="19" xfId="0" applyFont="1" applyFill="1" applyBorder="1" applyAlignment="1" applyProtection="1">
      <alignment horizontal="right" wrapText="1"/>
      <protection locked="0"/>
    </xf>
    <xf numFmtId="0" fontId="28" fillId="8" borderId="19" xfId="0" applyFont="1" applyFill="1" applyBorder="1" applyAlignment="1" applyProtection="1">
      <alignment horizontal="right" wrapText="1"/>
      <protection locked="0"/>
    </xf>
    <xf numFmtId="0" fontId="29" fillId="8" borderId="19" xfId="0" applyFont="1" applyFill="1" applyBorder="1" applyAlignment="1" applyProtection="1">
      <alignment horizontal="right"/>
      <protection locked="0"/>
    </xf>
    <xf numFmtId="43" fontId="29" fillId="8" borderId="19" xfId="18" applyFont="1" applyFill="1" applyBorder="1" applyAlignment="1" applyProtection="1">
      <alignment horizontal="right"/>
      <protection locked="0"/>
    </xf>
    <xf numFmtId="43" fontId="2" fillId="9" borderId="19" xfId="18" applyFont="1" applyFill="1" applyBorder="1" applyAlignment="1" applyProtection="1">
      <alignment horizontal="right"/>
      <protection locked="0"/>
    </xf>
    <xf numFmtId="43" fontId="29" fillId="15" borderId="19" xfId="18" applyFont="1" applyFill="1" applyBorder="1" applyAlignment="1" applyProtection="1">
      <alignment horizontal="right"/>
      <protection locked="0"/>
    </xf>
    <xf numFmtId="0" fontId="29" fillId="15" borderId="19" xfId="0" applyFont="1" applyFill="1" applyBorder="1" applyAlignment="1" applyProtection="1">
      <alignment horizontal="right"/>
      <protection locked="0"/>
    </xf>
    <xf numFmtId="0" fontId="2" fillId="9" borderId="19" xfId="0" applyFont="1" applyFill="1" applyBorder="1" applyAlignment="1" applyProtection="1">
      <alignment horizontal="right"/>
      <protection locked="0"/>
    </xf>
    <xf numFmtId="0" fontId="2" fillId="7" borderId="19" xfId="0" applyFont="1" applyFill="1" applyBorder="1" applyAlignment="1" applyProtection="1">
      <alignment horizontal="right" wrapText="1"/>
      <protection locked="0"/>
    </xf>
    <xf numFmtId="0" fontId="29" fillId="7" borderId="19" xfId="0" applyFont="1" applyFill="1" applyBorder="1" applyAlignment="1" applyProtection="1">
      <alignment horizontal="right"/>
      <protection locked="0"/>
    </xf>
    <xf numFmtId="43" fontId="2" fillId="7" borderId="19" xfId="18" applyFont="1" applyFill="1" applyBorder="1" applyAlignment="1" applyProtection="1">
      <alignment horizontal="right" wrapText="1"/>
      <protection locked="0"/>
    </xf>
    <xf numFmtId="43" fontId="29" fillId="7" borderId="19" xfId="18" applyFont="1" applyFill="1" applyBorder="1" applyAlignment="1" applyProtection="1">
      <alignment horizontal="right"/>
      <protection locked="0"/>
    </xf>
    <xf numFmtId="0" fontId="2" fillId="11" borderId="19" xfId="0" applyFont="1" applyFill="1" applyBorder="1" applyAlignment="1" applyProtection="1">
      <alignment horizontal="right"/>
      <protection locked="0"/>
    </xf>
    <xf numFmtId="43" fontId="0" fillId="0" borderId="19" xfId="18" applyFont="1" applyFill="1" applyBorder="1" applyAlignment="1" applyProtection="1">
      <alignment horizontal="center" wrapText="1"/>
      <protection locked="0"/>
    </xf>
    <xf numFmtId="0" fontId="0" fillId="0" borderId="19" xfId="0" applyFont="1" applyFill="1" applyBorder="1" applyAlignment="1" applyProtection="1">
      <alignment horizontal="right" wrapText="1"/>
      <protection locked="0"/>
    </xf>
    <xf numFmtId="0" fontId="0" fillId="0" borderId="19" xfId="0" applyFont="1" applyFill="1" applyBorder="1" applyAlignment="1" applyProtection="1">
      <alignment horizontal="right"/>
      <protection locked="0"/>
    </xf>
    <xf numFmtId="43" fontId="2" fillId="10" borderId="19" xfId="18" applyFont="1" applyFill="1" applyBorder="1" applyAlignment="1" applyProtection="1">
      <alignment horizontal="right" wrapText="1"/>
      <protection locked="0"/>
    </xf>
    <xf numFmtId="43" fontId="2" fillId="8" borderId="19" xfId="18" applyFont="1" applyFill="1" applyBorder="1" applyAlignment="1" applyProtection="1">
      <alignment horizontal="right" wrapText="1"/>
      <protection locked="0"/>
    </xf>
    <xf numFmtId="43" fontId="0" fillId="15" borderId="19" xfId="18" applyFont="1" applyFill="1" applyBorder="1" applyAlignment="1" applyProtection="1">
      <alignment horizontal="right" wrapText="1"/>
      <protection locked="0"/>
    </xf>
    <xf numFmtId="0" fontId="27" fillId="15" borderId="19" xfId="0" applyFont="1" applyFill="1" applyBorder="1" applyAlignment="1" applyProtection="1">
      <alignment horizontal="right" wrapText="1"/>
      <protection locked="0"/>
    </xf>
    <xf numFmtId="0" fontId="7" fillId="9" borderId="19" xfId="0" applyFont="1" applyFill="1" applyBorder="1" applyAlignment="1" applyProtection="1">
      <alignment horizontal="right" wrapText="1"/>
      <protection locked="0"/>
    </xf>
    <xf numFmtId="17" fontId="2" fillId="10" borderId="19" xfId="0" applyNumberFormat="1" applyFont="1" applyFill="1" applyBorder="1" applyAlignment="1" applyProtection="1">
      <alignment horizontal="right" wrapText="1"/>
      <protection locked="0"/>
    </xf>
    <xf numFmtId="14" fontId="0" fillId="10" borderId="19" xfId="0" applyNumberFormat="1" applyFont="1" applyFill="1" applyBorder="1" applyAlignment="1" applyProtection="1">
      <alignment horizontal="right" wrapText="1"/>
      <protection locked="0"/>
    </xf>
    <xf numFmtId="0" fontId="0" fillId="10" borderId="19" xfId="0" applyFont="1" applyFill="1" applyBorder="1" applyAlignment="1" applyProtection="1">
      <alignment horizontal="right" wrapText="1"/>
      <protection locked="0"/>
    </xf>
    <xf numFmtId="0" fontId="0" fillId="0" borderId="19" xfId="0" applyFill="1" applyBorder="1" applyAlignment="1" applyProtection="1">
      <alignment horizontal="right" wrapText="1"/>
      <protection locked="0"/>
    </xf>
    <xf numFmtId="43" fontId="0" fillId="0" borderId="19" xfId="18" applyFont="1" applyFill="1" applyBorder="1" applyAlignment="1" applyProtection="1">
      <alignment horizontal="right" wrapText="1"/>
      <protection locked="0"/>
    </xf>
    <xf numFmtId="43" fontId="0" fillId="10" borderId="19" xfId="18" applyFont="1" applyFill="1" applyBorder="1" applyAlignment="1" applyProtection="1">
      <alignment horizontal="right" wrapText="1"/>
      <protection/>
    </xf>
    <xf numFmtId="14" fontId="0" fillId="7" borderId="19" xfId="0" applyNumberFormat="1" applyFont="1" applyFill="1" applyBorder="1" applyAlignment="1" applyProtection="1">
      <alignment horizontal="right" wrapText="1"/>
      <protection locked="0"/>
    </xf>
    <xf numFmtId="43" fontId="0" fillId="11" borderId="19" xfId="18" applyFont="1" applyFill="1" applyBorder="1" applyAlignment="1" applyProtection="1">
      <alignment horizontal="right" wrapText="1"/>
      <protection locked="0"/>
    </xf>
    <xf numFmtId="2" fontId="7" fillId="7" borderId="19" xfId="0" applyNumberFormat="1" applyFont="1" applyFill="1" applyBorder="1" applyAlignment="1" applyProtection="1">
      <alignment horizontal="left" vertical="center" wrapText="1"/>
      <protection locked="0"/>
    </xf>
    <xf numFmtId="0" fontId="27" fillId="15"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protection locked="0"/>
    </xf>
    <xf numFmtId="0" fontId="0" fillId="5" borderId="0" xfId="0" applyFont="1" applyFill="1" applyBorder="1" applyAlignment="1" applyProtection="1">
      <alignment horizontal="left" vertical="center"/>
      <protection locked="0"/>
    </xf>
    <xf numFmtId="49" fontId="0" fillId="5" borderId="21" xfId="0" applyNumberFormat="1" applyFont="1" applyFill="1" applyBorder="1" applyAlignment="1" applyProtection="1">
      <alignment horizontal="center" vertical="center"/>
      <protection locked="0"/>
    </xf>
    <xf numFmtId="0" fontId="0" fillId="5" borderId="21" xfId="0" applyFont="1" applyFill="1" applyBorder="1" applyAlignment="1" applyProtection="1">
      <alignment horizontal="left" vertical="center"/>
      <protection locked="0"/>
    </xf>
    <xf numFmtId="0" fontId="0" fillId="5" borderId="21" xfId="0" applyFont="1" applyFill="1" applyBorder="1" applyAlignment="1" applyProtection="1">
      <alignment vertical="center"/>
      <protection locked="0"/>
    </xf>
    <xf numFmtId="0" fontId="0" fillId="5" borderId="21" xfId="0" applyFont="1" applyFill="1" applyBorder="1" applyAlignment="1" applyProtection="1">
      <alignment horizontal="center" vertical="center"/>
      <protection locked="0"/>
    </xf>
    <xf numFmtId="43" fontId="0" fillId="5" borderId="21" xfId="18" applyFont="1" applyFill="1" applyBorder="1" applyAlignment="1" applyProtection="1">
      <alignment horizontal="center" vertical="center"/>
      <protection locked="0"/>
    </xf>
    <xf numFmtId="0" fontId="24" fillId="5" borderId="21" xfId="0" applyFont="1" applyFill="1" applyBorder="1" applyAlignment="1" applyProtection="1">
      <alignment vertical="center"/>
      <protection locked="0"/>
    </xf>
    <xf numFmtId="2" fontId="0" fillId="5" borderId="21" xfId="0" applyNumberFormat="1" applyFont="1" applyFill="1" applyBorder="1" applyAlignment="1" applyProtection="1">
      <alignment vertical="center"/>
      <protection locked="0"/>
    </xf>
    <xf numFmtId="0" fontId="0" fillId="5" borderId="22"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2" fillId="12" borderId="23" xfId="0" applyFont="1" applyFill="1" applyBorder="1" applyAlignment="1" applyProtection="1">
      <alignment vertical="center"/>
      <protection locked="0"/>
    </xf>
    <xf numFmtId="0" fontId="2" fillId="12" borderId="24" xfId="0" applyFont="1" applyFill="1" applyBorder="1" applyAlignment="1" applyProtection="1">
      <alignment vertical="center"/>
      <protection locked="0"/>
    </xf>
    <xf numFmtId="0" fontId="0" fillId="12" borderId="24" xfId="0" applyFill="1" applyBorder="1" applyAlignment="1" applyProtection="1">
      <alignment vertical="center"/>
      <protection locked="0"/>
    </xf>
    <xf numFmtId="0" fontId="0" fillId="12" borderId="24" xfId="0" applyFont="1" applyFill="1" applyBorder="1" applyAlignment="1" applyProtection="1">
      <alignment vertical="center"/>
      <protection locked="0"/>
    </xf>
    <xf numFmtId="0" fontId="0" fillId="12" borderId="24" xfId="0" applyFill="1" applyBorder="1" applyAlignment="1" applyProtection="1">
      <alignment horizontal="right" vertical="center" wrapText="1"/>
      <protection locked="0"/>
    </xf>
    <xf numFmtId="43" fontId="0" fillId="12" borderId="24" xfId="37" applyFont="1" applyFill="1" applyBorder="1" applyAlignment="1" applyProtection="1">
      <alignment vertical="center"/>
      <protection locked="0"/>
    </xf>
    <xf numFmtId="0" fontId="0" fillId="12" borderId="0" xfId="0" applyFill="1" applyAlignment="1" applyProtection="1">
      <alignment vertical="center"/>
      <protection locked="0"/>
    </xf>
    <xf numFmtId="2" fontId="0" fillId="12" borderId="0" xfId="0" applyNumberFormat="1" applyFill="1" applyAlignment="1" applyProtection="1">
      <alignment vertical="center"/>
      <protection locked="0"/>
    </xf>
    <xf numFmtId="0" fontId="2" fillId="9" borderId="20" xfId="0" applyFont="1" applyFill="1" applyBorder="1" applyAlignment="1" applyProtection="1">
      <alignment horizontal="center" vertical="center" wrapText="1"/>
      <protection locked="0"/>
    </xf>
    <xf numFmtId="2" fontId="2" fillId="7" borderId="20" xfId="0" applyNumberFormat="1"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quotePrefix="1">
      <alignment horizontal="center" vertical="center" wrapText="1"/>
      <protection locked="0"/>
    </xf>
    <xf numFmtId="4" fontId="0" fillId="0" borderId="19" xfId="18" applyNumberFormat="1" applyFont="1" applyFill="1" applyBorder="1" applyAlignment="1" applyProtection="1">
      <alignment horizontal="right" vertical="center" wrapText="1"/>
      <protection locked="0"/>
    </xf>
    <xf numFmtId="0" fontId="0" fillId="6" borderId="19" xfId="0" applyFont="1" applyFill="1" applyBorder="1" applyAlignment="1" applyProtection="1">
      <alignment horizontal="left" vertical="center" wrapText="1"/>
      <protection locked="0"/>
    </xf>
    <xf numFmtId="0" fontId="0" fillId="0" borderId="19" xfId="0" applyFont="1" applyBorder="1" applyAlignment="1" applyProtection="1">
      <alignment horizontal="center" vertical="center"/>
      <protection locked="0"/>
    </xf>
    <xf numFmtId="43" fontId="0" fillId="0" borderId="19" xfId="18" applyFont="1" applyBorder="1" applyAlignment="1" applyProtection="1">
      <alignment horizontal="center" vertical="center"/>
      <protection locked="0"/>
    </xf>
    <xf numFmtId="4" fontId="0" fillId="0" borderId="19" xfId="18" applyNumberFormat="1" applyFont="1" applyBorder="1" applyAlignment="1" applyProtection="1">
      <alignment horizontal="right" vertical="center"/>
      <protection locked="0"/>
    </xf>
    <xf numFmtId="4" fontId="0" fillId="0" borderId="19" xfId="0" applyNumberFormat="1" applyFont="1" applyBorder="1" applyAlignment="1" applyProtection="1">
      <alignment horizontal="right" vertical="center"/>
      <protection locked="0"/>
    </xf>
    <xf numFmtId="3" fontId="0" fillId="0" borderId="19" xfId="0" applyNumberFormat="1" applyFont="1" applyBorder="1" applyAlignment="1" applyProtection="1">
      <alignment horizontal="right" vertical="center"/>
      <protection locked="0"/>
    </xf>
    <xf numFmtId="0" fontId="3" fillId="16" borderId="25" xfId="0" applyFont="1" applyFill="1" applyBorder="1" applyAlignment="1" applyProtection="1">
      <alignment horizontal="left" vertical="center" wrapText="1"/>
      <protection locked="0"/>
    </xf>
    <xf numFmtId="49" fontId="3" fillId="16" borderId="25" xfId="0" applyNumberFormat="1" applyFont="1" applyFill="1" applyBorder="1" applyAlignment="1" applyProtection="1">
      <alignment horizontal="center" vertical="center" wrapText="1"/>
      <protection locked="0"/>
    </xf>
    <xf numFmtId="0" fontId="3" fillId="16" borderId="2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49"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43" fontId="0" fillId="0" borderId="0" xfId="18" applyFont="1" applyBorder="1" applyAlignment="1" applyProtection="1">
      <alignment horizontal="right" vertical="center"/>
      <protection locked="0"/>
    </xf>
    <xf numFmtId="0" fontId="0" fillId="0" borderId="0" xfId="0" applyFont="1" applyBorder="1" applyAlignment="1" applyProtection="1">
      <alignment horizontal="center" vertical="center"/>
      <protection locked="0"/>
    </xf>
    <xf numFmtId="43" fontId="0" fillId="0" borderId="0" xfId="18" applyFont="1" applyBorder="1" applyAlignment="1" applyProtection="1">
      <alignment horizontal="center" vertical="center"/>
      <protection locked="0"/>
    </xf>
    <xf numFmtId="43" fontId="0" fillId="0" borderId="0" xfId="18" applyFont="1" applyFill="1" applyBorder="1" applyAlignment="1" applyProtection="1">
      <alignment horizontal="right" vertical="center"/>
      <protection locked="0"/>
    </xf>
    <xf numFmtId="2" fontId="0" fillId="0" borderId="0" xfId="18" applyNumberFormat="1" applyFont="1" applyFill="1" applyBorder="1" applyAlignment="1" applyProtection="1">
      <alignment horizontal="right" vertical="center"/>
      <protection locked="0"/>
    </xf>
    <xf numFmtId="2" fontId="0" fillId="0" borderId="0" xfId="0" applyNumberFormat="1" applyFont="1" applyFill="1" applyBorder="1" applyAlignment="1" applyProtection="1">
      <alignment horizontal="right" vertical="center"/>
      <protection locked="0"/>
    </xf>
    <xf numFmtId="165" fontId="0" fillId="0" borderId="0" xfId="0" applyNumberFormat="1" applyFont="1" applyFill="1" applyBorder="1" applyAlignment="1" applyProtection="1">
      <alignment horizontal="right" vertical="center"/>
      <protection locked="0"/>
    </xf>
    <xf numFmtId="43" fontId="0" fillId="0" borderId="0" xfId="18" applyFont="1" applyFill="1" applyBorder="1" applyAlignment="1" applyProtection="1">
      <alignment horizontal="right" vertical="center"/>
      <protection locked="0"/>
    </xf>
    <xf numFmtId="0" fontId="0" fillId="0" borderId="0" xfId="18" applyNumberFormat="1" applyFont="1" applyFill="1" applyBorder="1" applyAlignment="1" applyProtection="1" quotePrefix="1">
      <alignment horizontal="left" vertical="center"/>
      <protection locked="0"/>
    </xf>
    <xf numFmtId="9" fontId="0" fillId="0" borderId="0" xfId="15" applyFont="1" applyFill="1" applyBorder="1" applyAlignment="1" applyProtection="1">
      <alignment horizontal="right" vertical="center"/>
      <protection locked="0"/>
    </xf>
    <xf numFmtId="8" fontId="0" fillId="0" borderId="0" xfId="18" applyNumberFormat="1" applyFont="1" applyFill="1" applyBorder="1" applyAlignment="1" applyProtection="1">
      <alignment horizontal="right" vertical="center"/>
      <protection locked="0"/>
    </xf>
    <xf numFmtId="0" fontId="0" fillId="0" borderId="0" xfId="18" applyNumberFormat="1" applyFont="1" applyFill="1" applyBorder="1" applyAlignment="1" applyProtection="1" quotePrefix="1">
      <alignment horizontal="right" vertical="center"/>
      <protection locked="0"/>
    </xf>
    <xf numFmtId="2" fontId="0" fillId="0" borderId="0" xfId="18" applyNumberFormat="1" applyFont="1" applyFill="1" applyBorder="1" applyAlignment="1" applyProtection="1">
      <alignment horizontal="center" vertical="center"/>
      <protection locked="0"/>
    </xf>
    <xf numFmtId="166" fontId="0" fillId="0" borderId="0" xfId="0" applyNumberFormat="1" applyFont="1" applyBorder="1" applyAlignment="1" applyProtection="1">
      <alignment horizontal="left" vertical="center"/>
      <protection locked="0"/>
    </xf>
    <xf numFmtId="0" fontId="2" fillId="0" borderId="0" xfId="0" applyFont="1"/>
    <xf numFmtId="0" fontId="2" fillId="6" borderId="26" xfId="0" applyFont="1" applyFill="1" applyBorder="1" applyAlignment="1" applyProtection="1">
      <alignment horizontal="center" vertical="center"/>
      <protection locked="0"/>
    </xf>
    <xf numFmtId="0" fontId="2" fillId="17" borderId="19" xfId="0" applyFont="1" applyFill="1" applyBorder="1" applyAlignment="1" applyProtection="1">
      <alignment horizontal="left" vertical="center"/>
      <protection locked="0"/>
    </xf>
    <xf numFmtId="49" fontId="2" fillId="17" borderId="19" xfId="0" applyNumberFormat="1" applyFont="1" applyFill="1" applyBorder="1" applyAlignment="1" applyProtection="1">
      <alignment horizontal="center" vertical="center"/>
      <protection locked="0"/>
    </xf>
    <xf numFmtId="0" fontId="0" fillId="17" borderId="19" xfId="0" applyFont="1" applyFill="1" applyBorder="1" applyAlignment="1" applyProtection="1">
      <alignment horizontal="left" vertical="center"/>
      <protection locked="0"/>
    </xf>
    <xf numFmtId="0" fontId="2" fillId="17" borderId="19" xfId="0" applyFont="1" applyFill="1" applyBorder="1" applyAlignment="1" applyProtection="1">
      <alignment horizontal="center" vertical="center"/>
      <protection locked="0"/>
    </xf>
    <xf numFmtId="0" fontId="0" fillId="17" borderId="19" xfId="0" applyFont="1" applyFill="1" applyBorder="1" applyAlignment="1" applyProtection="1">
      <alignment horizontal="center" vertical="center"/>
      <protection locked="0"/>
    </xf>
    <xf numFmtId="0" fontId="0" fillId="17" borderId="19" xfId="0" applyFont="1" applyFill="1" applyBorder="1" applyAlignment="1" applyProtection="1">
      <alignment horizontal="center" vertical="center" wrapText="1"/>
      <protection locked="0"/>
    </xf>
    <xf numFmtId="0" fontId="2" fillId="18" borderId="20" xfId="0" applyFont="1" applyFill="1" applyBorder="1" applyAlignment="1" applyProtection="1">
      <alignment horizontal="center" vertical="center" wrapText="1"/>
      <protection locked="0"/>
    </xf>
    <xf numFmtId="43" fontId="2" fillId="18" borderId="20" xfId="37" applyFont="1" applyFill="1" applyBorder="1" applyAlignment="1" applyProtection="1">
      <alignment horizontal="center" vertical="center" wrapText="1"/>
      <protection locked="0"/>
    </xf>
    <xf numFmtId="44" fontId="3" fillId="0" borderId="0" xfId="16" applyFont="1" applyFill="1" applyBorder="1" applyAlignment="1" applyProtection="1">
      <alignment horizontal="right" vertical="center"/>
      <protection locked="0"/>
    </xf>
    <xf numFmtId="43" fontId="3" fillId="16" borderId="25" xfId="18" applyFont="1" applyFill="1" applyBorder="1" applyAlignment="1" applyProtection="1">
      <alignment horizontal="right" wrapText="1"/>
      <protection locked="0"/>
    </xf>
    <xf numFmtId="6" fontId="3" fillId="0" borderId="0" xfId="16" applyNumberFormat="1" applyFont="1" applyFill="1" applyBorder="1" applyAlignment="1" applyProtection="1">
      <alignment horizontal="right" vertical="center"/>
      <protection locked="0"/>
    </xf>
    <xf numFmtId="0" fontId="7" fillId="11" borderId="19" xfId="0" applyFont="1" applyFill="1" applyBorder="1" applyAlignment="1" applyProtection="1">
      <alignment horizontal="center" vertical="center" wrapText="1"/>
      <protection locked="0"/>
    </xf>
    <xf numFmtId="2" fontId="7" fillId="11" borderId="19" xfId="0" applyNumberFormat="1"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43" fontId="0" fillId="4" borderId="19" xfId="18" applyFont="1" applyFill="1" applyBorder="1" applyAlignment="1" applyProtection="1">
      <alignment horizontal="right" vertical="center"/>
      <protection locked="0"/>
    </xf>
    <xf numFmtId="4" fontId="19" fillId="4" borderId="19" xfId="0" applyNumberFormat="1" applyFont="1" applyFill="1" applyBorder="1" applyAlignment="1" applyProtection="1">
      <alignment horizontal="right" vertical="center"/>
      <protection locked="0"/>
    </xf>
    <xf numFmtId="4" fontId="0" fillId="4" borderId="19" xfId="18" applyNumberFormat="1" applyFont="1" applyFill="1" applyBorder="1" applyAlignment="1" applyProtection="1">
      <alignment horizontal="right" vertical="center" wrapText="1"/>
      <protection locked="0"/>
    </xf>
    <xf numFmtId="4" fontId="0" fillId="4" borderId="19" xfId="18" applyNumberFormat="1" applyFont="1" applyFill="1" applyBorder="1" applyAlignment="1" applyProtection="1">
      <alignment horizontal="right" vertical="center"/>
      <protection locked="0"/>
    </xf>
    <xf numFmtId="0" fontId="0" fillId="4" borderId="19"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29" fillId="0" borderId="0" xfId="0" applyFont="1"/>
    <xf numFmtId="0" fontId="2" fillId="16" borderId="20" xfId="0" applyFont="1" applyFill="1" applyBorder="1" applyAlignment="1" applyProtection="1">
      <alignment horizontal="center" vertical="center" wrapText="1"/>
      <protection locked="0"/>
    </xf>
    <xf numFmtId="0" fontId="27" fillId="19" borderId="27" xfId="0" applyFont="1" applyFill="1" applyBorder="1" applyAlignment="1">
      <alignment horizontal="center" vertical="center" wrapText="1"/>
    </xf>
    <xf numFmtId="8" fontId="3" fillId="16" borderId="25" xfId="18" applyNumberFormat="1" applyFont="1" applyFill="1" applyBorder="1" applyAlignment="1" applyProtection="1">
      <alignment horizontal="right" wrapText="1"/>
      <protection locked="0"/>
    </xf>
    <xf numFmtId="39" fontId="0" fillId="15" borderId="19" xfId="18" applyNumberFormat="1" applyFont="1" applyFill="1" applyBorder="1" applyAlignment="1" applyProtection="1">
      <alignment horizontal="right" vertical="center" wrapText="1"/>
      <protection locked="0"/>
    </xf>
    <xf numFmtId="39" fontId="0" fillId="7" borderId="19" xfId="18" applyNumberFormat="1" applyFont="1" applyFill="1" applyBorder="1" applyAlignment="1" applyProtection="1">
      <alignment horizontal="right" vertical="center" wrapText="1"/>
      <protection locked="0"/>
    </xf>
    <xf numFmtId="0" fontId="2" fillId="5" borderId="28"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protection locked="0"/>
    </xf>
    <xf numFmtId="0" fontId="2" fillId="9" borderId="31" xfId="0" applyFont="1" applyFill="1" applyBorder="1" applyAlignment="1" applyProtection="1">
      <alignment horizontal="center" vertical="center"/>
      <protection locked="0"/>
    </xf>
    <xf numFmtId="0" fontId="2" fillId="9" borderId="32" xfId="0" applyFont="1" applyFill="1" applyBorder="1" applyAlignment="1" applyProtection="1">
      <alignment horizontal="center" vertical="center"/>
      <protection locked="0"/>
    </xf>
    <xf numFmtId="0" fontId="2" fillId="14" borderId="33" xfId="0" applyFont="1" applyFill="1" applyBorder="1" applyAlignment="1" applyProtection="1">
      <alignment horizontal="center" vertical="center"/>
      <protection locked="0"/>
    </xf>
    <xf numFmtId="0" fontId="2" fillId="14" borderId="28" xfId="0" applyFont="1" applyFill="1" applyBorder="1" applyAlignment="1" applyProtection="1">
      <alignment horizontal="center" vertical="center"/>
      <protection locked="0"/>
    </xf>
    <xf numFmtId="0" fontId="2" fillId="14" borderId="29"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49" fontId="6" fillId="4" borderId="0" xfId="77" applyNumberFormat="1" applyFont="1" applyFill="1" applyBorder="1" applyAlignment="1">
      <alignment horizontal="right"/>
      <protection/>
    </xf>
    <xf numFmtId="49" fontId="6" fillId="4" borderId="4" xfId="77" applyNumberFormat="1" applyFont="1" applyFill="1" applyBorder="1" applyAlignment="1">
      <alignment horizontal="right"/>
      <protection/>
    </xf>
    <xf numFmtId="49" fontId="6" fillId="4" borderId="6" xfId="77" applyNumberFormat="1" applyFont="1" applyFill="1" applyBorder="1" applyAlignment="1">
      <alignment horizontal="right"/>
      <protection/>
    </xf>
    <xf numFmtId="49" fontId="6" fillId="4" borderId="8" xfId="77" applyNumberFormat="1" applyFont="1" applyFill="1" applyBorder="1" applyAlignment="1">
      <alignment horizontal="right"/>
      <protection/>
    </xf>
    <xf numFmtId="49" fontId="6" fillId="4" borderId="7" xfId="77" applyNumberFormat="1" applyFont="1" applyFill="1" applyBorder="1" applyAlignment="1">
      <alignment horizontal="right"/>
      <protection/>
    </xf>
    <xf numFmtId="0" fontId="2" fillId="9" borderId="19" xfId="0" applyFont="1" applyFill="1" applyBorder="1" applyAlignment="1" applyProtection="1">
      <alignment horizontal="right"/>
      <protection locked="0"/>
    </xf>
    <xf numFmtId="0" fontId="2" fillId="14" borderId="19" xfId="0" applyFont="1" applyFill="1" applyBorder="1" applyAlignment="1" applyProtection="1">
      <alignment horizontal="right"/>
      <protection locked="0"/>
    </xf>
    <xf numFmtId="0" fontId="12" fillId="12" borderId="23" xfId="0" applyFont="1" applyFill="1" applyBorder="1" applyAlignment="1" applyProtection="1">
      <alignment horizontal="right"/>
      <protection locked="0"/>
    </xf>
    <xf numFmtId="0" fontId="12" fillId="12" borderId="24" xfId="0" applyFont="1" applyFill="1" applyBorder="1" applyAlignment="1" applyProtection="1">
      <alignment horizontal="right"/>
      <protection locked="0"/>
    </xf>
    <xf numFmtId="0" fontId="12" fillId="12" borderId="30" xfId="0" applyFont="1" applyFill="1" applyBorder="1" applyAlignment="1" applyProtection="1">
      <alignment horizontal="right"/>
      <protection locked="0"/>
    </xf>
    <xf numFmtId="0" fontId="30" fillId="13" borderId="23" xfId="0" applyFont="1" applyFill="1" applyBorder="1" applyAlignment="1" applyProtection="1">
      <alignment horizontal="right"/>
      <protection locked="0"/>
    </xf>
    <xf numFmtId="0" fontId="30" fillId="13" borderId="24" xfId="0" applyFont="1" applyFill="1" applyBorder="1" applyAlignment="1" applyProtection="1">
      <alignment horizontal="right"/>
      <protection locked="0"/>
    </xf>
    <xf numFmtId="0" fontId="30" fillId="13" borderId="30" xfId="0" applyFont="1" applyFill="1" applyBorder="1" applyAlignment="1" applyProtection="1">
      <alignment horizontal="right"/>
      <protection locked="0"/>
    </xf>
    <xf numFmtId="0" fontId="3" fillId="5" borderId="19" xfId="0" applyFont="1" applyFill="1" applyBorder="1" applyAlignment="1" applyProtection="1">
      <alignment horizontal="right" wrapText="1"/>
      <protection locked="0"/>
    </xf>
    <xf numFmtId="43" fontId="3" fillId="5" borderId="19" xfId="18" applyFont="1" applyFill="1" applyBorder="1" applyAlignment="1" applyProtection="1">
      <alignment horizontal="right" wrapText="1"/>
      <protection locked="0"/>
    </xf>
    <xf numFmtId="0" fontId="2" fillId="10" borderId="19" xfId="0" applyFont="1" applyFill="1" applyBorder="1" applyAlignment="1" applyProtection="1">
      <alignment horizontal="right" wrapText="1"/>
      <protection locked="0"/>
    </xf>
    <xf numFmtId="0" fontId="0" fillId="0" borderId="19" xfId="0" applyBorder="1" applyAlignment="1" applyProtection="1">
      <alignment horizontal="right" wrapText="1"/>
      <protection locked="0"/>
    </xf>
    <xf numFmtId="0" fontId="2" fillId="8" borderId="19" xfId="0" applyFont="1" applyFill="1" applyBorder="1" applyAlignment="1" applyProtection="1">
      <alignment horizontal="right"/>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29" fillId="0" borderId="0" xfId="0" applyFont="1" applyAlignment="1">
      <alignment horizontal="center" vertical="center"/>
    </xf>
    <xf numFmtId="0" fontId="2" fillId="20" borderId="34" xfId="0" applyFont="1" applyFill="1" applyBorder="1" applyAlignment="1">
      <alignment vertical="center"/>
    </xf>
    <xf numFmtId="0" fontId="0" fillId="20" borderId="35" xfId="0" applyFont="1" applyFill="1" applyBorder="1" applyAlignment="1">
      <alignment vertical="center"/>
    </xf>
    <xf numFmtId="0" fontId="2" fillId="20" borderId="35" xfId="0" applyFont="1" applyFill="1" applyBorder="1" applyAlignment="1">
      <alignment vertical="center"/>
    </xf>
    <xf numFmtId="0" fontId="8" fillId="20" borderId="35" xfId="0" applyFont="1" applyFill="1" applyBorder="1" applyAlignment="1">
      <alignment vertical="center"/>
    </xf>
    <xf numFmtId="0" fontId="8" fillId="20" borderId="35" xfId="0" applyFont="1" applyFill="1" applyBorder="1" applyAlignment="1">
      <alignment horizontal="center" vertical="center"/>
    </xf>
    <xf numFmtId="0" fontId="15" fillId="20" borderId="35" xfId="0" applyFont="1" applyFill="1" applyBorder="1" applyAlignment="1">
      <alignment vertical="center"/>
    </xf>
    <xf numFmtId="0" fontId="32" fillId="20" borderId="35" xfId="0" applyFont="1" applyFill="1" applyBorder="1" applyAlignment="1">
      <alignment horizontal="center" vertical="center" wrapText="1"/>
    </xf>
    <xf numFmtId="0" fontId="32" fillId="20" borderId="35" xfId="0" applyFont="1" applyFill="1" applyBorder="1" applyAlignment="1">
      <alignment horizontal="center" vertical="center"/>
    </xf>
    <xf numFmtId="0" fontId="32" fillId="20" borderId="35" xfId="0" applyFont="1" applyFill="1" applyBorder="1" applyAlignment="1">
      <alignment vertical="center"/>
    </xf>
    <xf numFmtId="0" fontId="27" fillId="0" borderId="0" xfId="0" applyFont="1" applyAlignment="1">
      <alignment vertical="center"/>
    </xf>
    <xf numFmtId="0" fontId="0" fillId="20" borderId="36" xfId="0" applyFont="1" applyFill="1" applyBorder="1" applyAlignment="1">
      <alignment vertical="center"/>
    </xf>
    <xf numFmtId="0" fontId="0" fillId="20" borderId="0" xfId="0" applyFont="1" applyFill="1" applyAlignment="1">
      <alignment vertical="center"/>
    </xf>
    <xf numFmtId="0" fontId="2" fillId="20" borderId="37" xfId="0" applyFont="1" applyFill="1" applyBorder="1" applyAlignment="1">
      <alignment vertical="center"/>
    </xf>
    <xf numFmtId="0" fontId="8" fillId="20" borderId="38" xfId="0" applyFont="1" applyFill="1" applyBorder="1" applyAlignment="1">
      <alignment vertical="center"/>
    </xf>
    <xf numFmtId="0" fontId="8" fillId="20" borderId="39" xfId="0" applyFont="1" applyFill="1" applyBorder="1" applyAlignment="1">
      <alignment horizontal="center" vertical="center"/>
    </xf>
    <xf numFmtId="0" fontId="8" fillId="20" borderId="0" xfId="0" applyFont="1" applyFill="1" applyAlignment="1">
      <alignment vertical="center"/>
    </xf>
    <xf numFmtId="0" fontId="8" fillId="20" borderId="38" xfId="0" applyFont="1" applyFill="1" applyBorder="1" applyAlignment="1">
      <alignment horizontal="center" vertical="center"/>
    </xf>
    <xf numFmtId="0" fontId="15" fillId="20" borderId="38" xfId="0" applyFont="1" applyFill="1" applyBorder="1" applyAlignment="1">
      <alignment vertical="center"/>
    </xf>
    <xf numFmtId="0" fontId="32" fillId="20" borderId="38" xfId="0" applyFont="1" applyFill="1" applyBorder="1" applyAlignment="1">
      <alignment horizontal="center" vertical="center" wrapText="1"/>
    </xf>
    <xf numFmtId="0" fontId="32" fillId="20" borderId="38" xfId="0" applyFont="1" applyFill="1" applyBorder="1" applyAlignment="1">
      <alignment horizontal="center" vertical="center"/>
    </xf>
    <xf numFmtId="0" fontId="32" fillId="20" borderId="38" xfId="0" applyFont="1" applyFill="1" applyBorder="1" applyAlignment="1">
      <alignment vertical="center"/>
    </xf>
    <xf numFmtId="0" fontId="0" fillId="5" borderId="0" xfId="0" applyFill="1" applyAlignment="1" applyProtection="1">
      <alignment vertical="center"/>
      <protection locked="0"/>
    </xf>
    <xf numFmtId="0" fontId="0" fillId="0" borderId="0" xfId="0" applyAlignment="1" applyProtection="1">
      <alignment vertical="center"/>
      <protection locked="0"/>
    </xf>
  </cellXfs>
  <cellStyles count="95">
    <cellStyle name="Normal" xfId="0"/>
    <cellStyle name="Percent" xfId="15"/>
    <cellStyle name="Currency" xfId="16"/>
    <cellStyle name="Currency [0]" xfId="17"/>
    <cellStyle name="Comma" xfId="18"/>
    <cellStyle name="Comma [0]" xfId="19"/>
    <cellStyle name="Comma 10" xfId="20"/>
    <cellStyle name="Comma 11" xfId="21"/>
    <cellStyle name="Comma 11 2" xfId="22"/>
    <cellStyle name="Comma 11 3" xfId="23"/>
    <cellStyle name="Comma 12" xfId="24"/>
    <cellStyle name="Comma 12 2" xfId="25"/>
    <cellStyle name="Comma 13" xfId="26"/>
    <cellStyle name="Comma 13 2" xfId="27"/>
    <cellStyle name="Comma 13 2 2" xfId="28"/>
    <cellStyle name="Comma 13 3" xfId="29"/>
    <cellStyle name="Comma 14" xfId="30"/>
    <cellStyle name="Comma 15" xfId="31"/>
    <cellStyle name="Comma 15 2" xfId="32"/>
    <cellStyle name="Comma 16" xfId="33"/>
    <cellStyle name="Comma 17" xfId="34"/>
    <cellStyle name="Comma 18" xfId="35"/>
    <cellStyle name="Comma 19" xfId="36"/>
    <cellStyle name="Comma 2" xfId="37"/>
    <cellStyle name="Comma 2 2" xfId="38"/>
    <cellStyle name="Comma 2 3" xfId="39"/>
    <cellStyle name="Comma 2 3 2" xfId="40"/>
    <cellStyle name="Comma 20" xfId="41"/>
    <cellStyle name="Comma 21" xfId="42"/>
    <cellStyle name="Comma 22" xfId="43"/>
    <cellStyle name="Comma 23" xfId="44"/>
    <cellStyle name="Comma 3" xfId="45"/>
    <cellStyle name="Comma 3 2" xfId="46"/>
    <cellStyle name="Comma 3 3" xfId="47"/>
    <cellStyle name="Comma 4" xfId="48"/>
    <cellStyle name="Comma 4 2" xfId="49"/>
    <cellStyle name="Comma 4 2 2" xfId="50"/>
    <cellStyle name="Comma 4 3" xfId="51"/>
    <cellStyle name="Comma 5" xfId="52"/>
    <cellStyle name="Comma 5 2" xfId="53"/>
    <cellStyle name="Comma 5 3" xfId="54"/>
    <cellStyle name="Comma 6" xfId="55"/>
    <cellStyle name="Comma 6 2" xfId="56"/>
    <cellStyle name="Comma 6 3" xfId="57"/>
    <cellStyle name="Comma 6 3 2" xfId="58"/>
    <cellStyle name="Comma 7" xfId="59"/>
    <cellStyle name="Comma 7 2" xfId="60"/>
    <cellStyle name="Comma 8" xfId="61"/>
    <cellStyle name="Comma 9" xfId="62"/>
    <cellStyle name="Comma 9 2" xfId="63"/>
    <cellStyle name="Currency 2" xfId="64"/>
    <cellStyle name="Currency 3" xfId="65"/>
    <cellStyle name="Hyperlink 2" xfId="66"/>
    <cellStyle name="Normal 10" xfId="67"/>
    <cellStyle name="Normal 11" xfId="68"/>
    <cellStyle name="Normal 12" xfId="69"/>
    <cellStyle name="Normal 13" xfId="70"/>
    <cellStyle name="Normal 14" xfId="71"/>
    <cellStyle name="Normal 15" xfId="72"/>
    <cellStyle name="Normal 16" xfId="73"/>
    <cellStyle name="Normal 17" xfId="74"/>
    <cellStyle name="Normal 18" xfId="75"/>
    <cellStyle name="Normal 19" xfId="76"/>
    <cellStyle name="Normal 2" xfId="77"/>
    <cellStyle name="Normal 2 2" xfId="78"/>
    <cellStyle name="Normal 2 2 2" xfId="79"/>
    <cellStyle name="Normal 2 3" xfId="80"/>
    <cellStyle name="Normal 2 4" xfId="81"/>
    <cellStyle name="Normal 2 5" xfId="82"/>
    <cellStyle name="Normal 2_10 March 2008 QFR DFP Compact MiDA Final LH" xfId="83"/>
    <cellStyle name="Normal 20" xfId="84"/>
    <cellStyle name="Normal 21" xfId="85"/>
    <cellStyle name="Normal 22" xfId="86"/>
    <cellStyle name="Normal 23" xfId="87"/>
    <cellStyle name="Normal 24" xfId="88"/>
    <cellStyle name="Normal 25" xfId="89"/>
    <cellStyle name="Normal 26" xfId="90"/>
    <cellStyle name="Normal 3" xfId="91"/>
    <cellStyle name="Normal 3 2" xfId="92"/>
    <cellStyle name="Normal 4" xfId="93"/>
    <cellStyle name="Normal 4 2" xfId="94"/>
    <cellStyle name="Normal 5" xfId="95"/>
    <cellStyle name="Normal 5 2" xfId="96"/>
    <cellStyle name="Normal 6" xfId="97"/>
    <cellStyle name="Normal 6 2" xfId="98"/>
    <cellStyle name="Normal 7" xfId="99"/>
    <cellStyle name="Normal 8" xfId="100"/>
    <cellStyle name="Normal 9" xfId="101"/>
    <cellStyle name="Normal 9 2" xfId="102"/>
    <cellStyle name="Percent 2" xfId="103"/>
    <cellStyle name="Percent 3" xfId="104"/>
    <cellStyle name="Percent 3 2" xfId="105"/>
    <cellStyle name="Percent 4" xfId="106"/>
    <cellStyle name="Percent 5" xfId="107"/>
    <cellStyle name="Percent 6"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20</xdr:row>
      <xdr:rowOff>0</xdr:rowOff>
    </xdr:from>
    <xdr:to>
      <xdr:col>2</xdr:col>
      <xdr:colOff>85725</xdr:colOff>
      <xdr:row>20</xdr:row>
      <xdr:rowOff>0</xdr:rowOff>
    </xdr:to>
    <xdr:cxnSp macro="">
      <xdr:nvCxnSpPr>
        <xdr:cNvPr id="40221" name="AutoShape 38"/>
        <xdr:cNvCxnSpPr>
          <a:cxnSpLocks noChangeShapeType="1"/>
        </xdr:cNvCxnSpPr>
      </xdr:nvCxnSpPr>
      <xdr:spPr bwMode="auto">
        <a:xfrm>
          <a:off x="466725" y="3152775"/>
          <a:ext cx="0" cy="0"/>
        </a:xfrm>
        <a:prstGeom prst="straightConnector1">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cxnSp>
    <xdr:clientData/>
  </xdr:twoCellAnchor>
  <xdr:oneCellAnchor>
    <xdr:from>
      <xdr:col>8</xdr:col>
      <xdr:colOff>123825</xdr:colOff>
      <xdr:row>22</xdr:row>
      <xdr:rowOff>66675</xdr:rowOff>
    </xdr:from>
    <xdr:ext cx="76200" cy="200025"/>
    <xdr:sp macro="" textlink="">
      <xdr:nvSpPr>
        <xdr:cNvPr id="40222" name="Text Box 73"/>
        <xdr:cNvSpPr txBox="1">
          <a:spLocks noChangeArrowheads="1"/>
        </xdr:cNvSpPr>
      </xdr:nvSpPr>
      <xdr:spPr bwMode="auto">
        <a:xfrm>
          <a:off x="2276475" y="3543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9</xdr:col>
      <xdr:colOff>9525</xdr:colOff>
      <xdr:row>4</xdr:row>
      <xdr:rowOff>133350</xdr:rowOff>
    </xdr:from>
    <xdr:to>
      <xdr:col>14</xdr:col>
      <xdr:colOff>28575</xdr:colOff>
      <xdr:row>7</xdr:row>
      <xdr:rowOff>66675</xdr:rowOff>
    </xdr:to>
    <xdr:sp macro="" textlink="">
      <xdr:nvSpPr>
        <xdr:cNvPr id="4" name="AutoShape 74"/>
        <xdr:cNvSpPr>
          <a:spLocks/>
        </xdr:cNvSpPr>
      </xdr:nvSpPr>
      <xdr:spPr bwMode="auto">
        <a:xfrm>
          <a:off x="2457450" y="838200"/>
          <a:ext cx="1495425" cy="419100"/>
        </a:xfrm>
        <a:prstGeom prst="borderCallout1">
          <a:avLst>
            <a:gd name="adj1" fmla="val 313873"/>
            <a:gd name="adj2" fmla="val -2675"/>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800" b="0" i="0" u="none" strike="noStrike" baseline="0">
              <a:solidFill>
                <a:srgbClr val="000000"/>
              </a:solidFill>
              <a:latin typeface="Century Gothic"/>
            </a:rPr>
            <a:t>FY 2009 (</a:t>
          </a:r>
          <a:r>
            <a:rPr lang="en-US" sz="1000" b="0">
              <a:latin typeface="+mn-lt"/>
              <a:ea typeface="+mn-ea"/>
              <a:cs typeface="+mn-cs"/>
            </a:rPr>
            <a:t>Request #0311A)– Sent 3/7, </a:t>
          </a:r>
          <a:r>
            <a:rPr lang="en-US" sz="1000" b="0">
              <a:solidFill>
                <a:srgbClr val="FF0000"/>
              </a:solidFill>
              <a:latin typeface="+mn-lt"/>
              <a:ea typeface="+mn-ea"/>
              <a:cs typeface="+mn-cs"/>
            </a:rPr>
            <a:t>Due 4/1</a:t>
          </a:r>
          <a:endParaRPr lang="en-US" sz="800" b="0" i="0" u="none" strike="noStrike" baseline="0">
            <a:solidFill>
              <a:srgbClr val="FF0000"/>
            </a:solidFill>
            <a:latin typeface="Century Gothic" pitchFamily="34" charset="0"/>
          </a:endParaRPr>
        </a:p>
      </xdr:txBody>
    </xdr:sp>
    <xdr:clientData/>
  </xdr:twoCellAnchor>
  <xdr:twoCellAnchor>
    <xdr:from>
      <xdr:col>4</xdr:col>
      <xdr:colOff>133350</xdr:colOff>
      <xdr:row>18</xdr:row>
      <xdr:rowOff>76200</xdr:rowOff>
    </xdr:from>
    <xdr:to>
      <xdr:col>10</xdr:col>
      <xdr:colOff>38100</xdr:colOff>
      <xdr:row>20</xdr:row>
      <xdr:rowOff>95250</xdr:rowOff>
    </xdr:to>
    <xdr:sp macro="" textlink="">
      <xdr:nvSpPr>
        <xdr:cNvPr id="5" name="AutoShape 77"/>
        <xdr:cNvSpPr>
          <a:spLocks/>
        </xdr:cNvSpPr>
      </xdr:nvSpPr>
      <xdr:spPr bwMode="auto">
        <a:xfrm>
          <a:off x="1104900" y="2905125"/>
          <a:ext cx="1676400" cy="342900"/>
        </a:xfrm>
        <a:prstGeom prst="borderCallout1">
          <a:avLst>
            <a:gd name="adj1" fmla="val 57424"/>
            <a:gd name="adj2" fmla="val -4199"/>
            <a:gd name="adj3" fmla="val -224176"/>
            <a:gd name="adj4" fmla="val -386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1000" b="0">
              <a:latin typeface="+mn-lt"/>
              <a:ea typeface="+mn-ea"/>
              <a:cs typeface="+mn-cs"/>
            </a:rPr>
            <a:t>FY 2010 (Request #0311B)  Sent 3/7, </a:t>
          </a:r>
          <a:r>
            <a:rPr lang="en-US" sz="1000" b="0">
              <a:solidFill>
                <a:srgbClr val="FF0000"/>
              </a:solidFill>
              <a:latin typeface="+mn-lt"/>
              <a:ea typeface="+mn-ea"/>
              <a:cs typeface="+mn-cs"/>
            </a:rPr>
            <a:t>due 3/15.</a:t>
          </a:r>
          <a:endParaRPr lang="en-US" sz="800" b="0" i="0" u="none" strike="noStrike" baseline="0">
            <a:solidFill>
              <a:srgbClr val="FF0000"/>
            </a:solidFill>
            <a:latin typeface="Century Gothic"/>
          </a:endParaRPr>
        </a:p>
      </xdr:txBody>
    </xdr:sp>
    <xdr:clientData/>
  </xdr:twoCellAnchor>
  <xdr:twoCellAnchor>
    <xdr:from>
      <xdr:col>24</xdr:col>
      <xdr:colOff>247650</xdr:colOff>
      <xdr:row>27</xdr:row>
      <xdr:rowOff>104775</xdr:rowOff>
    </xdr:from>
    <xdr:to>
      <xdr:col>32</xdr:col>
      <xdr:colOff>142875</xdr:colOff>
      <xdr:row>41</xdr:row>
      <xdr:rowOff>57150</xdr:rowOff>
    </xdr:to>
    <xdr:sp macro="" textlink="">
      <xdr:nvSpPr>
        <xdr:cNvPr id="6" name="Text Box 78"/>
        <xdr:cNvSpPr txBox="1">
          <a:spLocks noChangeArrowheads="1"/>
        </xdr:cNvSpPr>
      </xdr:nvSpPr>
      <xdr:spPr bwMode="auto">
        <a:xfrm>
          <a:off x="7124700" y="4543425"/>
          <a:ext cx="3657600" cy="2219325"/>
        </a:xfrm>
        <a:prstGeom prst="rect">
          <a:avLst/>
        </a:prstGeom>
        <a:solidFill>
          <a:srgbClr val="FFFFFF"/>
        </a:solidFill>
        <a:ln w="9525">
          <a:solidFill>
            <a:srgbClr val="C0C0C0"/>
          </a:solidFill>
          <a:miter lim="800000"/>
          <a:headEnd type="none"/>
          <a:tailEnd type="none"/>
        </a:ln>
      </xdr:spPr>
      <xdr:txBody>
        <a:bodyPr vertOverflow="clip" wrap="square" lIns="91440" tIns="45720" rIns="91440" bIns="45720" anchor="ctr" upright="1"/>
        <a:lstStyle/>
        <a:p>
          <a:pPr algn="l" rtl="0">
            <a:defRPr sz="1000"/>
          </a:pPr>
          <a:r>
            <a:rPr lang="en-US" sz="900" b="1" i="0" u="none" strike="noStrike" baseline="0">
              <a:solidFill>
                <a:srgbClr val="5F5F5F"/>
              </a:solidFill>
              <a:latin typeface="Century Gothic"/>
            </a:rPr>
            <a:t>Timeline Instructions:</a:t>
          </a:r>
          <a:endParaRPr lang="en-US" sz="900" b="0" i="0" u="none" strike="noStrike" baseline="0">
            <a:solidFill>
              <a:srgbClr val="5F5F5F"/>
            </a:solidFill>
            <a:latin typeface="Century Gothic"/>
          </a:endParaRPr>
        </a:p>
        <a:p>
          <a:pPr algn="l" rtl="0">
            <a:defRPr sz="1000"/>
          </a:pPr>
          <a:r>
            <a:rPr lang="en-US" sz="900" b="0" i="0" u="none" strike="noStrike" baseline="0">
              <a:solidFill>
                <a:srgbClr val="5F5F5F"/>
              </a:solidFill>
              <a:latin typeface="Century Gothic"/>
            </a:rPr>
            <a:t>•To delete these instructions, click this text box and then press DELETE.</a:t>
          </a:r>
        </a:p>
        <a:p>
          <a:pPr algn="l" rtl="0">
            <a:defRPr sz="1000"/>
          </a:pPr>
          <a:r>
            <a:rPr lang="en-US" sz="900" b="0" i="0" u="none" strike="noStrike" baseline="0">
              <a:solidFill>
                <a:srgbClr val="5F5F5F"/>
              </a:solidFill>
              <a:latin typeface="Century Gothic"/>
            </a:rPr>
            <a:t>•To move the entire timeline up or down on the page, delete or insert rows above the timeline title.</a:t>
          </a:r>
        </a:p>
        <a:p>
          <a:pPr algn="l" rtl="0">
            <a:defRPr sz="1000"/>
          </a:pPr>
          <a:r>
            <a:rPr lang="en-US" sz="900" b="0" i="0" u="none" strike="noStrike" baseline="0">
              <a:solidFill>
                <a:srgbClr val="5F5F5F"/>
              </a:solidFill>
              <a:latin typeface="Century Gothic"/>
            </a:rPr>
            <a:t>•To move a text box, click the box and drag it to the new location.</a:t>
          </a:r>
        </a:p>
        <a:p>
          <a:pPr algn="l" rtl="0">
            <a:defRPr sz="1000"/>
          </a:pPr>
          <a:r>
            <a:rPr lang="en-US" sz="900" b="0" i="0" u="none" strike="noStrike" baseline="0">
              <a:solidFill>
                <a:srgbClr val="5F5F5F"/>
              </a:solidFill>
              <a:latin typeface="Century Gothic"/>
            </a:rPr>
            <a:t>•To move a connector line, click the line and drag the yellow diamond to the new location.</a:t>
          </a:r>
        </a:p>
        <a:p>
          <a:pPr algn="l" rtl="0">
            <a:defRPr sz="1000"/>
          </a:pPr>
          <a:r>
            <a:rPr lang="en-US" sz="900" b="0" i="0" u="none" strike="noStrike" baseline="0">
              <a:solidFill>
                <a:srgbClr val="5F5F5F"/>
              </a:solidFill>
              <a:latin typeface="Century Gothic"/>
            </a:rPr>
            <a:t>•To change a date on the timeline, click the cell that contains the date and type the new date.</a:t>
          </a:r>
          <a:endParaRPr lang="en-US" sz="900" b="0" i="0" u="none" strike="noStrike" baseline="0">
            <a:solidFill>
              <a:srgbClr val="000000"/>
            </a:solidFill>
            <a:latin typeface="Century Gothic"/>
          </a:endParaRPr>
        </a:p>
        <a:p>
          <a:pPr algn="l" rtl="0">
            <a:defRPr sz="1000"/>
          </a:pPr>
          <a:endParaRPr lang="en-US" sz="900" b="0" i="0" u="none" strike="noStrike" baseline="0">
            <a:solidFill>
              <a:srgbClr val="000000"/>
            </a:solidFill>
            <a:latin typeface="Century Gothic"/>
          </a:endParaRPr>
        </a:p>
      </xdr:txBody>
    </xdr:sp>
    <xdr:clientData/>
  </xdr:twoCellAnchor>
  <xdr:twoCellAnchor>
    <xdr:from>
      <xdr:col>2</xdr:col>
      <xdr:colOff>38100</xdr:colOff>
      <xdr:row>1</xdr:row>
      <xdr:rowOff>161925</xdr:rowOff>
    </xdr:from>
    <xdr:to>
      <xdr:col>27</xdr:col>
      <xdr:colOff>19050</xdr:colOff>
      <xdr:row>3</xdr:row>
      <xdr:rowOff>247650</xdr:rowOff>
    </xdr:to>
    <xdr:sp macro="" textlink="">
      <xdr:nvSpPr>
        <xdr:cNvPr id="7" name="Text Box 79"/>
        <xdr:cNvSpPr txBox="1">
          <a:spLocks noChangeArrowheads="1"/>
        </xdr:cNvSpPr>
      </xdr:nvSpPr>
      <xdr:spPr bwMode="auto">
        <a:xfrm>
          <a:off x="419100" y="228600"/>
          <a:ext cx="7362825" cy="419100"/>
        </a:xfrm>
        <a:prstGeom prst="rect">
          <a:avLst/>
        </a:prstGeom>
        <a:noFill/>
        <a:ln w="9525">
          <a:noFill/>
        </a:ln>
      </xdr:spPr>
      <xdr:txBody>
        <a:bodyPr vertOverflow="clip" wrap="square" lIns="54864" tIns="41148" rIns="54864" bIns="0" anchor="t" upright="1"/>
        <a:lstStyle/>
        <a:p>
          <a:pPr algn="ctr" rtl="0">
            <a:defRPr sz="1000"/>
          </a:pPr>
          <a:r>
            <a:rPr lang="en-US" sz="2400" b="0" i="0" u="none" strike="noStrike" baseline="0">
              <a:solidFill>
                <a:srgbClr val="800000"/>
              </a:solidFill>
              <a:latin typeface="Century Gothic"/>
            </a:rPr>
            <a:t>MCC Financial Statement Deliverables Timeline</a:t>
          </a:r>
        </a:p>
      </xdr:txBody>
    </xdr:sp>
    <xdr:clientData/>
  </xdr:twoCellAnchor>
  <xdr:twoCellAnchor>
    <xdr:from>
      <xdr:col>13</xdr:col>
      <xdr:colOff>0</xdr:colOff>
      <xdr:row>8</xdr:row>
      <xdr:rowOff>28575</xdr:rowOff>
    </xdr:from>
    <xdr:to>
      <xdr:col>16</xdr:col>
      <xdr:colOff>219075</xdr:colOff>
      <xdr:row>11</xdr:row>
      <xdr:rowOff>38100</xdr:rowOff>
    </xdr:to>
    <xdr:sp macro="" textlink="">
      <xdr:nvSpPr>
        <xdr:cNvPr id="8" name="AutoShape 74"/>
        <xdr:cNvSpPr>
          <a:spLocks/>
        </xdr:cNvSpPr>
      </xdr:nvSpPr>
      <xdr:spPr bwMode="auto">
        <a:xfrm>
          <a:off x="3629025" y="1381125"/>
          <a:ext cx="1104900" cy="495300"/>
        </a:xfrm>
        <a:prstGeom prst="borderCallout1">
          <a:avLst>
            <a:gd name="adj1" fmla="val 153364"/>
            <a:gd name="adj2" fmla="val -3199"/>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Century Gothic"/>
            </a:rPr>
            <a:t> Q1FY 2011 (</a:t>
          </a:r>
          <a:r>
            <a:rPr lang="en-US" sz="1000" b="0">
              <a:latin typeface="+mn-lt"/>
              <a:ea typeface="+mn-ea"/>
              <a:cs typeface="+mn-cs"/>
            </a:rPr>
            <a:t>Request #0311C) – Sent 3/7,</a:t>
          </a:r>
          <a:r>
            <a:rPr lang="en-US" sz="1000" b="0" baseline="0">
              <a:latin typeface="+mn-lt"/>
              <a:ea typeface="+mn-ea"/>
              <a:cs typeface="+mn-cs"/>
            </a:rPr>
            <a:t> </a:t>
          </a:r>
          <a:r>
            <a:rPr lang="en-US" sz="1000" b="0">
              <a:latin typeface="+mn-lt"/>
              <a:ea typeface="+mn-ea"/>
              <a:cs typeface="+mn-cs"/>
            </a:rPr>
            <a:t> </a:t>
          </a:r>
          <a:r>
            <a:rPr lang="en-US" sz="1000" b="0">
              <a:solidFill>
                <a:srgbClr val="FF0000"/>
              </a:solidFill>
              <a:latin typeface="+mn-lt"/>
              <a:ea typeface="+mn-ea"/>
              <a:cs typeface="+mn-cs"/>
            </a:rPr>
            <a:t>Due 4/15</a:t>
          </a:r>
        </a:p>
        <a:p>
          <a:pPr algn="l" rtl="0">
            <a:defRPr sz="1000"/>
          </a:pPr>
          <a:endParaRPr lang="en-US" sz="800" b="0" i="0" u="none" strike="noStrike" baseline="0">
            <a:solidFill>
              <a:srgbClr val="000000"/>
            </a:solidFill>
            <a:latin typeface="Century Gothic" pitchFamily="34" charset="0"/>
          </a:endParaRPr>
        </a:p>
      </xdr:txBody>
    </xdr:sp>
    <xdr:clientData/>
  </xdr:twoCellAnchor>
  <xdr:twoCellAnchor>
    <xdr:from>
      <xdr:col>11</xdr:col>
      <xdr:colOff>285750</xdr:colOff>
      <xdr:row>18</xdr:row>
      <xdr:rowOff>114300</xdr:rowOff>
    </xdr:from>
    <xdr:to>
      <xdr:col>17</xdr:col>
      <xdr:colOff>190500</xdr:colOff>
      <xdr:row>21</xdr:row>
      <xdr:rowOff>0</xdr:rowOff>
    </xdr:to>
    <xdr:sp macro="" textlink="">
      <xdr:nvSpPr>
        <xdr:cNvPr id="9" name="AutoShape 77"/>
        <xdr:cNvSpPr>
          <a:spLocks/>
        </xdr:cNvSpPr>
      </xdr:nvSpPr>
      <xdr:spPr bwMode="auto">
        <a:xfrm>
          <a:off x="3324225" y="2943225"/>
          <a:ext cx="1676400" cy="371475"/>
        </a:xfrm>
        <a:prstGeom prst="borderCallout1">
          <a:avLst>
            <a:gd name="adj1" fmla="val 57424"/>
            <a:gd name="adj2" fmla="val -4199"/>
            <a:gd name="adj3" fmla="val -138462"/>
            <a:gd name="adj4" fmla="val -4428"/>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algn="l" rtl="0">
            <a:defRPr sz="1000"/>
          </a:pPr>
          <a:r>
            <a:rPr lang="en-US" sz="1000" b="0">
              <a:latin typeface="+mn-lt"/>
              <a:ea typeface="+mn-ea"/>
              <a:cs typeface="+mn-cs"/>
            </a:rPr>
            <a:t>Q2FY2011</a:t>
          </a:r>
          <a:r>
            <a:rPr lang="en-US" sz="1000" b="0" baseline="0">
              <a:latin typeface="+mn-lt"/>
              <a:ea typeface="+mn-ea"/>
              <a:cs typeface="+mn-cs"/>
            </a:rPr>
            <a:t> </a:t>
          </a:r>
          <a:r>
            <a:rPr lang="en-US" sz="1000" b="0">
              <a:latin typeface="+mn-lt"/>
              <a:ea typeface="+mn-ea"/>
              <a:cs typeface="+mn-cs"/>
            </a:rPr>
            <a:t>(Request #0311D)  Sent</a:t>
          </a:r>
          <a:r>
            <a:rPr lang="en-US" sz="1000" b="0" baseline="0">
              <a:latin typeface="+mn-lt"/>
              <a:ea typeface="+mn-ea"/>
              <a:cs typeface="+mn-cs"/>
            </a:rPr>
            <a:t> </a:t>
          </a:r>
          <a:r>
            <a:rPr lang="en-US" sz="1000" b="0">
              <a:latin typeface="+mn-lt"/>
              <a:ea typeface="+mn-ea"/>
              <a:cs typeface="+mn-cs"/>
            </a:rPr>
            <a:t>3/15, </a:t>
          </a:r>
          <a:r>
            <a:rPr lang="en-US" sz="1000" b="0">
              <a:solidFill>
                <a:srgbClr val="FF0000"/>
              </a:solidFill>
              <a:latin typeface="+mn-lt"/>
              <a:ea typeface="+mn-ea"/>
              <a:cs typeface="+mn-cs"/>
            </a:rPr>
            <a:t>due 4/10.</a:t>
          </a:r>
          <a:endParaRPr lang="en-US" sz="800" b="0" i="0" u="none" strike="noStrike" baseline="0">
            <a:solidFill>
              <a:srgbClr val="FF0000"/>
            </a:solidFill>
            <a:latin typeface="Century Gothic"/>
          </a:endParaRPr>
        </a:p>
      </xdr:txBody>
    </xdr:sp>
    <xdr:clientData/>
  </xdr:twoCellAnchor>
  <xdr:twoCellAnchor>
    <xdr:from>
      <xdr:col>21</xdr:col>
      <xdr:colOff>209550</xdr:colOff>
      <xdr:row>8</xdr:row>
      <xdr:rowOff>57150</xdr:rowOff>
    </xdr:from>
    <xdr:to>
      <xdr:col>27</xdr:col>
      <xdr:colOff>200025</xdr:colOff>
      <xdr:row>11</xdr:row>
      <xdr:rowOff>66675</xdr:rowOff>
    </xdr:to>
    <xdr:sp macro="" textlink="">
      <xdr:nvSpPr>
        <xdr:cNvPr id="11" name="AutoShape 74"/>
        <xdr:cNvSpPr>
          <a:spLocks/>
        </xdr:cNvSpPr>
      </xdr:nvSpPr>
      <xdr:spPr bwMode="auto">
        <a:xfrm flipH="1">
          <a:off x="6200775" y="1409700"/>
          <a:ext cx="1762125" cy="495300"/>
        </a:xfrm>
        <a:prstGeom prst="borderCallout1">
          <a:avLst>
            <a:gd name="adj1" fmla="val 151546"/>
            <a:gd name="adj2" fmla="val -3199"/>
            <a:gd name="adj3" fmla="val 46167"/>
            <a:gd name="adj4" fmla="val -3200"/>
          </a:avLst>
        </a:prstGeom>
        <a:solidFill>
          <a:srgbClr val="FFFFFF"/>
        </a:solidFill>
        <a:ln w="9525">
          <a:solidFill>
            <a:srgbClr val="5F5F5F"/>
          </a:solidFill>
          <a:miter lim="800000"/>
          <a:headEnd type="none"/>
          <a:tailEnd type="none"/>
        </a:ln>
      </xdr:spPr>
      <xdr:txBody>
        <a:bodyPr vertOverflow="clip" wrap="square" lIns="27432" tIns="32004"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Century Gothic"/>
            </a:rPr>
            <a:t> Q2FY 2011 Follow-up (</a:t>
          </a:r>
          <a:r>
            <a:rPr lang="en-US" sz="1000" b="0">
              <a:latin typeface="+mn-lt"/>
              <a:ea typeface="+mn-ea"/>
              <a:cs typeface="+mn-cs"/>
            </a:rPr>
            <a:t>Request #0611A) – Due</a:t>
          </a:r>
          <a:r>
            <a:rPr lang="en-US" sz="1000" b="0" baseline="0">
              <a:latin typeface="+mn-lt"/>
              <a:ea typeface="+mn-ea"/>
              <a:cs typeface="+mn-cs"/>
            </a:rPr>
            <a:t> date to be determined and communicated.</a:t>
          </a:r>
          <a:endParaRPr lang="en-US" sz="1000" b="0">
            <a:solidFill>
              <a:srgbClr val="FF0000"/>
            </a:solidFill>
            <a:latin typeface="+mn-lt"/>
            <a:ea typeface="+mn-ea"/>
            <a:cs typeface="+mn-cs"/>
          </a:endParaRPr>
        </a:p>
        <a:p>
          <a:pPr algn="l" rtl="0">
            <a:defRPr sz="1000"/>
          </a:pPr>
          <a:endParaRPr lang="en-US" sz="800" b="0" i="0" u="none" strike="noStrike" baseline="0">
            <a:solidFill>
              <a:srgbClr val="000000"/>
            </a:solidFill>
            <a:latin typeface="Century Gothic" pitchFamily="34" charset="0"/>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CCNPNASFS01\office_shares\FA%20Documents%20Misc\DFPs,%20QFRs,%20DRs,%20Manuals\10%20March%202008%20Detailed%20Financial%20Plans\MCC%20Approved%20Final\10%20March%202008%20-%20609g%20%20QFR,%20DFP,%20Disb%20Request%20MiDA%20Revised%2010.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mcc.mcc.gov\Documents%20and%20Settings\rdiallo\Local%20Settings\Temporary%20Internet%20Files\Content.Outlook\OPZUINOL\userdata\redmondeg\Desktop\!609G_Fy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FP Adjustment Request"/>
      <sheetName val="B. FP Summary to Date"/>
      <sheetName val="C. Actual Expend &amp; Commit"/>
      <sheetName val="D. Commitment Forecast"/>
      <sheetName val="E. Forecasted Cash Requirements"/>
      <sheetName val="Cash Reconciliation &amp; Interest "/>
      <sheetName val="Offical Disbursement Req"/>
    </sheetNames>
    <sheetDataSet>
      <sheetData sheetId="0">
        <row r="4">
          <cell r="D4" t="str">
            <v>GR4GHA06001A</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ligated - Disbursed"/>
      <sheetName val="Macro1"/>
    </sheetNames>
    <sheetDataSet>
      <sheetData sheetId="0"/>
      <sheetData sheetId="1">
        <row r="74">
          <cell r="A74"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
  <sheetViews>
    <sheetView tabSelected="1" zoomScale="70" zoomScaleNormal="70" workbookViewId="0" topLeftCell="A1">
      <pane ySplit="6" topLeftCell="A7" activePane="bottomLeft" state="frozen"/>
      <selection pane="bottomLeft" activeCell="A43" sqref="A43"/>
    </sheetView>
  </sheetViews>
  <sheetFormatPr defaultColWidth="11.421875" defaultRowHeight="12.75"/>
  <cols>
    <col min="1" max="2" width="14.7109375" style="212" customWidth="1"/>
    <col min="3" max="3" width="32.421875" style="212" customWidth="1"/>
    <col min="4" max="4" width="20.7109375" style="213" customWidth="1"/>
    <col min="5" max="5" width="26.8515625" style="212" customWidth="1"/>
    <col min="6" max="6" width="14.7109375" style="212" customWidth="1"/>
    <col min="7" max="7" width="14.7109375" style="213" customWidth="1"/>
    <col min="8" max="8" width="18.57421875" style="214" customWidth="1"/>
    <col min="9" max="9" width="21.00390625" style="215" customWidth="1"/>
    <col min="10" max="10" width="14.7109375" style="216" customWidth="1"/>
    <col min="11" max="11" width="20.7109375" style="216" customWidth="1"/>
    <col min="12" max="12" width="20.7109375" style="217" customWidth="1"/>
    <col min="13" max="13" width="20.7109375" style="218" customWidth="1"/>
    <col min="14" max="14" width="23.57421875" style="218" customWidth="1"/>
    <col min="15" max="15" width="20.7109375" style="218" customWidth="1"/>
    <col min="16" max="16" width="25.57421875" style="218" customWidth="1"/>
    <col min="17" max="17" width="22.28125" style="218" customWidth="1"/>
    <col min="18" max="18" width="22.421875" style="219" customWidth="1"/>
    <col min="19" max="19" width="22.57421875" style="219" customWidth="1"/>
    <col min="20" max="20" width="25.7109375" style="220" customWidth="1"/>
    <col min="21" max="21" width="20.421875" style="220" customWidth="1"/>
    <col min="22" max="22" width="28.140625" style="220" bestFit="1" customWidth="1"/>
    <col min="23" max="23" width="25.8515625" style="174" bestFit="1" customWidth="1"/>
    <col min="24" max="16384" width="11.421875" style="175" customWidth="1"/>
  </cols>
  <sheetData>
    <row r="1" spans="1:23" s="185" customFormat="1" ht="13">
      <c r="A1" s="229" t="s">
        <v>84</v>
      </c>
      <c r="B1" s="176"/>
      <c r="C1" s="176"/>
      <c r="D1" s="177"/>
      <c r="E1" s="178"/>
      <c r="F1" s="178"/>
      <c r="G1" s="177"/>
      <c r="H1" s="179"/>
      <c r="I1" s="179"/>
      <c r="J1" s="180"/>
      <c r="K1" s="180"/>
      <c r="L1" s="181"/>
      <c r="M1" s="182"/>
      <c r="N1" s="182"/>
      <c r="O1" s="182"/>
      <c r="P1" s="182"/>
      <c r="Q1" s="182"/>
      <c r="R1" s="183"/>
      <c r="S1" s="183"/>
      <c r="T1" s="183"/>
      <c r="U1" s="183"/>
      <c r="V1" s="183"/>
      <c r="W1" s="184"/>
    </row>
    <row r="2" spans="1:22" ht="15.5">
      <c r="A2" s="252" t="s">
        <v>647</v>
      </c>
      <c r="M2" s="251" t="s">
        <v>42</v>
      </c>
      <c r="N2" s="251" t="s">
        <v>96</v>
      </c>
      <c r="O2" s="251" t="s">
        <v>14</v>
      </c>
      <c r="P2" s="251" t="s">
        <v>15</v>
      </c>
      <c r="Q2" s="251" t="s">
        <v>644</v>
      </c>
      <c r="R2" s="251" t="s">
        <v>43</v>
      </c>
      <c r="S2" s="251" t="s">
        <v>44</v>
      </c>
      <c r="T2" s="251" t="s">
        <v>45</v>
      </c>
      <c r="U2" s="251" t="s">
        <v>89</v>
      </c>
      <c r="V2" s="251" t="s">
        <v>646</v>
      </c>
    </row>
    <row r="3" spans="1:23" s="186" customFormat="1" ht="13.5" thickBot="1">
      <c r="A3" s="258" t="s">
        <v>105</v>
      </c>
      <c r="B3" s="258"/>
      <c r="C3" s="258"/>
      <c r="D3" s="258"/>
      <c r="E3" s="258"/>
      <c r="F3" s="258"/>
      <c r="G3" s="258"/>
      <c r="H3" s="258"/>
      <c r="I3" s="258"/>
      <c r="J3" s="258"/>
      <c r="K3" s="258"/>
      <c r="L3" s="259"/>
      <c r="M3" s="262" t="s">
        <v>640</v>
      </c>
      <c r="N3" s="263"/>
      <c r="O3" s="263"/>
      <c r="P3" s="263"/>
      <c r="Q3" s="264"/>
      <c r="R3" s="265" t="s">
        <v>641</v>
      </c>
      <c r="S3" s="266"/>
      <c r="T3" s="266"/>
      <c r="U3" s="266"/>
      <c r="V3" s="267"/>
      <c r="W3" s="230" t="s">
        <v>642</v>
      </c>
    </row>
    <row r="4" spans="1:23" s="186" customFormat="1" ht="13">
      <c r="A4" s="187" t="s">
        <v>631</v>
      </c>
      <c r="B4" s="188"/>
      <c r="C4" s="189"/>
      <c r="D4" s="189"/>
      <c r="E4" s="189"/>
      <c r="F4" s="189"/>
      <c r="G4" s="189"/>
      <c r="H4" s="190"/>
      <c r="I4" s="191"/>
      <c r="J4" s="189"/>
      <c r="K4" s="189"/>
      <c r="L4" s="192"/>
      <c r="M4" s="193"/>
      <c r="N4" s="193"/>
      <c r="O4" s="193"/>
      <c r="P4" s="193"/>
      <c r="Q4" s="193"/>
      <c r="R4" s="194"/>
      <c r="S4" s="194"/>
      <c r="T4" s="194"/>
      <c r="U4" s="194"/>
      <c r="V4" s="193"/>
      <c r="W4" s="193"/>
    </row>
    <row r="5" spans="1:23" s="186" customFormat="1" ht="65">
      <c r="A5" s="237" t="s">
        <v>95</v>
      </c>
      <c r="B5" s="237" t="s">
        <v>5</v>
      </c>
      <c r="C5" s="237" t="s">
        <v>7</v>
      </c>
      <c r="D5" s="237" t="s">
        <v>4</v>
      </c>
      <c r="E5" s="237" t="s">
        <v>62</v>
      </c>
      <c r="F5" s="237" t="s">
        <v>1</v>
      </c>
      <c r="G5" s="237" t="s">
        <v>0</v>
      </c>
      <c r="H5" s="237" t="s">
        <v>628</v>
      </c>
      <c r="I5" s="237" t="s">
        <v>632</v>
      </c>
      <c r="J5" s="237" t="s">
        <v>75</v>
      </c>
      <c r="K5" s="237" t="s">
        <v>8</v>
      </c>
      <c r="L5" s="238" t="s">
        <v>292</v>
      </c>
      <c r="M5" s="195" t="s">
        <v>635</v>
      </c>
      <c r="N5" s="195" t="s">
        <v>636</v>
      </c>
      <c r="O5" s="195" t="s">
        <v>637</v>
      </c>
      <c r="P5" s="253" t="s">
        <v>645</v>
      </c>
      <c r="Q5" s="195" t="s">
        <v>638</v>
      </c>
      <c r="R5" s="196" t="s">
        <v>633</v>
      </c>
      <c r="S5" s="196" t="s">
        <v>629</v>
      </c>
      <c r="T5" s="196" t="s">
        <v>630</v>
      </c>
      <c r="U5" s="253" t="s">
        <v>645</v>
      </c>
      <c r="V5" s="196" t="s">
        <v>634</v>
      </c>
      <c r="W5" s="197" t="s">
        <v>85</v>
      </c>
    </row>
    <row r="6" spans="1:23" s="185" customFormat="1" ht="37.5">
      <c r="A6" s="231"/>
      <c r="B6" s="231"/>
      <c r="C6" s="231"/>
      <c r="D6" s="232"/>
      <c r="E6" s="233"/>
      <c r="F6" s="231"/>
      <c r="G6" s="232"/>
      <c r="H6" s="234"/>
      <c r="I6" s="235"/>
      <c r="J6" s="236"/>
      <c r="K6" s="235"/>
      <c r="L6" s="233"/>
      <c r="M6" s="242" t="s">
        <v>643</v>
      </c>
      <c r="N6" s="254" t="s">
        <v>648</v>
      </c>
      <c r="O6" s="173" t="s">
        <v>30</v>
      </c>
      <c r="P6" s="173"/>
      <c r="Q6" s="242" t="s">
        <v>31</v>
      </c>
      <c r="R6" s="242" t="s">
        <v>643</v>
      </c>
      <c r="S6" s="172" t="s">
        <v>99</v>
      </c>
      <c r="T6" s="172" t="s">
        <v>32</v>
      </c>
      <c r="U6" s="172"/>
      <c r="V6" s="243" t="s">
        <v>31</v>
      </c>
      <c r="W6" s="134"/>
    </row>
    <row r="7" spans="1:23" ht="12.75">
      <c r="A7" s="244"/>
      <c r="B7" s="199"/>
      <c r="C7" s="199"/>
      <c r="D7" s="250"/>
      <c r="E7" s="249"/>
      <c r="F7" s="199"/>
      <c r="G7" s="200"/>
      <c r="H7" s="201"/>
      <c r="I7" s="247"/>
      <c r="J7" s="198"/>
      <c r="K7" s="198"/>
      <c r="L7" s="198"/>
      <c r="M7" s="256">
        <v>0</v>
      </c>
      <c r="N7" s="256"/>
      <c r="O7" s="256"/>
      <c r="P7" s="256"/>
      <c r="Q7" s="256">
        <f>M7+N7-O7+P7</f>
        <v>0</v>
      </c>
      <c r="R7" s="257">
        <v>0</v>
      </c>
      <c r="S7" s="257"/>
      <c r="T7" s="257"/>
      <c r="U7" s="257"/>
      <c r="V7" s="257">
        <f>R7+S7-T7+U7</f>
        <v>0</v>
      </c>
      <c r="W7" s="202"/>
    </row>
    <row r="8" spans="1:23" ht="12.75">
      <c r="A8" s="244"/>
      <c r="B8" s="199"/>
      <c r="C8" s="199"/>
      <c r="D8" s="250"/>
      <c r="E8" s="249"/>
      <c r="F8" s="199"/>
      <c r="G8" s="200"/>
      <c r="H8" s="201"/>
      <c r="I8" s="247"/>
      <c r="J8" s="198"/>
      <c r="K8" s="198"/>
      <c r="L8" s="198"/>
      <c r="M8" s="256">
        <v>0</v>
      </c>
      <c r="N8" s="256"/>
      <c r="O8" s="256"/>
      <c r="P8" s="256"/>
      <c r="Q8" s="256">
        <f aca="true" t="shared" si="0" ref="Q8:Q18">M8+N8-O8+P8</f>
        <v>0</v>
      </c>
      <c r="R8" s="257">
        <v>0</v>
      </c>
      <c r="S8" s="257"/>
      <c r="T8" s="257"/>
      <c r="U8" s="257"/>
      <c r="V8" s="257">
        <f aca="true" t="shared" si="1" ref="V8:V18">R8+S8-T8+U8</f>
        <v>0</v>
      </c>
      <c r="W8" s="202"/>
    </row>
    <row r="9" spans="1:23" ht="12.75">
      <c r="A9" s="244"/>
      <c r="B9" s="199"/>
      <c r="C9" s="199"/>
      <c r="D9" s="250"/>
      <c r="E9" s="249"/>
      <c r="F9" s="199"/>
      <c r="G9" s="200"/>
      <c r="H9" s="201"/>
      <c r="I9" s="247"/>
      <c r="J9" s="198"/>
      <c r="K9" s="198"/>
      <c r="L9" s="198"/>
      <c r="M9" s="256">
        <v>0</v>
      </c>
      <c r="N9" s="256"/>
      <c r="O9" s="256"/>
      <c r="P9" s="256"/>
      <c r="Q9" s="256">
        <f t="shared" si="0"/>
        <v>0</v>
      </c>
      <c r="R9" s="257">
        <v>0</v>
      </c>
      <c r="S9" s="257"/>
      <c r="T9" s="257"/>
      <c r="U9" s="257"/>
      <c r="V9" s="257">
        <f t="shared" si="1"/>
        <v>0</v>
      </c>
      <c r="W9" s="202"/>
    </row>
    <row r="10" spans="1:23" ht="12.75">
      <c r="A10" s="244"/>
      <c r="B10" s="199"/>
      <c r="C10" s="199"/>
      <c r="D10" s="250"/>
      <c r="E10" s="249"/>
      <c r="F10" s="199"/>
      <c r="G10" s="200"/>
      <c r="H10" s="201"/>
      <c r="I10" s="247"/>
      <c r="J10" s="198"/>
      <c r="K10" s="198"/>
      <c r="L10" s="198"/>
      <c r="M10" s="256">
        <v>0</v>
      </c>
      <c r="N10" s="256"/>
      <c r="O10" s="256"/>
      <c r="P10" s="256"/>
      <c r="Q10" s="256">
        <f t="shared" si="0"/>
        <v>0</v>
      </c>
      <c r="R10" s="257">
        <v>0</v>
      </c>
      <c r="S10" s="257"/>
      <c r="T10" s="257"/>
      <c r="U10" s="257"/>
      <c r="V10" s="257">
        <f t="shared" si="1"/>
        <v>0</v>
      </c>
      <c r="W10" s="202"/>
    </row>
    <row r="11" spans="1:23" ht="12.75">
      <c r="A11" s="244"/>
      <c r="B11" s="199"/>
      <c r="C11" s="199"/>
      <c r="D11" s="250"/>
      <c r="E11" s="249"/>
      <c r="F11" s="199"/>
      <c r="G11" s="200"/>
      <c r="H11" s="201"/>
      <c r="I11" s="247"/>
      <c r="J11" s="198"/>
      <c r="K11" s="198"/>
      <c r="L11" s="198"/>
      <c r="M11" s="256">
        <v>0</v>
      </c>
      <c r="N11" s="256"/>
      <c r="O11" s="256"/>
      <c r="P11" s="256"/>
      <c r="Q11" s="256">
        <f t="shared" si="0"/>
        <v>0</v>
      </c>
      <c r="R11" s="257">
        <v>0</v>
      </c>
      <c r="S11" s="257"/>
      <c r="T11" s="257"/>
      <c r="U11" s="257"/>
      <c r="V11" s="257">
        <f t="shared" si="1"/>
        <v>0</v>
      </c>
      <c r="W11" s="202"/>
    </row>
    <row r="12" spans="1:23" ht="12.75">
      <c r="A12" s="244"/>
      <c r="B12" s="199"/>
      <c r="C12" s="199"/>
      <c r="D12" s="250"/>
      <c r="E12" s="249"/>
      <c r="F12" s="199"/>
      <c r="G12" s="200"/>
      <c r="H12" s="201"/>
      <c r="I12" s="247"/>
      <c r="J12" s="198"/>
      <c r="K12" s="198"/>
      <c r="L12" s="198"/>
      <c r="M12" s="256">
        <v>0</v>
      </c>
      <c r="N12" s="256"/>
      <c r="O12" s="256"/>
      <c r="P12" s="256"/>
      <c r="Q12" s="256">
        <f>M12+N12-O12+P12</f>
        <v>0</v>
      </c>
      <c r="R12" s="257">
        <v>0</v>
      </c>
      <c r="S12" s="257"/>
      <c r="T12" s="257"/>
      <c r="U12" s="257"/>
      <c r="V12" s="257">
        <f t="shared" si="1"/>
        <v>0</v>
      </c>
      <c r="W12" s="202"/>
    </row>
    <row r="13" spans="1:23" ht="12.75">
      <c r="A13" s="244"/>
      <c r="B13" s="199"/>
      <c r="C13" s="199"/>
      <c r="D13" s="250"/>
      <c r="E13" s="249"/>
      <c r="F13" s="199"/>
      <c r="G13" s="200"/>
      <c r="H13" s="201"/>
      <c r="I13" s="247"/>
      <c r="J13" s="198"/>
      <c r="K13" s="198"/>
      <c r="L13" s="198"/>
      <c r="M13" s="256">
        <v>0</v>
      </c>
      <c r="N13" s="256"/>
      <c r="O13" s="256"/>
      <c r="P13" s="256"/>
      <c r="Q13" s="256">
        <f t="shared" si="0"/>
        <v>0</v>
      </c>
      <c r="R13" s="257">
        <v>0</v>
      </c>
      <c r="S13" s="257"/>
      <c r="T13" s="257"/>
      <c r="U13" s="257"/>
      <c r="V13" s="257">
        <f t="shared" si="1"/>
        <v>0</v>
      </c>
      <c r="W13" s="202"/>
    </row>
    <row r="14" spans="1:23" ht="12.75">
      <c r="A14" s="244"/>
      <c r="B14" s="199"/>
      <c r="C14" s="199"/>
      <c r="D14" s="250"/>
      <c r="E14" s="249"/>
      <c r="F14" s="199"/>
      <c r="G14" s="200"/>
      <c r="H14" s="201"/>
      <c r="I14" s="247"/>
      <c r="J14" s="198"/>
      <c r="K14" s="198"/>
      <c r="L14" s="198"/>
      <c r="M14" s="256">
        <v>0</v>
      </c>
      <c r="N14" s="256"/>
      <c r="O14" s="256"/>
      <c r="P14" s="256"/>
      <c r="Q14" s="256">
        <f t="shared" si="0"/>
        <v>0</v>
      </c>
      <c r="R14" s="257">
        <v>0</v>
      </c>
      <c r="S14" s="257"/>
      <c r="T14" s="257"/>
      <c r="U14" s="257"/>
      <c r="V14" s="257">
        <f t="shared" si="1"/>
        <v>0</v>
      </c>
      <c r="W14" s="202"/>
    </row>
    <row r="15" spans="1:23" ht="12.75">
      <c r="A15" s="244"/>
      <c r="B15" s="199"/>
      <c r="C15" s="199"/>
      <c r="D15" s="250"/>
      <c r="E15" s="249"/>
      <c r="F15" s="199"/>
      <c r="G15" s="200"/>
      <c r="H15" s="201"/>
      <c r="I15" s="247"/>
      <c r="J15" s="198"/>
      <c r="K15" s="198"/>
      <c r="L15" s="198"/>
      <c r="M15" s="256">
        <v>0</v>
      </c>
      <c r="N15" s="256"/>
      <c r="O15" s="256"/>
      <c r="P15" s="256"/>
      <c r="Q15" s="256">
        <f t="shared" si="0"/>
        <v>0</v>
      </c>
      <c r="R15" s="257">
        <v>0</v>
      </c>
      <c r="S15" s="257"/>
      <c r="T15" s="257"/>
      <c r="U15" s="257"/>
      <c r="V15" s="257">
        <f t="shared" si="1"/>
        <v>0</v>
      </c>
      <c r="W15" s="202"/>
    </row>
    <row r="16" spans="1:23" ht="12.75">
      <c r="A16" s="244"/>
      <c r="B16" s="199"/>
      <c r="C16" s="199"/>
      <c r="D16" s="250"/>
      <c r="E16" s="249"/>
      <c r="F16" s="199"/>
      <c r="G16" s="200"/>
      <c r="H16" s="201"/>
      <c r="I16" s="247"/>
      <c r="J16" s="198"/>
      <c r="K16" s="198"/>
      <c r="L16" s="198"/>
      <c r="M16" s="256">
        <v>0</v>
      </c>
      <c r="N16" s="256"/>
      <c r="O16" s="256"/>
      <c r="P16" s="256"/>
      <c r="Q16" s="256">
        <f t="shared" si="0"/>
        <v>0</v>
      </c>
      <c r="R16" s="257">
        <v>0</v>
      </c>
      <c r="S16" s="257"/>
      <c r="T16" s="257"/>
      <c r="U16" s="257"/>
      <c r="V16" s="257">
        <f t="shared" si="1"/>
        <v>0</v>
      </c>
      <c r="W16" s="202"/>
    </row>
    <row r="17" spans="1:23" ht="12.75">
      <c r="A17" s="244"/>
      <c r="B17" s="199"/>
      <c r="C17" s="199"/>
      <c r="D17" s="250"/>
      <c r="E17" s="249"/>
      <c r="F17" s="199"/>
      <c r="G17" s="200"/>
      <c r="H17" s="205"/>
      <c r="I17" s="248"/>
      <c r="J17" s="198"/>
      <c r="K17" s="203"/>
      <c r="L17" s="204"/>
      <c r="M17" s="256">
        <v>0</v>
      </c>
      <c r="N17" s="256"/>
      <c r="O17" s="256"/>
      <c r="P17" s="256"/>
      <c r="Q17" s="256">
        <f t="shared" si="0"/>
        <v>0</v>
      </c>
      <c r="R17" s="257">
        <v>0</v>
      </c>
      <c r="S17" s="257"/>
      <c r="T17" s="257"/>
      <c r="U17" s="257"/>
      <c r="V17" s="257">
        <f t="shared" si="1"/>
        <v>0</v>
      </c>
      <c r="W17" s="202"/>
    </row>
    <row r="18" spans="1:23" ht="12.75">
      <c r="A18" s="244"/>
      <c r="B18" s="199"/>
      <c r="C18" s="199"/>
      <c r="D18" s="250"/>
      <c r="E18" s="249"/>
      <c r="F18" s="199"/>
      <c r="G18" s="200"/>
      <c r="H18" s="207"/>
      <c r="I18" s="248"/>
      <c r="J18" s="198"/>
      <c r="K18" s="203"/>
      <c r="L18" s="204"/>
      <c r="M18" s="256">
        <v>0</v>
      </c>
      <c r="N18" s="256"/>
      <c r="O18" s="256"/>
      <c r="P18" s="256"/>
      <c r="Q18" s="256">
        <f t="shared" si="0"/>
        <v>0</v>
      </c>
      <c r="R18" s="257">
        <v>0</v>
      </c>
      <c r="S18" s="257"/>
      <c r="T18" s="257"/>
      <c r="U18" s="257"/>
      <c r="V18" s="257">
        <f t="shared" si="1"/>
        <v>0</v>
      </c>
      <c r="W18" s="202"/>
    </row>
    <row r="19" spans="1:23" s="211" customFormat="1" ht="13.5" thickBot="1">
      <c r="A19" s="208"/>
      <c r="B19" s="208"/>
      <c r="C19" s="208"/>
      <c r="D19" s="209"/>
      <c r="E19" s="208"/>
      <c r="F19" s="208"/>
      <c r="G19" s="209"/>
      <c r="H19" s="240">
        <f>SUM(H7:H18)</f>
        <v>0</v>
      </c>
      <c r="I19" s="240">
        <f aca="true" t="shared" si="2" ref="I19">SUM(I7:I18)</f>
        <v>0</v>
      </c>
      <c r="J19" s="210"/>
      <c r="K19" s="210"/>
      <c r="L19" s="208"/>
      <c r="M19" s="240">
        <f>SUM(M7:M18)</f>
        <v>0</v>
      </c>
      <c r="N19" s="240">
        <f aca="true" t="shared" si="3" ref="N19:U19">SUM(N7:N18)</f>
        <v>0</v>
      </c>
      <c r="O19" s="240">
        <f t="shared" si="3"/>
        <v>0</v>
      </c>
      <c r="P19" s="240">
        <f t="shared" si="3"/>
        <v>0</v>
      </c>
      <c r="Q19" s="240">
        <f>SUM(Q7:Q18)</f>
        <v>0</v>
      </c>
      <c r="R19" s="240">
        <f t="shared" si="3"/>
        <v>0</v>
      </c>
      <c r="S19" s="240">
        <f t="shared" si="3"/>
        <v>0</v>
      </c>
      <c r="T19" s="240">
        <f>SUM(T7:T18)</f>
        <v>0</v>
      </c>
      <c r="U19" s="240">
        <f t="shared" si="3"/>
        <v>0</v>
      </c>
      <c r="V19" s="255">
        <f>SUM(V7:V18)</f>
        <v>0</v>
      </c>
      <c r="W19" s="208"/>
    </row>
    <row r="21" spans="1:23" s="291" customFormat="1" ht="13">
      <c r="A21" s="252" t="s">
        <v>647</v>
      </c>
      <c r="B21" s="289"/>
      <c r="C21" s="289"/>
      <c r="D21" s="290"/>
      <c r="E21" s="289"/>
      <c r="F21" s="289"/>
      <c r="G21" s="290"/>
      <c r="I21" s="215"/>
      <c r="J21" s="292"/>
      <c r="K21" s="292"/>
      <c r="L21" s="217"/>
      <c r="M21" s="293" t="s">
        <v>42</v>
      </c>
      <c r="N21" s="293" t="s">
        <v>96</v>
      </c>
      <c r="O21" s="293" t="s">
        <v>14</v>
      </c>
      <c r="P21" s="293" t="s">
        <v>15</v>
      </c>
      <c r="Q21" s="293" t="s">
        <v>644</v>
      </c>
      <c r="R21" s="293" t="s">
        <v>43</v>
      </c>
      <c r="S21" s="293" t="s">
        <v>44</v>
      </c>
      <c r="T21" s="293" t="s">
        <v>45</v>
      </c>
      <c r="U21" s="293" t="s">
        <v>89</v>
      </c>
      <c r="V21" s="293" t="s">
        <v>646</v>
      </c>
      <c r="W21" s="289"/>
    </row>
    <row r="22" spans="1:26" ht="18">
      <c r="A22" s="294" t="s">
        <v>649</v>
      </c>
      <c r="B22" s="295"/>
      <c r="C22" s="296"/>
      <c r="D22" s="297"/>
      <c r="E22" s="298"/>
      <c r="F22" s="297"/>
      <c r="G22" s="298"/>
      <c r="H22" s="299"/>
      <c r="I22" s="297"/>
      <c r="J22" s="300"/>
      <c r="K22" s="301"/>
      <c r="L22" s="302"/>
      <c r="M22" s="302"/>
      <c r="N22" s="302"/>
      <c r="O22" s="302"/>
      <c r="P22" s="302"/>
      <c r="Q22" s="302"/>
      <c r="R22" s="302"/>
      <c r="S22" s="302"/>
      <c r="T22" s="302"/>
      <c r="U22" s="302"/>
      <c r="V22" s="302"/>
      <c r="W22" s="302"/>
      <c r="X22" s="303"/>
      <c r="Y22" s="303"/>
      <c r="Z22" s="303"/>
    </row>
    <row r="23" spans="1:26" ht="18">
      <c r="A23" s="304" t="s">
        <v>650</v>
      </c>
      <c r="B23" s="305"/>
      <c r="C23" s="306"/>
      <c r="D23" s="307"/>
      <c r="E23" s="308"/>
      <c r="F23" s="309"/>
      <c r="G23" s="310"/>
      <c r="H23" s="311"/>
      <c r="I23" s="307"/>
      <c r="J23" s="312"/>
      <c r="K23" s="313"/>
      <c r="L23" s="314"/>
      <c r="M23" s="314"/>
      <c r="N23" s="314"/>
      <c r="O23" s="314"/>
      <c r="P23" s="314"/>
      <c r="Q23" s="314"/>
      <c r="R23" s="314"/>
      <c r="S23" s="314"/>
      <c r="T23" s="314"/>
      <c r="U23" s="314"/>
      <c r="V23" s="314"/>
      <c r="W23" s="314"/>
      <c r="X23" s="303"/>
      <c r="Y23" s="303"/>
      <c r="Z23" s="303"/>
    </row>
    <row r="24" spans="1:23" s="316" customFormat="1" ht="13">
      <c r="A24" s="315"/>
      <c r="B24" s="268" t="s">
        <v>105</v>
      </c>
      <c r="C24" s="269"/>
      <c r="D24" s="269"/>
      <c r="E24" s="269"/>
      <c r="F24" s="269"/>
      <c r="G24" s="269"/>
      <c r="H24" s="269"/>
      <c r="I24" s="269"/>
      <c r="J24" s="269"/>
      <c r="K24" s="269"/>
      <c r="L24" s="270"/>
      <c r="M24" s="262" t="s">
        <v>640</v>
      </c>
      <c r="N24" s="263"/>
      <c r="O24" s="263"/>
      <c r="P24" s="263"/>
      <c r="Q24" s="264"/>
      <c r="R24" s="260" t="s">
        <v>641</v>
      </c>
      <c r="S24" s="260"/>
      <c r="T24" s="260"/>
      <c r="U24" s="260"/>
      <c r="V24" s="261"/>
      <c r="W24" s="134" t="s">
        <v>642</v>
      </c>
    </row>
    <row r="25" spans="1:23" s="316" customFormat="1" ht="65">
      <c r="A25" s="237" t="s">
        <v>95</v>
      </c>
      <c r="B25" s="237" t="s">
        <v>5</v>
      </c>
      <c r="C25" s="237" t="s">
        <v>7</v>
      </c>
      <c r="D25" s="237" t="s">
        <v>4</v>
      </c>
      <c r="E25" s="237" t="s">
        <v>62</v>
      </c>
      <c r="F25" s="237" t="s">
        <v>1</v>
      </c>
      <c r="G25" s="237" t="s">
        <v>0</v>
      </c>
      <c r="H25" s="237" t="s">
        <v>628</v>
      </c>
      <c r="I25" s="237" t="s">
        <v>632</v>
      </c>
      <c r="J25" s="237" t="s">
        <v>75</v>
      </c>
      <c r="K25" s="237" t="s">
        <v>8</v>
      </c>
      <c r="L25" s="238" t="s">
        <v>292</v>
      </c>
      <c r="M25" s="195" t="s">
        <v>635</v>
      </c>
      <c r="N25" s="195" t="s">
        <v>636</v>
      </c>
      <c r="O25" s="195" t="s">
        <v>637</v>
      </c>
      <c r="P25" s="253" t="s">
        <v>645</v>
      </c>
      <c r="Q25" s="195" t="s">
        <v>638</v>
      </c>
      <c r="R25" s="196" t="s">
        <v>633</v>
      </c>
      <c r="S25" s="196" t="s">
        <v>629</v>
      </c>
      <c r="T25" s="196" t="s">
        <v>630</v>
      </c>
      <c r="U25" s="253" t="s">
        <v>645</v>
      </c>
      <c r="V25" s="196" t="s">
        <v>634</v>
      </c>
      <c r="W25" s="197" t="s">
        <v>85</v>
      </c>
    </row>
    <row r="26" spans="1:23" ht="12.75">
      <c r="A26" s="244"/>
      <c r="B26" s="199"/>
      <c r="C26" s="199"/>
      <c r="D26" s="250"/>
      <c r="E26" s="249"/>
      <c r="F26" s="199"/>
      <c r="G26" s="200"/>
      <c r="H26" s="206"/>
      <c r="I26" s="245"/>
      <c r="J26" s="198"/>
      <c r="K26" s="203"/>
      <c r="L26" s="204"/>
      <c r="M26" s="256">
        <v>0</v>
      </c>
      <c r="N26" s="256"/>
      <c r="O26" s="256"/>
      <c r="P26" s="256"/>
      <c r="Q26" s="256">
        <f aca="true" t="shared" si="4" ref="Q26:Q33">M26+N26-O26+P26</f>
        <v>0</v>
      </c>
      <c r="R26" s="257">
        <v>0</v>
      </c>
      <c r="S26" s="257"/>
      <c r="T26" s="257"/>
      <c r="U26" s="257"/>
      <c r="V26" s="257">
        <f>R26+S26-T26+U26</f>
        <v>0</v>
      </c>
      <c r="W26" s="202"/>
    </row>
    <row r="27" spans="1:23" ht="12.75">
      <c r="A27" s="244"/>
      <c r="B27" s="199"/>
      <c r="C27" s="199"/>
      <c r="D27" s="250"/>
      <c r="E27" s="249"/>
      <c r="F27" s="199"/>
      <c r="G27" s="200"/>
      <c r="H27" s="206"/>
      <c r="I27" s="245"/>
      <c r="J27" s="198"/>
      <c r="K27" s="203"/>
      <c r="L27" s="204"/>
      <c r="M27" s="256">
        <v>0</v>
      </c>
      <c r="N27" s="256"/>
      <c r="O27" s="256"/>
      <c r="P27" s="256"/>
      <c r="Q27" s="256">
        <f t="shared" si="4"/>
        <v>0</v>
      </c>
      <c r="R27" s="257">
        <v>0</v>
      </c>
      <c r="S27" s="257"/>
      <c r="T27" s="257"/>
      <c r="U27" s="257"/>
      <c r="V27" s="257">
        <f aca="true" t="shared" si="5" ref="V27:V31">R27+S27-T27+U27</f>
        <v>0</v>
      </c>
      <c r="W27" s="202"/>
    </row>
    <row r="28" spans="1:23" ht="12.75">
      <c r="A28" s="244"/>
      <c r="B28" s="199"/>
      <c r="C28" s="199"/>
      <c r="D28" s="250"/>
      <c r="E28" s="249"/>
      <c r="F28" s="199"/>
      <c r="G28" s="200"/>
      <c r="H28" s="206"/>
      <c r="I28" s="245"/>
      <c r="J28" s="198"/>
      <c r="K28" s="203"/>
      <c r="L28" s="204"/>
      <c r="M28" s="256">
        <v>0</v>
      </c>
      <c r="N28" s="256"/>
      <c r="O28" s="256"/>
      <c r="P28" s="256"/>
      <c r="Q28" s="256">
        <f t="shared" si="4"/>
        <v>0</v>
      </c>
      <c r="R28" s="257">
        <v>0</v>
      </c>
      <c r="S28" s="257"/>
      <c r="T28" s="257"/>
      <c r="U28" s="257"/>
      <c r="V28" s="257">
        <f t="shared" si="5"/>
        <v>0</v>
      </c>
      <c r="W28" s="202"/>
    </row>
    <row r="29" spans="1:23" ht="12.75">
      <c r="A29" s="244"/>
      <c r="B29" s="199"/>
      <c r="C29" s="199"/>
      <c r="D29" s="250"/>
      <c r="E29" s="249"/>
      <c r="F29" s="199"/>
      <c r="G29" s="200"/>
      <c r="H29" s="206"/>
      <c r="I29" s="245"/>
      <c r="J29" s="198"/>
      <c r="K29" s="203"/>
      <c r="L29" s="204"/>
      <c r="M29" s="256">
        <v>0</v>
      </c>
      <c r="N29" s="256"/>
      <c r="O29" s="256"/>
      <c r="P29" s="256"/>
      <c r="Q29" s="256">
        <f>M29+N29-O29+P29</f>
        <v>0</v>
      </c>
      <c r="R29" s="257">
        <v>0</v>
      </c>
      <c r="S29" s="257"/>
      <c r="T29" s="257"/>
      <c r="U29" s="257"/>
      <c r="V29" s="257">
        <f t="shared" si="5"/>
        <v>0</v>
      </c>
      <c r="W29" s="202"/>
    </row>
    <row r="30" spans="1:23" ht="12.75">
      <c r="A30" s="244"/>
      <c r="B30" s="199"/>
      <c r="C30" s="199"/>
      <c r="D30" s="250"/>
      <c r="E30" s="249"/>
      <c r="F30" s="199"/>
      <c r="G30" s="200"/>
      <c r="H30" s="206"/>
      <c r="I30" s="245"/>
      <c r="J30" s="198"/>
      <c r="K30" s="203"/>
      <c r="L30" s="204"/>
      <c r="M30" s="256">
        <v>0</v>
      </c>
      <c r="N30" s="256"/>
      <c r="O30" s="256"/>
      <c r="P30" s="256"/>
      <c r="Q30" s="256">
        <f t="shared" si="4"/>
        <v>0</v>
      </c>
      <c r="R30" s="257">
        <v>0</v>
      </c>
      <c r="S30" s="257"/>
      <c r="T30" s="257"/>
      <c r="U30" s="257"/>
      <c r="V30" s="257">
        <f t="shared" si="5"/>
        <v>0</v>
      </c>
      <c r="W30" s="202"/>
    </row>
    <row r="31" spans="1:23" ht="12.75">
      <c r="A31" s="244"/>
      <c r="B31" s="199"/>
      <c r="C31" s="199"/>
      <c r="D31" s="250"/>
      <c r="E31" s="249"/>
      <c r="F31" s="199"/>
      <c r="G31" s="200"/>
      <c r="H31" s="206"/>
      <c r="I31" s="245"/>
      <c r="J31" s="198"/>
      <c r="K31" s="203"/>
      <c r="L31" s="204"/>
      <c r="M31" s="256">
        <v>0</v>
      </c>
      <c r="N31" s="256"/>
      <c r="O31" s="256"/>
      <c r="P31" s="256"/>
      <c r="Q31" s="256">
        <f>M31+N31-O31+P31</f>
        <v>0</v>
      </c>
      <c r="R31" s="257">
        <v>0</v>
      </c>
      <c r="S31" s="257"/>
      <c r="T31" s="257"/>
      <c r="U31" s="257"/>
      <c r="V31" s="257">
        <f t="shared" si="5"/>
        <v>0</v>
      </c>
      <c r="W31" s="202"/>
    </row>
    <row r="32" spans="1:23" ht="12.75">
      <c r="A32" s="244"/>
      <c r="B32" s="199"/>
      <c r="C32" s="199"/>
      <c r="D32" s="250"/>
      <c r="E32" s="249"/>
      <c r="F32" s="199"/>
      <c r="G32" s="200"/>
      <c r="H32" s="206"/>
      <c r="I32" s="245"/>
      <c r="J32" s="198"/>
      <c r="K32" s="203"/>
      <c r="L32" s="204"/>
      <c r="M32" s="256">
        <v>0</v>
      </c>
      <c r="N32" s="256"/>
      <c r="O32" s="256"/>
      <c r="P32" s="256"/>
      <c r="Q32" s="256">
        <f t="shared" si="4"/>
        <v>0</v>
      </c>
      <c r="R32" s="257">
        <v>0</v>
      </c>
      <c r="S32" s="257"/>
      <c r="T32" s="257"/>
      <c r="U32" s="257"/>
      <c r="V32" s="257">
        <f aca="true" t="shared" si="6" ref="V32:V33">R32+S32-T32+U32</f>
        <v>0</v>
      </c>
      <c r="W32" s="202"/>
    </row>
    <row r="33" spans="1:23" ht="13">
      <c r="A33" s="244"/>
      <c r="B33" s="199"/>
      <c r="C33" s="199"/>
      <c r="D33" s="250"/>
      <c r="E33" s="249"/>
      <c r="F33" s="199"/>
      <c r="G33" s="200"/>
      <c r="H33" s="206"/>
      <c r="I33" s="246"/>
      <c r="J33" s="198"/>
      <c r="K33" s="203"/>
      <c r="L33" s="204"/>
      <c r="M33" s="256">
        <v>0</v>
      </c>
      <c r="N33" s="256"/>
      <c r="O33" s="256"/>
      <c r="P33" s="256"/>
      <c r="Q33" s="256">
        <f t="shared" si="4"/>
        <v>0</v>
      </c>
      <c r="R33" s="257">
        <v>0</v>
      </c>
      <c r="S33" s="257"/>
      <c r="T33" s="257"/>
      <c r="U33" s="257"/>
      <c r="V33" s="257">
        <f t="shared" si="6"/>
        <v>0</v>
      </c>
      <c r="W33" s="202"/>
    </row>
    <row r="34" spans="1:23" s="211" customFormat="1" ht="13.5" thickBot="1">
      <c r="A34" s="208"/>
      <c r="B34" s="208"/>
      <c r="C34" s="208"/>
      <c r="D34" s="209"/>
      <c r="E34" s="208"/>
      <c r="F34" s="208"/>
      <c r="G34" s="209"/>
      <c r="H34" s="240">
        <f>SUM(H26:H33)</f>
        <v>0</v>
      </c>
      <c r="I34" s="240">
        <f aca="true" t="shared" si="7" ref="I34">SUM(I26:I33)</f>
        <v>0</v>
      </c>
      <c r="J34" s="210"/>
      <c r="K34" s="210"/>
      <c r="L34" s="208"/>
      <c r="M34" s="240">
        <f>SUM(M26:M33)</f>
        <v>0</v>
      </c>
      <c r="N34" s="240">
        <f aca="true" t="shared" si="8" ref="N34:V34">SUM(N26:N33)</f>
        <v>0</v>
      </c>
      <c r="O34" s="240">
        <f t="shared" si="8"/>
        <v>0</v>
      </c>
      <c r="P34" s="240">
        <f t="shared" si="8"/>
        <v>0</v>
      </c>
      <c r="Q34" s="240">
        <f>SUM(Q26:Q33)</f>
        <v>0</v>
      </c>
      <c r="R34" s="240">
        <f t="shared" si="8"/>
        <v>0</v>
      </c>
      <c r="S34" s="240">
        <f t="shared" si="8"/>
        <v>0</v>
      </c>
      <c r="T34" s="240">
        <f>SUM(T26:T33)</f>
        <v>0</v>
      </c>
      <c r="U34" s="240">
        <f t="shared" si="8"/>
        <v>0</v>
      </c>
      <c r="V34" s="240">
        <f t="shared" si="8"/>
        <v>0</v>
      </c>
      <c r="W34" s="208"/>
    </row>
    <row r="35" spans="8:17" ht="12.75">
      <c r="H35" s="221"/>
      <c r="I35" s="221"/>
      <c r="M35" s="221"/>
      <c r="N35" s="221"/>
      <c r="O35" s="221"/>
      <c r="P35" s="221"/>
      <c r="Q35" s="221"/>
    </row>
    <row r="36" spans="8:23" ht="13">
      <c r="H36" s="239">
        <f aca="true" t="shared" si="9" ref="H36:I36">H34+H19</f>
        <v>0</v>
      </c>
      <c r="I36" s="239">
        <f t="shared" si="9"/>
        <v>0</v>
      </c>
      <c r="M36" s="239">
        <f>M34+M19</f>
        <v>0</v>
      </c>
      <c r="N36" s="239">
        <f aca="true" t="shared" si="10" ref="N36:V36">N34+N19</f>
        <v>0</v>
      </c>
      <c r="O36" s="239">
        <f t="shared" si="10"/>
        <v>0</v>
      </c>
      <c r="P36" s="239">
        <f t="shared" si="10"/>
        <v>0</v>
      </c>
      <c r="Q36" s="239">
        <f>Q34+Q19</f>
        <v>0</v>
      </c>
      <c r="R36" s="239">
        <f t="shared" si="10"/>
        <v>0</v>
      </c>
      <c r="S36" s="239">
        <f t="shared" si="10"/>
        <v>0</v>
      </c>
      <c r="T36" s="241">
        <f t="shared" si="10"/>
        <v>0</v>
      </c>
      <c r="U36" s="239">
        <f t="shared" si="10"/>
        <v>0</v>
      </c>
      <c r="V36" s="239">
        <f t="shared" si="10"/>
        <v>0</v>
      </c>
      <c r="W36" s="223"/>
    </row>
    <row r="37" spans="13:23" ht="12.75">
      <c r="M37" s="221"/>
      <c r="N37" s="221"/>
      <c r="O37" s="221"/>
      <c r="P37" s="221"/>
      <c r="Q37" s="221"/>
      <c r="T37" s="224"/>
      <c r="V37" s="225"/>
      <c r="W37" s="226"/>
    </row>
    <row r="38" spans="13:22" ht="12.75">
      <c r="M38" s="221"/>
      <c r="N38" s="221"/>
      <c r="O38" s="221"/>
      <c r="P38" s="221"/>
      <c r="Q38" s="221"/>
      <c r="T38" s="222"/>
      <c r="U38" s="227"/>
      <c r="V38" s="222"/>
    </row>
    <row r="39" spans="6:22" ht="12.75">
      <c r="F39" s="212" t="s">
        <v>639</v>
      </c>
      <c r="M39" s="221"/>
      <c r="N39" s="221"/>
      <c r="O39" s="221"/>
      <c r="P39" s="221"/>
      <c r="Q39" s="221"/>
      <c r="V39" s="222"/>
    </row>
    <row r="40" spans="6:22" ht="12.75">
      <c r="F40" s="228" t="s">
        <v>639</v>
      </c>
      <c r="M40" s="221"/>
      <c r="N40" s="221"/>
      <c r="O40" s="221"/>
      <c r="P40" s="221"/>
      <c r="Q40" s="221"/>
      <c r="U40" s="174"/>
      <c r="V40" s="174"/>
    </row>
    <row r="41" spans="13:17" ht="12.75">
      <c r="M41" s="221"/>
      <c r="N41" s="221"/>
      <c r="O41" s="221"/>
      <c r="P41" s="221"/>
      <c r="Q41" s="221"/>
    </row>
    <row r="42" spans="13:17" ht="12.75">
      <c r="M42" s="221"/>
      <c r="N42" s="221"/>
      <c r="O42" s="221"/>
      <c r="P42" s="221"/>
      <c r="Q42" s="221"/>
    </row>
    <row r="43" spans="13:22" ht="12.75">
      <c r="M43" s="221"/>
      <c r="N43" s="221"/>
      <c r="O43" s="221"/>
      <c r="P43" s="221"/>
      <c r="Q43" s="221"/>
      <c r="V43" s="222"/>
    </row>
    <row r="44" spans="13:22" ht="12.75">
      <c r="M44" s="221"/>
      <c r="N44" s="221"/>
      <c r="O44" s="221"/>
      <c r="P44" s="221"/>
      <c r="Q44" s="221"/>
      <c r="V44" s="222"/>
    </row>
    <row r="45" spans="13:17" ht="12.75">
      <c r="M45" s="221"/>
      <c r="N45" s="221"/>
      <c r="O45" s="221"/>
      <c r="P45" s="221"/>
      <c r="Q45" s="221"/>
    </row>
    <row r="46" spans="13:17" ht="12.75">
      <c r="M46" s="221"/>
      <c r="N46" s="221"/>
      <c r="O46" s="221"/>
      <c r="P46" s="221"/>
      <c r="Q46" s="221"/>
    </row>
    <row r="47" spans="13:17" ht="12.75">
      <c r="M47" s="221"/>
      <c r="N47" s="221"/>
      <c r="O47" s="221"/>
      <c r="P47" s="221"/>
      <c r="Q47" s="221"/>
    </row>
    <row r="48" spans="13:17" ht="12.75">
      <c r="M48" s="221"/>
      <c r="N48" s="221"/>
      <c r="O48" s="221"/>
      <c r="P48" s="221"/>
      <c r="Q48" s="221"/>
    </row>
  </sheetData>
  <autoFilter ref="A5:W18"/>
  <mergeCells count="6">
    <mergeCell ref="A3:L3"/>
    <mergeCell ref="R24:V24"/>
    <mergeCell ref="M24:Q24"/>
    <mergeCell ref="M3:Q3"/>
    <mergeCell ref="R3:V3"/>
    <mergeCell ref="B24:L24"/>
  </mergeCells>
  <hyperlinks>
    <hyperlink ref="C5" location="ColumnC" display="Vendor Name"/>
    <hyperlink ref="C25" location="ColumnC" display="Vendor Name"/>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2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8"/>
  </sheetPr>
  <dimension ref="A1:AE27"/>
  <sheetViews>
    <sheetView showGridLines="0" workbookViewId="0" topLeftCell="A1">
      <selection activeCell="L23" sqref="L23"/>
    </sheetView>
  </sheetViews>
  <sheetFormatPr defaultColWidth="11.421875" defaultRowHeight="12.75"/>
  <cols>
    <col min="1" max="1" width="1.28515625" style="1" customWidth="1"/>
    <col min="2" max="29" width="4.421875" style="1" customWidth="1"/>
    <col min="30" max="16384" width="11.421875" style="1" customWidth="1"/>
  </cols>
  <sheetData>
    <row r="1" spans="2:29" ht="5.25" customHeight="1">
      <c r="B1" s="2"/>
      <c r="C1" s="2"/>
      <c r="D1" s="2"/>
      <c r="E1" s="2"/>
      <c r="F1" s="2"/>
      <c r="G1" s="2"/>
      <c r="H1" s="2"/>
      <c r="I1" s="2"/>
      <c r="J1" s="2"/>
      <c r="K1" s="2"/>
      <c r="L1" s="2"/>
      <c r="M1" s="2"/>
      <c r="N1" s="2"/>
      <c r="O1" s="2"/>
      <c r="P1" s="2"/>
      <c r="Q1" s="2"/>
      <c r="R1" s="2"/>
      <c r="S1" s="2"/>
      <c r="T1" s="2"/>
      <c r="U1" s="2"/>
      <c r="V1" s="2"/>
      <c r="W1" s="2"/>
      <c r="X1" s="2"/>
      <c r="Y1" s="2"/>
      <c r="Z1" s="2"/>
      <c r="AA1" s="2"/>
      <c r="AB1" s="2"/>
      <c r="AC1" s="3"/>
    </row>
    <row r="2" spans="1:30" ht="13.5">
      <c r="A2" s="4"/>
      <c r="B2" s="5"/>
      <c r="C2" s="5"/>
      <c r="D2" s="5"/>
      <c r="E2" s="5"/>
      <c r="F2" s="5"/>
      <c r="G2" s="5"/>
      <c r="H2" s="5"/>
      <c r="I2" s="5"/>
      <c r="J2" s="5"/>
      <c r="K2" s="5"/>
      <c r="L2" s="5"/>
      <c r="M2" s="5"/>
      <c r="N2" s="5"/>
      <c r="O2" s="5"/>
      <c r="P2" s="5"/>
      <c r="Q2" s="5"/>
      <c r="R2" s="5"/>
      <c r="S2" s="5"/>
      <c r="T2" s="5"/>
      <c r="U2" s="5"/>
      <c r="V2" s="5"/>
      <c r="W2" s="5"/>
      <c r="X2" s="5"/>
      <c r="Y2" s="5"/>
      <c r="Z2" s="5"/>
      <c r="AA2" s="5"/>
      <c r="AB2" s="5"/>
      <c r="AC2" s="6"/>
      <c r="AD2" s="7"/>
    </row>
    <row r="3" spans="1:30" ht="12.75">
      <c r="A3" s="4"/>
      <c r="B3" s="5"/>
      <c r="C3" s="5"/>
      <c r="D3" s="5"/>
      <c r="E3" s="5"/>
      <c r="F3" s="5"/>
      <c r="G3" s="5"/>
      <c r="H3" s="5"/>
      <c r="I3" s="5"/>
      <c r="J3" s="5"/>
      <c r="K3" s="5"/>
      <c r="L3" s="5"/>
      <c r="M3" s="5"/>
      <c r="N3" s="5"/>
      <c r="O3" s="5"/>
      <c r="P3" s="5"/>
      <c r="Q3" s="5"/>
      <c r="R3" s="5"/>
      <c r="S3" s="5"/>
      <c r="T3" s="5"/>
      <c r="U3" s="5"/>
      <c r="V3" s="5"/>
      <c r="W3" s="5"/>
      <c r="X3" s="5"/>
      <c r="Y3" s="5"/>
      <c r="Z3" s="5"/>
      <c r="AA3" s="5"/>
      <c r="AB3" s="5"/>
      <c r="AC3" s="8"/>
      <c r="AD3" s="7"/>
    </row>
    <row r="4" spans="1:30" ht="24" customHeight="1">
      <c r="A4" s="4"/>
      <c r="B4" s="5"/>
      <c r="C4" s="9"/>
      <c r="D4" s="9"/>
      <c r="E4" s="9"/>
      <c r="F4" s="9"/>
      <c r="G4" s="9"/>
      <c r="H4" s="9"/>
      <c r="I4" s="9"/>
      <c r="J4" s="9"/>
      <c r="K4" s="9"/>
      <c r="L4" s="9"/>
      <c r="M4" s="9"/>
      <c r="N4" s="9"/>
      <c r="O4" s="9"/>
      <c r="P4" s="9"/>
      <c r="Q4" s="9"/>
      <c r="R4" s="9"/>
      <c r="S4" s="9"/>
      <c r="T4" s="9"/>
      <c r="U4" s="9"/>
      <c r="V4" s="9"/>
      <c r="W4" s="9"/>
      <c r="X4" s="9"/>
      <c r="Y4" s="9"/>
      <c r="Z4" s="9"/>
      <c r="AA4" s="9"/>
      <c r="AB4" s="9"/>
      <c r="AC4" s="8"/>
      <c r="AD4" s="7"/>
    </row>
    <row r="5" spans="1:30" ht="12.75">
      <c r="A5" s="4"/>
      <c r="B5" s="10"/>
      <c r="C5" s="11"/>
      <c r="D5" s="12"/>
      <c r="E5" s="12"/>
      <c r="F5" s="12"/>
      <c r="G5" s="12"/>
      <c r="H5" s="12"/>
      <c r="I5" s="12"/>
      <c r="J5" s="12"/>
      <c r="K5" s="12"/>
      <c r="L5" s="12"/>
      <c r="M5" s="12"/>
      <c r="N5" s="12"/>
      <c r="O5" s="12"/>
      <c r="P5" s="12"/>
      <c r="Q5" s="12"/>
      <c r="R5" s="12"/>
      <c r="S5" s="12"/>
      <c r="T5" s="12"/>
      <c r="U5" s="12"/>
      <c r="V5" s="12"/>
      <c r="W5" s="12"/>
      <c r="X5" s="12"/>
      <c r="Y5" s="12"/>
      <c r="Z5" s="12"/>
      <c r="AA5" s="12"/>
      <c r="AB5" s="13"/>
      <c r="AC5" s="10"/>
      <c r="AD5" s="7"/>
    </row>
    <row r="6" spans="1:30" ht="12.75">
      <c r="A6" s="4"/>
      <c r="B6" s="10"/>
      <c r="C6" s="11"/>
      <c r="D6" s="12"/>
      <c r="E6" s="12"/>
      <c r="F6" s="12"/>
      <c r="G6" s="12"/>
      <c r="H6" s="12"/>
      <c r="I6" s="12"/>
      <c r="J6" s="12"/>
      <c r="K6" s="12"/>
      <c r="L6" s="12"/>
      <c r="M6" s="12"/>
      <c r="N6" s="12"/>
      <c r="O6" s="12"/>
      <c r="P6" s="12"/>
      <c r="Q6" s="12"/>
      <c r="R6" s="12"/>
      <c r="S6" s="12"/>
      <c r="T6" s="12"/>
      <c r="U6" s="12"/>
      <c r="V6" s="12"/>
      <c r="W6" s="12"/>
      <c r="X6" s="12"/>
      <c r="Y6" s="12"/>
      <c r="Z6" s="12"/>
      <c r="AA6" s="12"/>
      <c r="AB6" s="13"/>
      <c r="AC6" s="10"/>
      <c r="AD6" s="7"/>
    </row>
    <row r="7" spans="1:30" ht="12.75">
      <c r="A7" s="4"/>
      <c r="B7" s="10"/>
      <c r="C7" s="11"/>
      <c r="D7" s="12"/>
      <c r="E7" s="12"/>
      <c r="F7" s="12"/>
      <c r="G7" s="12"/>
      <c r="H7" s="12"/>
      <c r="I7" s="12"/>
      <c r="J7" s="12"/>
      <c r="K7" s="12"/>
      <c r="L7" s="12"/>
      <c r="M7" s="12"/>
      <c r="N7" s="12"/>
      <c r="O7" s="12"/>
      <c r="P7" s="12"/>
      <c r="Q7" s="12"/>
      <c r="R7" s="12"/>
      <c r="S7" s="12"/>
      <c r="T7" s="12"/>
      <c r="U7" s="12"/>
      <c r="V7" s="12"/>
      <c r="W7" s="12"/>
      <c r="X7" s="12"/>
      <c r="Y7" s="12"/>
      <c r="Z7" s="12"/>
      <c r="AA7" s="12"/>
      <c r="AB7" s="13"/>
      <c r="AC7" s="10"/>
      <c r="AD7" s="7"/>
    </row>
    <row r="8" spans="1:30" ht="12.75">
      <c r="A8" s="4"/>
      <c r="B8" s="10"/>
      <c r="C8" s="11"/>
      <c r="D8" s="12"/>
      <c r="E8" s="12"/>
      <c r="F8" s="12"/>
      <c r="G8" s="12"/>
      <c r="H8" s="12"/>
      <c r="I8" s="12"/>
      <c r="J8" s="12"/>
      <c r="K8" s="12"/>
      <c r="L8" s="12"/>
      <c r="M8" s="12"/>
      <c r="N8" s="12"/>
      <c r="O8" s="12"/>
      <c r="P8" s="12"/>
      <c r="Q8" s="12"/>
      <c r="R8" s="12"/>
      <c r="S8" s="12"/>
      <c r="T8" s="12"/>
      <c r="U8" s="12"/>
      <c r="V8" s="12"/>
      <c r="W8" s="12"/>
      <c r="X8" s="12"/>
      <c r="Y8" s="12"/>
      <c r="Z8" s="12"/>
      <c r="AA8" s="12"/>
      <c r="AB8" s="13"/>
      <c r="AC8" s="10"/>
      <c r="AD8" s="7"/>
    </row>
    <row r="9" spans="1:30" ht="12.75">
      <c r="A9" s="4"/>
      <c r="B9" s="10"/>
      <c r="C9" s="11"/>
      <c r="D9" s="12"/>
      <c r="E9" s="12"/>
      <c r="F9" s="12"/>
      <c r="G9" s="12"/>
      <c r="H9" s="12"/>
      <c r="I9" s="12"/>
      <c r="J9" s="12"/>
      <c r="K9" s="12"/>
      <c r="L9" s="12"/>
      <c r="M9" s="12"/>
      <c r="N9" s="12"/>
      <c r="O9" s="12"/>
      <c r="P9" s="12"/>
      <c r="Q9" s="12"/>
      <c r="R9" s="12"/>
      <c r="S9" s="12"/>
      <c r="T9" s="12"/>
      <c r="U9" s="12"/>
      <c r="V9" s="12"/>
      <c r="W9" s="12"/>
      <c r="X9" s="12"/>
      <c r="Y9" s="12"/>
      <c r="Z9" s="12"/>
      <c r="AA9" s="12"/>
      <c r="AB9" s="13"/>
      <c r="AC9" s="10"/>
      <c r="AD9" s="7"/>
    </row>
    <row r="10" spans="1:30" s="14" customFormat="1" ht="12.75">
      <c r="A10" s="4"/>
      <c r="B10" s="10"/>
      <c r="C10" s="11"/>
      <c r="D10" s="12"/>
      <c r="E10" s="12"/>
      <c r="F10" s="12"/>
      <c r="G10" s="12"/>
      <c r="H10" s="12"/>
      <c r="I10" s="12"/>
      <c r="J10" s="12"/>
      <c r="K10" s="12"/>
      <c r="L10" s="12"/>
      <c r="M10" s="12"/>
      <c r="N10" s="12"/>
      <c r="O10" s="12"/>
      <c r="P10" s="12"/>
      <c r="Q10" s="12"/>
      <c r="R10" s="12"/>
      <c r="S10" s="12"/>
      <c r="T10" s="12"/>
      <c r="U10" s="12"/>
      <c r="V10" s="12"/>
      <c r="W10" s="12"/>
      <c r="X10" s="12"/>
      <c r="Y10" s="12"/>
      <c r="Z10" s="12"/>
      <c r="AA10" s="12"/>
      <c r="AB10" s="13"/>
      <c r="AC10" s="10"/>
      <c r="AD10" s="7"/>
    </row>
    <row r="11" spans="1:30" ht="12.75">
      <c r="A11" s="4"/>
      <c r="B11" s="10"/>
      <c r="C11" s="11"/>
      <c r="D11" s="12"/>
      <c r="E11" s="12"/>
      <c r="F11" s="12"/>
      <c r="G11" s="12"/>
      <c r="H11" s="12"/>
      <c r="I11" s="12"/>
      <c r="J11" s="12"/>
      <c r="K11" s="12"/>
      <c r="L11" s="12"/>
      <c r="M11" s="12"/>
      <c r="N11" s="12"/>
      <c r="O11" s="12"/>
      <c r="P11" s="12"/>
      <c r="Q11" s="12"/>
      <c r="R11" s="12"/>
      <c r="S11" s="12"/>
      <c r="T11" s="12"/>
      <c r="U11" s="12"/>
      <c r="V11" s="12"/>
      <c r="W11" s="12"/>
      <c r="X11" s="12"/>
      <c r="Y11" s="12"/>
      <c r="Z11" s="12"/>
      <c r="AA11" s="12"/>
      <c r="AB11" s="13"/>
      <c r="AC11" s="10"/>
      <c r="AD11" s="7"/>
    </row>
    <row r="12" spans="1:30" ht="12.75">
      <c r="A12" s="4"/>
      <c r="B12" s="10"/>
      <c r="C12" s="11"/>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0"/>
      <c r="AD12" s="7"/>
    </row>
    <row r="13" spans="1:30" ht="12.75">
      <c r="A13" s="4"/>
      <c r="B13" s="10"/>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7"/>
      <c r="AC13" s="10"/>
      <c r="AD13" s="7"/>
    </row>
    <row r="14" spans="1:30" ht="1.5" customHeight="1">
      <c r="A14" s="4"/>
      <c r="B14" s="10"/>
      <c r="C14" s="18"/>
      <c r="D14" s="18"/>
      <c r="E14" s="18"/>
      <c r="F14" s="18"/>
      <c r="G14" s="18"/>
      <c r="H14" s="18"/>
      <c r="I14" s="18"/>
      <c r="J14" s="18"/>
      <c r="K14" s="18"/>
      <c r="L14" s="18"/>
      <c r="M14" s="18"/>
      <c r="N14" s="18"/>
      <c r="O14" s="18"/>
      <c r="P14" s="18"/>
      <c r="Q14" s="18"/>
      <c r="R14" s="18"/>
      <c r="S14" s="18"/>
      <c r="T14" s="18"/>
      <c r="U14" s="18"/>
      <c r="V14" s="18"/>
      <c r="W14" s="18"/>
      <c r="X14" s="18"/>
      <c r="Y14" s="18"/>
      <c r="Z14" s="18"/>
      <c r="AA14" s="19"/>
      <c r="AB14" s="18"/>
      <c r="AC14" s="10"/>
      <c r="AD14" s="7"/>
    </row>
    <row r="15" spans="1:30" ht="12.75">
      <c r="A15" s="4"/>
      <c r="B15" s="10"/>
      <c r="C15" s="20"/>
      <c r="D15" s="21"/>
      <c r="E15" s="20"/>
      <c r="F15" s="21"/>
      <c r="G15" s="20"/>
      <c r="H15" s="21"/>
      <c r="I15" s="20"/>
      <c r="J15" s="21"/>
      <c r="K15" s="20"/>
      <c r="L15" s="21"/>
      <c r="M15" s="20"/>
      <c r="N15" s="21"/>
      <c r="O15" s="20"/>
      <c r="P15" s="21"/>
      <c r="Q15" s="20"/>
      <c r="R15" s="21"/>
      <c r="S15" s="20"/>
      <c r="T15" s="21"/>
      <c r="U15" s="20"/>
      <c r="V15" s="21"/>
      <c r="W15" s="20"/>
      <c r="X15" s="21"/>
      <c r="Y15" s="20"/>
      <c r="Z15" s="21"/>
      <c r="AA15" s="20"/>
      <c r="AB15" s="21"/>
      <c r="AC15" s="10"/>
      <c r="AD15" s="7"/>
    </row>
    <row r="16" spans="1:30" ht="13">
      <c r="A16" s="4"/>
      <c r="B16" s="10"/>
      <c r="C16" s="272" t="s">
        <v>17</v>
      </c>
      <c r="D16" s="273"/>
      <c r="E16" s="272" t="s">
        <v>18</v>
      </c>
      <c r="F16" s="271"/>
      <c r="G16" s="271" t="s">
        <v>19</v>
      </c>
      <c r="H16" s="271"/>
      <c r="I16" s="271" t="s">
        <v>20</v>
      </c>
      <c r="J16" s="271"/>
      <c r="K16" s="271" t="s">
        <v>21</v>
      </c>
      <c r="L16" s="271"/>
      <c r="M16" s="273" t="s">
        <v>22</v>
      </c>
      <c r="N16" s="275"/>
      <c r="O16" s="275" t="s">
        <v>23</v>
      </c>
      <c r="P16" s="275"/>
      <c r="Q16" s="275" t="s">
        <v>24</v>
      </c>
      <c r="R16" s="275"/>
      <c r="S16" s="275" t="s">
        <v>25</v>
      </c>
      <c r="T16" s="275"/>
      <c r="U16" s="275" t="s">
        <v>26</v>
      </c>
      <c r="V16" s="275"/>
      <c r="W16" s="275" t="s">
        <v>27</v>
      </c>
      <c r="X16" s="275"/>
      <c r="Y16" s="275" t="s">
        <v>28</v>
      </c>
      <c r="Z16" s="275"/>
      <c r="AA16" s="274" t="s">
        <v>29</v>
      </c>
      <c r="AB16" s="271"/>
      <c r="AC16" s="10"/>
      <c r="AD16" s="7"/>
    </row>
    <row r="17" spans="1:31" ht="13">
      <c r="A17" s="4"/>
      <c r="B17" s="10"/>
      <c r="C17" s="11"/>
      <c r="D17" s="12"/>
      <c r="E17" s="12"/>
      <c r="F17" s="12"/>
      <c r="G17" s="12"/>
      <c r="H17" s="12"/>
      <c r="I17" s="13"/>
      <c r="J17" s="271"/>
      <c r="K17" s="271"/>
      <c r="L17" s="11"/>
      <c r="M17" s="12"/>
      <c r="N17" s="12"/>
      <c r="O17" s="12"/>
      <c r="P17" s="12"/>
      <c r="Q17" s="12"/>
      <c r="R17" s="12"/>
      <c r="S17" s="12"/>
      <c r="T17" s="12"/>
      <c r="U17" s="12"/>
      <c r="V17" s="12"/>
      <c r="W17" s="12"/>
      <c r="X17" s="12"/>
      <c r="Y17" s="12"/>
      <c r="Z17" s="12"/>
      <c r="AA17" s="12"/>
      <c r="AB17" s="13"/>
      <c r="AC17" s="10"/>
      <c r="AD17" s="7"/>
      <c r="AE17" s="22"/>
    </row>
    <row r="18" spans="1:31" s="14" customFormat="1" ht="12.75">
      <c r="A18" s="4"/>
      <c r="B18" s="10"/>
      <c r="C18" s="11"/>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0"/>
      <c r="AD18" s="7"/>
      <c r="AE18" s="22"/>
    </row>
    <row r="19" spans="1:31" ht="12.75">
      <c r="A19" s="4"/>
      <c r="B19" s="10"/>
      <c r="C19" s="11"/>
      <c r="D19" s="12"/>
      <c r="E19" s="12"/>
      <c r="F19" s="12"/>
      <c r="G19" s="12"/>
      <c r="H19" s="12"/>
      <c r="I19" s="12"/>
      <c r="J19" s="12"/>
      <c r="K19" s="12"/>
      <c r="L19" s="12"/>
      <c r="M19" s="12"/>
      <c r="N19" s="12"/>
      <c r="O19" s="12"/>
      <c r="P19" s="12"/>
      <c r="Q19" s="12"/>
      <c r="R19" s="12"/>
      <c r="S19" s="12"/>
      <c r="T19" s="12"/>
      <c r="U19" s="12"/>
      <c r="V19" s="12"/>
      <c r="W19" s="12"/>
      <c r="X19" s="12"/>
      <c r="Y19" s="12"/>
      <c r="Z19" s="12"/>
      <c r="AA19" s="12"/>
      <c r="AB19" s="13"/>
      <c r="AC19" s="10"/>
      <c r="AD19" s="7"/>
      <c r="AE19" s="22"/>
    </row>
    <row r="20" spans="1:31" ht="12.75">
      <c r="A20" s="4"/>
      <c r="B20" s="10"/>
      <c r="C20" s="11"/>
      <c r="D20" s="12"/>
      <c r="E20" s="12"/>
      <c r="F20" s="12"/>
      <c r="G20" s="12"/>
      <c r="H20" s="12"/>
      <c r="I20" s="12"/>
      <c r="J20" s="12"/>
      <c r="K20" s="12"/>
      <c r="L20" s="12"/>
      <c r="M20" s="12"/>
      <c r="N20" s="12"/>
      <c r="O20" s="12"/>
      <c r="P20" s="12"/>
      <c r="Q20" s="12"/>
      <c r="R20" s="12"/>
      <c r="S20" s="12"/>
      <c r="T20" s="12"/>
      <c r="U20" s="12"/>
      <c r="V20" s="12"/>
      <c r="W20" s="12"/>
      <c r="X20" s="12"/>
      <c r="Y20" s="12"/>
      <c r="Z20" s="12"/>
      <c r="AA20" s="12"/>
      <c r="AB20" s="13"/>
      <c r="AC20" s="10"/>
      <c r="AD20" s="7"/>
      <c r="AE20" s="22"/>
    </row>
    <row r="21" spans="1:31" ht="12.75">
      <c r="A21" s="4"/>
      <c r="B21" s="10"/>
      <c r="C21" s="11"/>
      <c r="D21" s="12"/>
      <c r="E21" s="12"/>
      <c r="F21" s="12"/>
      <c r="G21" s="12"/>
      <c r="H21" s="12"/>
      <c r="I21" s="12"/>
      <c r="J21" s="12"/>
      <c r="K21" s="12"/>
      <c r="L21" s="12"/>
      <c r="M21" s="12"/>
      <c r="N21" s="12"/>
      <c r="O21" s="12"/>
      <c r="P21" s="12"/>
      <c r="Q21" s="12"/>
      <c r="R21" s="12"/>
      <c r="S21" s="12"/>
      <c r="T21" s="12"/>
      <c r="U21" s="12"/>
      <c r="V21" s="12"/>
      <c r="W21" s="12"/>
      <c r="X21" s="12"/>
      <c r="Y21" s="12"/>
      <c r="Z21" s="12"/>
      <c r="AA21" s="12"/>
      <c r="AB21" s="13"/>
      <c r="AC21" s="10"/>
      <c r="AD21" s="7"/>
      <c r="AE21" s="22"/>
    </row>
    <row r="22" spans="1:31" ht="12.75">
      <c r="A22" s="4"/>
      <c r="B22" s="10"/>
      <c r="C22" s="11"/>
      <c r="D22" s="12"/>
      <c r="E22" s="12"/>
      <c r="F22" s="12"/>
      <c r="G22" s="12"/>
      <c r="H22" s="12"/>
      <c r="I22" s="12"/>
      <c r="J22" s="12"/>
      <c r="K22" s="12"/>
      <c r="L22" s="12"/>
      <c r="M22" s="12"/>
      <c r="N22" s="12"/>
      <c r="O22" s="12"/>
      <c r="P22" s="12"/>
      <c r="Q22" s="12"/>
      <c r="R22" s="12"/>
      <c r="S22" s="12"/>
      <c r="T22" s="12"/>
      <c r="U22" s="12"/>
      <c r="V22" s="12"/>
      <c r="W22" s="12"/>
      <c r="X22" s="12"/>
      <c r="Y22" s="12"/>
      <c r="Z22" s="12"/>
      <c r="AA22" s="12"/>
      <c r="AB22" s="13"/>
      <c r="AC22" s="10"/>
      <c r="AD22" s="7"/>
      <c r="AE22" s="22"/>
    </row>
    <row r="23" spans="1:31" ht="13.5">
      <c r="A23" s="4"/>
      <c r="B23" s="10"/>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5"/>
      <c r="AC23" s="10"/>
      <c r="AD23" s="7"/>
      <c r="AE23" s="22"/>
    </row>
    <row r="24" spans="1:31" ht="24"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8"/>
      <c r="AD24" s="7"/>
      <c r="AE24" s="22"/>
    </row>
    <row r="25" spans="1:31" ht="12.75">
      <c r="A25" s="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7"/>
      <c r="AD25" s="7"/>
      <c r="AE25" s="22"/>
    </row>
    <row r="26" spans="1:30" ht="12.75">
      <c r="A26" s="4"/>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9"/>
      <c r="AD26" s="7"/>
    </row>
    <row r="27" spans="2:28" ht="12.7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row>
  </sheetData>
  <mergeCells count="14">
    <mergeCell ref="AA16:AB16"/>
    <mergeCell ref="Y16:Z16"/>
    <mergeCell ref="W16:X16"/>
    <mergeCell ref="M16:N16"/>
    <mergeCell ref="O16:P16"/>
    <mergeCell ref="Q16:R16"/>
    <mergeCell ref="S16:T16"/>
    <mergeCell ref="U16:V16"/>
    <mergeCell ref="J17:K17"/>
    <mergeCell ref="C16:D16"/>
    <mergeCell ref="E16:F16"/>
    <mergeCell ref="G16:H16"/>
    <mergeCell ref="I16:J16"/>
    <mergeCell ref="K16:L16"/>
  </mergeCells>
  <printOptions horizontalCentered="1" verticalCentered="1"/>
  <pageMargins left="0.75" right="0.75" top="1" bottom="1"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D304"/>
  <sheetViews>
    <sheetView zoomScale="80" zoomScaleNormal="80" workbookViewId="0" topLeftCell="A1">
      <selection activeCell="L23" sqref="L23"/>
    </sheetView>
  </sheetViews>
  <sheetFormatPr defaultColWidth="11.421875" defaultRowHeight="12.75"/>
  <cols>
    <col min="1" max="1" width="10.00390625" style="47" customWidth="1"/>
    <col min="2" max="2" width="6.57421875" style="47" customWidth="1"/>
    <col min="3" max="3" width="14.00390625" style="39" customWidth="1"/>
    <col min="4" max="4" width="20.28125" style="39" customWidth="1"/>
    <col min="5" max="5" width="14.140625" style="39" customWidth="1"/>
    <col min="6" max="6" width="11.8515625" style="39" customWidth="1"/>
    <col min="7" max="7" width="20.00390625" style="39" customWidth="1"/>
    <col min="8" max="8" width="20.8515625" style="39" customWidth="1"/>
    <col min="9" max="9" width="19.140625" style="39" customWidth="1"/>
    <col min="10" max="10" width="16.7109375" style="65" customWidth="1"/>
    <col min="11" max="12" width="24.57421875" style="39" customWidth="1"/>
    <col min="13" max="14" width="24.57421875" style="65" customWidth="1"/>
    <col min="15" max="15" width="24.57421875" style="39" customWidth="1"/>
    <col min="16" max="17" width="24.57421875" style="66" customWidth="1"/>
    <col min="18" max="20" width="24.57421875" style="39" customWidth="1"/>
    <col min="21" max="21" width="24.57421875" style="66" customWidth="1"/>
    <col min="22" max="22" width="24.57421875" style="67" customWidth="1"/>
    <col min="23" max="23" width="23.28125" style="68" customWidth="1"/>
    <col min="24" max="24" width="23.8515625" style="68" customWidth="1"/>
    <col min="25" max="25" width="25.28125" style="69" customWidth="1"/>
    <col min="26" max="26" width="25.00390625" style="69" customWidth="1"/>
    <col min="27" max="27" width="27.57421875" style="68" customWidth="1"/>
    <col min="28" max="29" width="21.57421875" style="70" customWidth="1"/>
    <col min="30" max="30" width="23.00390625" style="71" customWidth="1"/>
    <col min="31" max="31" width="27.28125" style="71" customWidth="1"/>
    <col min="32" max="32" width="24.421875" style="71" customWidth="1"/>
    <col min="33" max="33" width="30.140625" style="71" customWidth="1"/>
    <col min="34" max="34" width="33.28125" style="70" customWidth="1"/>
    <col min="35" max="35" width="22.57421875" style="70" customWidth="1"/>
    <col min="36" max="36" width="83.00390625" style="72" customWidth="1"/>
    <col min="37" max="37" width="13.7109375" style="39" customWidth="1"/>
    <col min="38" max="42" width="11.421875" style="39" hidden="1" customWidth="1"/>
    <col min="43" max="43" width="40.140625" style="39" hidden="1" customWidth="1"/>
    <col min="44" max="44" width="8.421875" style="39" hidden="1" customWidth="1"/>
    <col min="45" max="48" width="11.421875" style="39" hidden="1" customWidth="1"/>
    <col min="49" max="49" width="14.57421875" style="39" hidden="1" customWidth="1"/>
    <col min="50" max="52" width="5.140625" style="39" hidden="1" customWidth="1"/>
    <col min="53" max="56" width="11.421875" style="39" hidden="1" customWidth="1"/>
    <col min="57" max="57" width="20.57421875" style="39" customWidth="1"/>
    <col min="58" max="16384" width="11.421875" style="39" customWidth="1"/>
  </cols>
  <sheetData>
    <row r="1" spans="1:36" s="33" customFormat="1" ht="13">
      <c r="A1" s="49" t="s">
        <v>84</v>
      </c>
      <c r="J1" s="103"/>
      <c r="M1" s="103"/>
      <c r="N1" s="103"/>
      <c r="V1" s="103"/>
      <c r="W1" s="103"/>
      <c r="X1" s="103"/>
      <c r="AA1" s="103"/>
      <c r="AD1" s="103"/>
      <c r="AE1" s="103"/>
      <c r="AF1" s="103"/>
      <c r="AG1" s="103"/>
      <c r="AJ1" s="50"/>
    </row>
    <row r="2" spans="1:36" s="33" customFormat="1" ht="12.75">
      <c r="A2" s="33" t="s">
        <v>42</v>
      </c>
      <c r="B2" s="33" t="s">
        <v>96</v>
      </c>
      <c r="C2" s="33" t="s">
        <v>14</v>
      </c>
      <c r="D2" s="33" t="s">
        <v>15</v>
      </c>
      <c r="F2" s="33" t="s">
        <v>16</v>
      </c>
      <c r="G2" s="33" t="s">
        <v>43</v>
      </c>
      <c r="H2" s="33" t="s">
        <v>44</v>
      </c>
      <c r="I2" s="33" t="s">
        <v>45</v>
      </c>
      <c r="J2" s="103" t="s">
        <v>89</v>
      </c>
      <c r="K2" s="33" t="s">
        <v>46</v>
      </c>
      <c r="L2" s="33" t="s">
        <v>47</v>
      </c>
      <c r="M2" s="33" t="s">
        <v>48</v>
      </c>
      <c r="N2" s="33" t="s">
        <v>76</v>
      </c>
      <c r="O2" s="33" t="s">
        <v>49</v>
      </c>
      <c r="P2" s="33" t="s">
        <v>50</v>
      </c>
      <c r="Q2" s="33" t="s">
        <v>51</v>
      </c>
      <c r="R2" s="33" t="s">
        <v>52</v>
      </c>
      <c r="S2" s="33" t="s">
        <v>97</v>
      </c>
      <c r="T2" s="33" t="s">
        <v>53</v>
      </c>
      <c r="U2" s="33" t="s">
        <v>54</v>
      </c>
      <c r="V2" s="103" t="s">
        <v>90</v>
      </c>
      <c r="W2" s="103" t="s">
        <v>55</v>
      </c>
      <c r="X2" s="103" t="s">
        <v>56</v>
      </c>
      <c r="Y2" s="33" t="s">
        <v>57</v>
      </c>
      <c r="Z2" s="33" t="s">
        <v>77</v>
      </c>
      <c r="AA2" s="103" t="s">
        <v>78</v>
      </c>
      <c r="AB2" s="33" t="s">
        <v>79</v>
      </c>
      <c r="AC2" s="33" t="s">
        <v>80</v>
      </c>
      <c r="AD2" s="103" t="s">
        <v>81</v>
      </c>
      <c r="AE2" s="103" t="s">
        <v>91</v>
      </c>
      <c r="AF2" s="103" t="s">
        <v>111</v>
      </c>
      <c r="AG2" s="103" t="s">
        <v>82</v>
      </c>
      <c r="AH2" s="33" t="s">
        <v>88</v>
      </c>
      <c r="AI2" s="33" t="s">
        <v>92</v>
      </c>
      <c r="AJ2" s="50" t="s">
        <v>98</v>
      </c>
    </row>
    <row r="3" spans="1:36" ht="12.75" customHeight="1">
      <c r="A3" s="284" t="s">
        <v>105</v>
      </c>
      <c r="B3" s="284"/>
      <c r="C3" s="284"/>
      <c r="D3" s="284"/>
      <c r="E3" s="284"/>
      <c r="F3" s="284"/>
      <c r="G3" s="284"/>
      <c r="H3" s="284"/>
      <c r="I3" s="284"/>
      <c r="J3" s="285"/>
      <c r="K3" s="284"/>
      <c r="L3" s="284"/>
      <c r="M3" s="284"/>
      <c r="N3" s="286" t="s">
        <v>106</v>
      </c>
      <c r="O3" s="287"/>
      <c r="P3" s="287"/>
      <c r="Q3" s="287"/>
      <c r="R3" s="288" t="s">
        <v>107</v>
      </c>
      <c r="S3" s="288"/>
      <c r="T3" s="288"/>
      <c r="U3" s="288"/>
      <c r="V3" s="288"/>
      <c r="W3" s="276" t="s">
        <v>108</v>
      </c>
      <c r="X3" s="276"/>
      <c r="Y3" s="276"/>
      <c r="Z3" s="276"/>
      <c r="AA3" s="276"/>
      <c r="AB3" s="116"/>
      <c r="AC3" s="116"/>
      <c r="AD3" s="277" t="s">
        <v>109</v>
      </c>
      <c r="AE3" s="277"/>
      <c r="AF3" s="277"/>
      <c r="AG3" s="277"/>
      <c r="AH3" s="277"/>
      <c r="AI3" s="277"/>
      <c r="AJ3" s="117" t="s">
        <v>110</v>
      </c>
    </row>
    <row r="4" spans="1:36" s="119" customFormat="1" ht="23.25" customHeight="1">
      <c r="A4" s="118" t="s">
        <v>293</v>
      </c>
      <c r="B4" s="118"/>
      <c r="J4" s="120"/>
      <c r="M4" s="120"/>
      <c r="N4" s="120"/>
      <c r="P4" s="118"/>
      <c r="Q4" s="118"/>
      <c r="U4" s="118"/>
      <c r="V4" s="121"/>
      <c r="W4" s="121"/>
      <c r="X4" s="121"/>
      <c r="Y4" s="118"/>
      <c r="Z4" s="118"/>
      <c r="AA4" s="121"/>
      <c r="AB4" s="118"/>
      <c r="AC4" s="118"/>
      <c r="AD4" s="121"/>
      <c r="AE4" s="121"/>
      <c r="AF4" s="121"/>
      <c r="AG4" s="121"/>
      <c r="AH4" s="118"/>
      <c r="AI4" s="118"/>
      <c r="AJ4" s="122"/>
    </row>
    <row r="5" spans="1:57" s="135" customFormat="1" ht="24.75" customHeight="1">
      <c r="A5" s="123" t="s">
        <v>95</v>
      </c>
      <c r="B5" s="124" t="s">
        <v>5</v>
      </c>
      <c r="C5" s="124" t="s">
        <v>7</v>
      </c>
      <c r="D5" s="124" t="s">
        <v>4</v>
      </c>
      <c r="E5" s="124"/>
      <c r="F5" s="124" t="s">
        <v>62</v>
      </c>
      <c r="G5" s="124" t="s">
        <v>1</v>
      </c>
      <c r="H5" s="124" t="s">
        <v>0</v>
      </c>
      <c r="I5" s="123" t="s">
        <v>294</v>
      </c>
      <c r="J5" s="125" t="s">
        <v>295</v>
      </c>
      <c r="K5" s="124" t="s">
        <v>71</v>
      </c>
      <c r="L5" s="124" t="s">
        <v>8</v>
      </c>
      <c r="M5" s="125" t="s">
        <v>83</v>
      </c>
      <c r="N5" s="126" t="s">
        <v>296</v>
      </c>
      <c r="O5" s="127" t="s">
        <v>297</v>
      </c>
      <c r="P5" s="127" t="s">
        <v>93</v>
      </c>
      <c r="Q5" s="127" t="s">
        <v>69</v>
      </c>
      <c r="R5" s="128" t="s">
        <v>3</v>
      </c>
      <c r="S5" s="128" t="s">
        <v>2</v>
      </c>
      <c r="T5" s="128" t="s">
        <v>103</v>
      </c>
      <c r="U5" s="128" t="s">
        <v>12</v>
      </c>
      <c r="V5" s="129" t="s">
        <v>38</v>
      </c>
      <c r="W5" s="130" t="s">
        <v>298</v>
      </c>
      <c r="X5" s="130" t="s">
        <v>299</v>
      </c>
      <c r="Y5" s="131" t="s">
        <v>300</v>
      </c>
      <c r="Z5" s="131" t="s">
        <v>70</v>
      </c>
      <c r="AA5" s="130" t="s">
        <v>104</v>
      </c>
      <c r="AB5" s="132" t="s">
        <v>72</v>
      </c>
      <c r="AC5" s="132" t="s">
        <v>73</v>
      </c>
      <c r="AD5" s="133" t="s">
        <v>74</v>
      </c>
      <c r="AE5" s="133" t="s">
        <v>301</v>
      </c>
      <c r="AF5" s="133" t="s">
        <v>302</v>
      </c>
      <c r="AG5" s="133" t="s">
        <v>303</v>
      </c>
      <c r="AH5" s="132" t="s">
        <v>304</v>
      </c>
      <c r="AI5" s="132" t="s">
        <v>305</v>
      </c>
      <c r="AJ5" s="134" t="s">
        <v>85</v>
      </c>
      <c r="AR5" s="135" t="s">
        <v>6</v>
      </c>
      <c r="AX5" s="135" t="s">
        <v>9</v>
      </c>
      <c r="BE5" s="136" t="s">
        <v>294</v>
      </c>
    </row>
    <row r="6" spans="1:57" ht="26">
      <c r="A6" s="137"/>
      <c r="B6" s="137"/>
      <c r="C6" s="137"/>
      <c r="D6" s="137"/>
      <c r="E6" s="137"/>
      <c r="F6" s="137"/>
      <c r="G6" s="137"/>
      <c r="H6" s="138" t="s">
        <v>86</v>
      </c>
      <c r="I6" s="137"/>
      <c r="J6" s="139"/>
      <c r="K6" s="138" t="s">
        <v>86</v>
      </c>
      <c r="L6" s="137"/>
      <c r="M6" s="140"/>
      <c r="N6" s="141" t="s">
        <v>94</v>
      </c>
      <c r="O6" s="142" t="s">
        <v>86</v>
      </c>
      <c r="P6" s="142" t="s">
        <v>87</v>
      </c>
      <c r="Q6" s="143"/>
      <c r="R6" s="37"/>
      <c r="S6" s="37"/>
      <c r="T6" s="144" t="s">
        <v>86</v>
      </c>
      <c r="U6" s="145" t="s">
        <v>87</v>
      </c>
      <c r="V6" s="146" t="s">
        <v>87</v>
      </c>
      <c r="W6" s="147"/>
      <c r="X6" s="148" t="s">
        <v>87</v>
      </c>
      <c r="Y6" s="149" t="s">
        <v>87</v>
      </c>
      <c r="Z6" s="150"/>
      <c r="AA6" s="148" t="s">
        <v>87</v>
      </c>
      <c r="AB6" s="151"/>
      <c r="AC6" s="152" t="s">
        <v>87</v>
      </c>
      <c r="AD6" s="153"/>
      <c r="AE6" s="153"/>
      <c r="AF6" s="153"/>
      <c r="AG6" s="154" t="s">
        <v>87</v>
      </c>
      <c r="AH6" s="152" t="s">
        <v>87</v>
      </c>
      <c r="AI6" s="151"/>
      <c r="AJ6" s="117"/>
      <c r="BE6" s="155"/>
    </row>
    <row r="7" spans="1:57" ht="31.5" customHeight="1">
      <c r="A7" s="137"/>
      <c r="B7" s="137"/>
      <c r="C7" s="137"/>
      <c r="D7" s="137"/>
      <c r="E7" s="137"/>
      <c r="F7" s="36" t="s">
        <v>100</v>
      </c>
      <c r="G7" s="137"/>
      <c r="H7" s="137"/>
      <c r="I7" s="137"/>
      <c r="J7" s="156" t="s">
        <v>101</v>
      </c>
      <c r="K7" s="157" t="s">
        <v>75</v>
      </c>
      <c r="L7" s="158" t="s">
        <v>102</v>
      </c>
      <c r="M7" s="158" t="s">
        <v>102</v>
      </c>
      <c r="N7" s="159"/>
      <c r="O7" s="143" t="s">
        <v>306</v>
      </c>
      <c r="P7" s="143"/>
      <c r="Q7" s="143"/>
      <c r="R7" s="37"/>
      <c r="S7" s="37"/>
      <c r="T7" s="37"/>
      <c r="U7" s="37"/>
      <c r="V7" s="160"/>
      <c r="W7" s="38" t="s">
        <v>36</v>
      </c>
      <c r="X7" s="161" t="s">
        <v>37</v>
      </c>
      <c r="Y7" s="162" t="s">
        <v>30</v>
      </c>
      <c r="Z7" s="163" t="s">
        <v>31</v>
      </c>
      <c r="AA7" s="161" t="s">
        <v>37</v>
      </c>
      <c r="AB7" s="32"/>
      <c r="AC7" s="32"/>
      <c r="AD7" s="34"/>
      <c r="AE7" s="34" t="s">
        <v>32</v>
      </c>
      <c r="AF7" s="34" t="s">
        <v>32</v>
      </c>
      <c r="AG7" s="34" t="s">
        <v>99</v>
      </c>
      <c r="AH7" s="32" t="s">
        <v>32</v>
      </c>
      <c r="AI7" s="32" t="s">
        <v>31</v>
      </c>
      <c r="AJ7" s="117"/>
      <c r="BE7" s="155"/>
    </row>
    <row r="8" spans="1:57" ht="21.75" customHeight="1">
      <c r="A8" s="39"/>
      <c r="B8" s="43" t="s">
        <v>112</v>
      </c>
      <c r="C8" s="43"/>
      <c r="D8" s="43" t="s">
        <v>133</v>
      </c>
      <c r="E8" s="40" t="s">
        <v>190</v>
      </c>
      <c r="F8" s="43" t="s">
        <v>58</v>
      </c>
      <c r="G8" s="43" t="s">
        <v>166</v>
      </c>
      <c r="H8" s="43" t="s">
        <v>254</v>
      </c>
      <c r="I8" s="45">
        <v>291000</v>
      </c>
      <c r="J8" s="45"/>
      <c r="K8" s="43" t="s">
        <v>183</v>
      </c>
      <c r="L8" s="43" t="s">
        <v>35</v>
      </c>
      <c r="M8" s="43"/>
      <c r="N8" s="51"/>
      <c r="O8" s="63" t="s">
        <v>307</v>
      </c>
      <c r="P8" s="41">
        <v>0</v>
      </c>
      <c r="Q8" s="40" t="s">
        <v>308</v>
      </c>
      <c r="R8" s="52" t="s">
        <v>307</v>
      </c>
      <c r="S8" s="52" t="s">
        <v>307</v>
      </c>
      <c r="T8" s="52" t="s">
        <v>307</v>
      </c>
      <c r="U8" s="53">
        <v>0</v>
      </c>
      <c r="V8" s="53">
        <v>0</v>
      </c>
      <c r="W8" s="54">
        <v>0</v>
      </c>
      <c r="X8" s="38">
        <v>0</v>
      </c>
      <c r="Y8" s="38">
        <v>0</v>
      </c>
      <c r="Z8" s="55">
        <f>+AA8-W8-X8+Y8</f>
        <v>0</v>
      </c>
      <c r="AA8" s="38">
        <v>0</v>
      </c>
      <c r="AB8" s="56"/>
      <c r="AC8" s="34">
        <v>0</v>
      </c>
      <c r="AD8" s="34">
        <v>0</v>
      </c>
      <c r="AE8" s="34">
        <v>0</v>
      </c>
      <c r="AF8" s="57">
        <v>0</v>
      </c>
      <c r="AG8" s="34">
        <v>0</v>
      </c>
      <c r="AH8" s="34">
        <v>0</v>
      </c>
      <c r="AI8" s="58">
        <f>+AF8+AG8-AH8</f>
        <v>0</v>
      </c>
      <c r="AJ8" s="31" t="s">
        <v>309</v>
      </c>
      <c r="AQ8" s="47" t="s">
        <v>13</v>
      </c>
      <c r="AR8" s="47"/>
      <c r="AS8" s="47"/>
      <c r="AT8" s="47"/>
      <c r="AU8" s="47"/>
      <c r="AV8" s="47"/>
      <c r="AW8" s="47" t="s">
        <v>41</v>
      </c>
      <c r="AX8" s="47"/>
      <c r="BE8" s="112">
        <v>291000</v>
      </c>
    </row>
    <row r="9" spans="1:57" ht="21.75" customHeight="1">
      <c r="A9" s="39"/>
      <c r="B9" s="43" t="s">
        <v>112</v>
      </c>
      <c r="C9" s="43" t="s">
        <v>310</v>
      </c>
      <c r="D9" s="43" t="s">
        <v>311</v>
      </c>
      <c r="E9" s="40" t="s">
        <v>191</v>
      </c>
      <c r="F9" s="43" t="s">
        <v>59</v>
      </c>
      <c r="G9" s="43" t="s">
        <v>166</v>
      </c>
      <c r="H9" s="43" t="s">
        <v>254</v>
      </c>
      <c r="I9" s="45">
        <v>117782.6</v>
      </c>
      <c r="J9" s="45"/>
      <c r="K9" s="43" t="s">
        <v>273</v>
      </c>
      <c r="L9" s="43" t="s">
        <v>35</v>
      </c>
      <c r="M9" s="43"/>
      <c r="N9" s="51"/>
      <c r="O9" s="63" t="s">
        <v>307</v>
      </c>
      <c r="P9" s="41">
        <v>0</v>
      </c>
      <c r="Q9" s="40"/>
      <c r="R9" s="52" t="s">
        <v>307</v>
      </c>
      <c r="S9" s="52" t="s">
        <v>307</v>
      </c>
      <c r="T9" s="52" t="s">
        <v>307</v>
      </c>
      <c r="U9" s="53">
        <v>0</v>
      </c>
      <c r="V9" s="53">
        <v>0</v>
      </c>
      <c r="W9" s="54">
        <v>0</v>
      </c>
      <c r="X9" s="38">
        <v>0</v>
      </c>
      <c r="Y9" s="38">
        <v>0</v>
      </c>
      <c r="Z9" s="55">
        <f aca="true" t="shared" si="0" ref="Z9:Z74">+AA9-W9-X9+Y9</f>
        <v>0</v>
      </c>
      <c r="AA9" s="38">
        <v>0</v>
      </c>
      <c r="AB9" s="56"/>
      <c r="AC9" s="34">
        <v>0</v>
      </c>
      <c r="AD9" s="34">
        <v>0</v>
      </c>
      <c r="AE9" s="34">
        <v>0</v>
      </c>
      <c r="AF9" s="57">
        <v>0</v>
      </c>
      <c r="AG9" s="34">
        <v>0</v>
      </c>
      <c r="AH9" s="34">
        <v>0</v>
      </c>
      <c r="AI9" s="58">
        <f aca="true" t="shared" si="1" ref="AI9:AI72">+AF9+AG9-AH9</f>
        <v>0</v>
      </c>
      <c r="AJ9" s="31" t="s">
        <v>312</v>
      </c>
      <c r="AL9" s="39" t="s">
        <v>313</v>
      </c>
      <c r="AO9" s="39" t="s">
        <v>9</v>
      </c>
      <c r="AP9" s="39" t="s">
        <v>314</v>
      </c>
      <c r="AQ9" s="47"/>
      <c r="AR9" s="47"/>
      <c r="AS9" s="47"/>
      <c r="AT9" s="47"/>
      <c r="AU9" s="47"/>
      <c r="AV9" s="47"/>
      <c r="AW9" s="47" t="s">
        <v>315</v>
      </c>
      <c r="AX9" s="47"/>
      <c r="BE9" s="112">
        <v>118000</v>
      </c>
    </row>
    <row r="10" spans="1:57" ht="21.75" customHeight="1">
      <c r="A10" s="39"/>
      <c r="B10" s="43" t="s">
        <v>112</v>
      </c>
      <c r="C10" s="43" t="s">
        <v>113</v>
      </c>
      <c r="D10" s="43" t="s">
        <v>134</v>
      </c>
      <c r="E10" s="40" t="s">
        <v>192</v>
      </c>
      <c r="F10" s="43" t="s">
        <v>63</v>
      </c>
      <c r="G10" s="43" t="s">
        <v>166</v>
      </c>
      <c r="H10" s="43" t="s">
        <v>254</v>
      </c>
      <c r="I10" s="45">
        <v>11000000</v>
      </c>
      <c r="J10" s="45">
        <v>11530673</v>
      </c>
      <c r="K10" s="43" t="s">
        <v>271</v>
      </c>
      <c r="L10" s="43" t="s">
        <v>35</v>
      </c>
      <c r="M10" s="43" t="s">
        <v>315</v>
      </c>
      <c r="N10" s="51">
        <v>540000</v>
      </c>
      <c r="O10" s="143" t="s">
        <v>316</v>
      </c>
      <c r="P10" s="42">
        <v>610756.4</v>
      </c>
      <c r="Q10" s="40" t="s">
        <v>317</v>
      </c>
      <c r="R10" s="52" t="s">
        <v>307</v>
      </c>
      <c r="S10" s="52" t="s">
        <v>307</v>
      </c>
      <c r="T10" s="52" t="s">
        <v>307</v>
      </c>
      <c r="U10" s="53">
        <v>0</v>
      </c>
      <c r="V10" s="53">
        <v>0</v>
      </c>
      <c r="W10" s="54">
        <v>0</v>
      </c>
      <c r="X10" s="38">
        <v>0</v>
      </c>
      <c r="Y10" s="38">
        <v>0</v>
      </c>
      <c r="Z10" s="55">
        <f t="shared" si="0"/>
        <v>0</v>
      </c>
      <c r="AA10" s="38">
        <v>0</v>
      </c>
      <c r="AB10" s="56"/>
      <c r="AC10" s="34">
        <v>0</v>
      </c>
      <c r="AD10" s="34">
        <v>0</v>
      </c>
      <c r="AE10" s="34">
        <v>0</v>
      </c>
      <c r="AF10" s="57">
        <v>0</v>
      </c>
      <c r="AG10" s="34">
        <v>0</v>
      </c>
      <c r="AH10" s="34">
        <v>0</v>
      </c>
      <c r="AI10" s="58">
        <f t="shared" si="1"/>
        <v>0</v>
      </c>
      <c r="AJ10" s="31" t="s">
        <v>318</v>
      </c>
      <c r="AL10" s="39" t="s">
        <v>58</v>
      </c>
      <c r="AO10" s="39" t="s">
        <v>64</v>
      </c>
      <c r="AP10" s="39" t="s">
        <v>65</v>
      </c>
      <c r="AQ10" s="47"/>
      <c r="AR10" s="47"/>
      <c r="AS10" s="47"/>
      <c r="AT10" s="47"/>
      <c r="AU10" s="47"/>
      <c r="AV10" s="47"/>
      <c r="AW10" s="47" t="s">
        <v>40</v>
      </c>
      <c r="AX10" s="47"/>
      <c r="BE10" s="112">
        <v>12000000</v>
      </c>
    </row>
    <row r="11" spans="1:57" ht="21.75" customHeight="1">
      <c r="A11" s="39"/>
      <c r="B11" s="43" t="s">
        <v>112</v>
      </c>
      <c r="C11" s="43" t="s">
        <v>114</v>
      </c>
      <c r="D11" s="43" t="s">
        <v>135</v>
      </c>
      <c r="E11" s="40" t="s">
        <v>193</v>
      </c>
      <c r="F11" s="43" t="s">
        <v>63</v>
      </c>
      <c r="G11" s="43" t="s">
        <v>166</v>
      </c>
      <c r="H11" s="43" t="s">
        <v>255</v>
      </c>
      <c r="I11" s="45">
        <v>3458099</v>
      </c>
      <c r="J11" s="45">
        <v>3458099</v>
      </c>
      <c r="K11" s="43" t="s">
        <v>272</v>
      </c>
      <c r="L11" s="43" t="s">
        <v>35</v>
      </c>
      <c r="M11" s="43" t="s">
        <v>315</v>
      </c>
      <c r="N11" s="51">
        <v>229041.33</v>
      </c>
      <c r="O11" s="143" t="s">
        <v>316</v>
      </c>
      <c r="P11" s="42">
        <f>161593+31025926/B153</f>
        <v>228189.38962823045</v>
      </c>
      <c r="Q11" s="40" t="s">
        <v>319</v>
      </c>
      <c r="R11" s="52" t="s">
        <v>307</v>
      </c>
      <c r="S11" s="52" t="s">
        <v>307</v>
      </c>
      <c r="T11" s="52" t="s">
        <v>307</v>
      </c>
      <c r="U11" s="53">
        <v>0</v>
      </c>
      <c r="V11" s="53">
        <v>0</v>
      </c>
      <c r="W11" s="54">
        <v>0</v>
      </c>
      <c r="X11" s="38">
        <v>0</v>
      </c>
      <c r="Y11" s="38">
        <v>0</v>
      </c>
      <c r="Z11" s="55">
        <f t="shared" si="0"/>
        <v>0</v>
      </c>
      <c r="AA11" s="38">
        <v>0</v>
      </c>
      <c r="AB11" s="56"/>
      <c r="AC11" s="34">
        <v>0</v>
      </c>
      <c r="AD11" s="34">
        <v>0</v>
      </c>
      <c r="AE11" s="34">
        <v>0</v>
      </c>
      <c r="AF11" s="57">
        <v>0</v>
      </c>
      <c r="AG11" s="34">
        <v>0</v>
      </c>
      <c r="AH11" s="34">
        <v>0</v>
      </c>
      <c r="AI11" s="58">
        <f t="shared" si="1"/>
        <v>0</v>
      </c>
      <c r="AJ11" s="31" t="s">
        <v>320</v>
      </c>
      <c r="AL11" s="39" t="s">
        <v>59</v>
      </c>
      <c r="AO11" s="39" t="s">
        <v>11</v>
      </c>
      <c r="AP11" s="39" t="s">
        <v>66</v>
      </c>
      <c r="AQ11" s="47"/>
      <c r="AR11" s="47"/>
      <c r="AS11" s="47"/>
      <c r="AT11" s="47"/>
      <c r="AU11" s="47"/>
      <c r="AV11" s="47"/>
      <c r="AW11" s="47" t="s">
        <v>39</v>
      </c>
      <c r="AX11" s="47"/>
      <c r="BE11" s="112">
        <v>3590000</v>
      </c>
    </row>
    <row r="12" spans="1:57" ht="21.75" customHeight="1">
      <c r="A12" s="39"/>
      <c r="B12" s="43" t="s">
        <v>112</v>
      </c>
      <c r="C12" s="43"/>
      <c r="D12" s="43" t="s">
        <v>321</v>
      </c>
      <c r="E12" s="40" t="s">
        <v>194</v>
      </c>
      <c r="F12" s="157" t="s">
        <v>60</v>
      </c>
      <c r="G12" s="43" t="s">
        <v>166</v>
      </c>
      <c r="H12" s="46" t="s">
        <v>322</v>
      </c>
      <c r="I12" s="45">
        <v>175000</v>
      </c>
      <c r="J12" s="45"/>
      <c r="K12" s="43" t="s">
        <v>273</v>
      </c>
      <c r="L12" s="43" t="s">
        <v>35</v>
      </c>
      <c r="M12" s="43"/>
      <c r="N12" s="51"/>
      <c r="O12" s="63" t="s">
        <v>307</v>
      </c>
      <c r="P12" s="41">
        <v>0</v>
      </c>
      <c r="Q12" s="40"/>
      <c r="R12" s="52" t="s">
        <v>307</v>
      </c>
      <c r="S12" s="52" t="s">
        <v>307</v>
      </c>
      <c r="T12" s="52" t="s">
        <v>307</v>
      </c>
      <c r="U12" s="53">
        <v>0</v>
      </c>
      <c r="V12" s="53">
        <v>0</v>
      </c>
      <c r="W12" s="54">
        <v>0</v>
      </c>
      <c r="X12" s="38">
        <v>0</v>
      </c>
      <c r="Y12" s="38">
        <v>0</v>
      </c>
      <c r="Z12" s="55">
        <f t="shared" si="0"/>
        <v>0</v>
      </c>
      <c r="AA12" s="38">
        <v>0</v>
      </c>
      <c r="AB12" s="56"/>
      <c r="AC12" s="34">
        <v>0</v>
      </c>
      <c r="AD12" s="34">
        <v>0</v>
      </c>
      <c r="AE12" s="34">
        <v>0</v>
      </c>
      <c r="AF12" s="57">
        <v>0</v>
      </c>
      <c r="AG12" s="34">
        <v>0</v>
      </c>
      <c r="AH12" s="34">
        <v>0</v>
      </c>
      <c r="AI12" s="58">
        <f t="shared" si="1"/>
        <v>0</v>
      </c>
      <c r="AJ12" s="31"/>
      <c r="AL12" s="39" t="s">
        <v>60</v>
      </c>
      <c r="AO12" s="39" t="s">
        <v>10</v>
      </c>
      <c r="AP12" s="39" t="s">
        <v>323</v>
      </c>
      <c r="AQ12" s="47"/>
      <c r="AR12" s="47"/>
      <c r="AS12" s="47"/>
      <c r="AT12" s="47"/>
      <c r="AU12" s="47"/>
      <c r="AV12" s="47"/>
      <c r="AW12" s="47" t="s">
        <v>324</v>
      </c>
      <c r="AX12" s="47"/>
      <c r="BE12" s="112">
        <v>175000</v>
      </c>
    </row>
    <row r="13" spans="1:57" ht="28.5" customHeight="1">
      <c r="A13" s="39"/>
      <c r="B13" s="43" t="s">
        <v>112</v>
      </c>
      <c r="C13" s="43" t="s">
        <v>115</v>
      </c>
      <c r="D13" s="43" t="s">
        <v>136</v>
      </c>
      <c r="E13" s="40" t="s">
        <v>195</v>
      </c>
      <c r="F13" s="43" t="s">
        <v>63</v>
      </c>
      <c r="G13" s="43" t="s">
        <v>166</v>
      </c>
      <c r="H13" s="43" t="s">
        <v>256</v>
      </c>
      <c r="I13" s="45">
        <v>250240.86</v>
      </c>
      <c r="J13" s="45">
        <v>250240.86</v>
      </c>
      <c r="K13" s="43" t="s">
        <v>273</v>
      </c>
      <c r="L13" s="43" t="s">
        <v>35</v>
      </c>
      <c r="M13" s="43" t="s">
        <v>41</v>
      </c>
      <c r="N13" s="51"/>
      <c r="O13" s="63" t="s">
        <v>307</v>
      </c>
      <c r="P13" s="42">
        <v>0</v>
      </c>
      <c r="Q13" s="41"/>
      <c r="R13" s="52" t="s">
        <v>325</v>
      </c>
      <c r="S13" s="86">
        <v>40788</v>
      </c>
      <c r="T13" s="87" t="s">
        <v>326</v>
      </c>
      <c r="U13" s="53">
        <f>(11511000+17266620)/B153</f>
        <v>61770.455911393496</v>
      </c>
      <c r="V13" s="53">
        <f>U13</f>
        <v>61770.455911393496</v>
      </c>
      <c r="W13" s="54">
        <v>0</v>
      </c>
      <c r="X13" s="38">
        <v>0</v>
      </c>
      <c r="Y13" s="38">
        <v>0</v>
      </c>
      <c r="Z13" s="55">
        <f t="shared" si="0"/>
        <v>0</v>
      </c>
      <c r="AA13" s="38">
        <v>0</v>
      </c>
      <c r="AB13" s="56"/>
      <c r="AC13" s="34">
        <v>0</v>
      </c>
      <c r="AD13" s="34">
        <v>0</v>
      </c>
      <c r="AE13" s="34">
        <v>0</v>
      </c>
      <c r="AF13" s="57">
        <v>0</v>
      </c>
      <c r="AG13" s="34">
        <v>0</v>
      </c>
      <c r="AH13" s="34">
        <v>0</v>
      </c>
      <c r="AI13" s="58">
        <f t="shared" si="1"/>
        <v>0</v>
      </c>
      <c r="AJ13" s="31" t="s">
        <v>327</v>
      </c>
      <c r="AL13" s="39" t="s">
        <v>61</v>
      </c>
      <c r="AP13" s="39" t="s">
        <v>68</v>
      </c>
      <c r="AQ13" s="47"/>
      <c r="AR13" s="47"/>
      <c r="AS13" s="47"/>
      <c r="AT13" s="47"/>
      <c r="AU13" s="47"/>
      <c r="AV13" s="47"/>
      <c r="AW13" s="47"/>
      <c r="AX13" s="47"/>
      <c r="BE13" s="112">
        <v>776166</v>
      </c>
    </row>
    <row r="14" spans="1:57" ht="21.75" customHeight="1">
      <c r="A14" s="39"/>
      <c r="B14" s="43" t="s">
        <v>112</v>
      </c>
      <c r="C14" s="43" t="s">
        <v>116</v>
      </c>
      <c r="D14" s="43" t="s">
        <v>137</v>
      </c>
      <c r="E14" s="40" t="s">
        <v>196</v>
      </c>
      <c r="F14" s="43" t="s">
        <v>63</v>
      </c>
      <c r="G14" s="43" t="s">
        <v>166</v>
      </c>
      <c r="H14" s="43" t="s">
        <v>256</v>
      </c>
      <c r="I14" s="45">
        <v>456408.16</v>
      </c>
      <c r="J14" s="45">
        <v>456408.16</v>
      </c>
      <c r="K14" s="43" t="s">
        <v>273</v>
      </c>
      <c r="L14" s="43" t="s">
        <v>35</v>
      </c>
      <c r="M14" s="43" t="s">
        <v>41</v>
      </c>
      <c r="N14" s="51"/>
      <c r="O14" s="63" t="s">
        <v>307</v>
      </c>
      <c r="P14" s="42">
        <v>0</v>
      </c>
      <c r="Q14" s="41"/>
      <c r="R14" s="52" t="s">
        <v>328</v>
      </c>
      <c r="S14" s="86">
        <v>40816</v>
      </c>
      <c r="T14" s="88">
        <v>40787</v>
      </c>
      <c r="U14" s="53">
        <f>20994776/B153</f>
        <v>45064.77204430325</v>
      </c>
      <c r="V14" s="53">
        <f>U14</f>
        <v>45064.77204430325</v>
      </c>
      <c r="W14" s="54">
        <v>0</v>
      </c>
      <c r="X14" s="38">
        <v>0</v>
      </c>
      <c r="Y14" s="38">
        <v>0</v>
      </c>
      <c r="Z14" s="55">
        <f t="shared" si="0"/>
        <v>0</v>
      </c>
      <c r="AA14" s="38">
        <v>0</v>
      </c>
      <c r="AB14" s="56"/>
      <c r="AC14" s="34">
        <v>0</v>
      </c>
      <c r="AD14" s="34">
        <v>0</v>
      </c>
      <c r="AE14" s="34">
        <v>0</v>
      </c>
      <c r="AF14" s="57">
        <v>0</v>
      </c>
      <c r="AG14" s="34">
        <v>0</v>
      </c>
      <c r="AH14" s="34">
        <v>0</v>
      </c>
      <c r="AI14" s="58">
        <f t="shared" si="1"/>
        <v>0</v>
      </c>
      <c r="AJ14" s="31" t="s">
        <v>329</v>
      </c>
      <c r="AL14" s="39" t="s">
        <v>63</v>
      </c>
      <c r="AP14" s="39" t="s">
        <v>67</v>
      </c>
      <c r="AQ14" s="47"/>
      <c r="AR14" s="47"/>
      <c r="AS14" s="47"/>
      <c r="AT14" s="47"/>
      <c r="AU14" s="47"/>
      <c r="AV14" s="47"/>
      <c r="AW14" s="47"/>
      <c r="AX14" s="47"/>
      <c r="BE14" s="112">
        <v>776165</v>
      </c>
    </row>
    <row r="15" spans="1:57" ht="21.75" customHeight="1">
      <c r="A15" s="39"/>
      <c r="B15" s="43" t="s">
        <v>112</v>
      </c>
      <c r="C15" s="43" t="s">
        <v>117</v>
      </c>
      <c r="D15" s="43" t="s">
        <v>138</v>
      </c>
      <c r="E15" s="40" t="s">
        <v>197</v>
      </c>
      <c r="F15" s="43" t="s">
        <v>63</v>
      </c>
      <c r="G15" s="43" t="s">
        <v>166</v>
      </c>
      <c r="H15" s="43" t="s">
        <v>255</v>
      </c>
      <c r="I15" s="45">
        <v>77675603</v>
      </c>
      <c r="J15" s="45">
        <v>87782070.01956522</v>
      </c>
      <c r="K15" s="43" t="s">
        <v>273</v>
      </c>
      <c r="L15" s="43" t="s">
        <v>35</v>
      </c>
      <c r="M15" s="43" t="s">
        <v>324</v>
      </c>
      <c r="N15" s="51">
        <v>3411770.6612</v>
      </c>
      <c r="O15" s="143" t="s">
        <v>330</v>
      </c>
      <c r="P15" s="42">
        <f>(41390716776-(39374703219-27378920))/B153-(95386320/B153)-V15</f>
        <v>2612630.688160041</v>
      </c>
      <c r="Q15" s="40" t="s">
        <v>331</v>
      </c>
      <c r="R15" s="52" t="s">
        <v>332</v>
      </c>
      <c r="S15" s="86">
        <v>40791</v>
      </c>
      <c r="T15" s="88">
        <v>40787</v>
      </c>
      <c r="U15" s="53">
        <f>730833772/B153</f>
        <v>1568716.7768524084</v>
      </c>
      <c r="V15" s="53">
        <f>U15</f>
        <v>1568716.7768524084</v>
      </c>
      <c r="W15" s="89">
        <f>85048286/469.39</f>
        <v>181188.96013975586</v>
      </c>
      <c r="X15" s="38">
        <f>-85048286/B153</f>
        <v>-182554.0611316219</v>
      </c>
      <c r="Y15" s="38">
        <v>0</v>
      </c>
      <c r="Z15" s="55">
        <f t="shared" si="0"/>
        <v>1365.1009918660275</v>
      </c>
      <c r="AA15" s="38">
        <v>0</v>
      </c>
      <c r="AB15" s="56">
        <v>40045</v>
      </c>
      <c r="AC15" s="34">
        <f>3573077726/456.08</f>
        <v>7834322.325030697</v>
      </c>
      <c r="AD15" s="34">
        <v>456.08</v>
      </c>
      <c r="AE15" s="34">
        <f>3619276201/AD15</f>
        <v>7935616.999210665</v>
      </c>
      <c r="AF15" s="115">
        <f>+AC15-AE15</f>
        <v>-101294.67417996842</v>
      </c>
      <c r="AG15" s="34">
        <v>0</v>
      </c>
      <c r="AH15" s="34">
        <f>-46198475/456.08</f>
        <v>-101294.67417996842</v>
      </c>
      <c r="AI15" s="58">
        <f t="shared" si="1"/>
        <v>0</v>
      </c>
      <c r="AJ15" s="31" t="s">
        <v>333</v>
      </c>
      <c r="AQ15" s="47"/>
      <c r="AR15" s="47"/>
      <c r="AS15" s="47"/>
      <c r="AT15" s="47"/>
      <c r="AU15" s="47"/>
      <c r="AV15" s="47"/>
      <c r="AW15" s="47"/>
      <c r="AX15" s="47"/>
      <c r="BE15" s="112">
        <v>53000000</v>
      </c>
    </row>
    <row r="16" spans="1:57" ht="21.75" customHeight="1">
      <c r="A16" s="39"/>
      <c r="B16" s="43" t="s">
        <v>112</v>
      </c>
      <c r="C16" s="43" t="s">
        <v>118</v>
      </c>
      <c r="D16" s="43" t="s">
        <v>139</v>
      </c>
      <c r="E16" s="40" t="s">
        <v>198</v>
      </c>
      <c r="F16" s="43" t="s">
        <v>63</v>
      </c>
      <c r="G16" s="43" t="s">
        <v>166</v>
      </c>
      <c r="H16" s="43" t="s">
        <v>256</v>
      </c>
      <c r="I16" s="45">
        <v>5320000</v>
      </c>
      <c r="J16" s="45">
        <v>5676426.915217391</v>
      </c>
      <c r="K16" s="43" t="s">
        <v>273</v>
      </c>
      <c r="L16" s="43" t="s">
        <v>35</v>
      </c>
      <c r="M16" s="43" t="s">
        <v>324</v>
      </c>
      <c r="N16" s="51"/>
      <c r="O16" s="143" t="s">
        <v>316</v>
      </c>
      <c r="P16" s="42">
        <f>300000*2/B153</f>
        <v>1287.8852923499614</v>
      </c>
      <c r="Q16" s="40" t="s">
        <v>319</v>
      </c>
      <c r="R16" s="52" t="s">
        <v>307</v>
      </c>
      <c r="S16" s="52" t="s">
        <v>307</v>
      </c>
      <c r="T16" s="52" t="s">
        <v>307</v>
      </c>
      <c r="U16" s="53">
        <v>0</v>
      </c>
      <c r="V16" s="53">
        <v>0</v>
      </c>
      <c r="W16" s="89">
        <f>250104480/469.39</f>
        <v>532828.7351669188</v>
      </c>
      <c r="X16" s="38">
        <f>10636180/465.88</f>
        <v>22830.29964797802</v>
      </c>
      <c r="Y16" s="38">
        <v>0</v>
      </c>
      <c r="Z16" s="55">
        <f t="shared" si="0"/>
        <v>4014.4004044729736</v>
      </c>
      <c r="AA16" s="38">
        <f>260740660/B153</f>
        <v>559673.4352193698</v>
      </c>
      <c r="AB16" s="56">
        <v>40275</v>
      </c>
      <c r="AC16" s="34">
        <f>239404236/AD16</f>
        <v>493555.9229786006</v>
      </c>
      <c r="AD16" s="34">
        <v>485.06</v>
      </c>
      <c r="AE16" s="34">
        <f>239404236/AD16</f>
        <v>493555.9229786006</v>
      </c>
      <c r="AF16" s="110">
        <f>+AC16-AE16</f>
        <v>0</v>
      </c>
      <c r="AG16" s="34">
        <v>0</v>
      </c>
      <c r="AH16" s="34">
        <v>0</v>
      </c>
      <c r="AI16" s="58">
        <f t="shared" si="1"/>
        <v>0</v>
      </c>
      <c r="AJ16" s="31" t="s">
        <v>334</v>
      </c>
      <c r="AQ16" s="47"/>
      <c r="AR16" s="47"/>
      <c r="AS16" s="47"/>
      <c r="AT16" s="47"/>
      <c r="AU16" s="47"/>
      <c r="AV16" s="47"/>
      <c r="AW16" s="47"/>
      <c r="AX16" s="47"/>
      <c r="BE16" s="112">
        <v>4910000</v>
      </c>
    </row>
    <row r="17" spans="1:57" ht="21.75" customHeight="1">
      <c r="A17" s="39"/>
      <c r="B17" s="43" t="s">
        <v>112</v>
      </c>
      <c r="C17" s="43"/>
      <c r="D17" s="43" t="s">
        <v>140</v>
      </c>
      <c r="E17" s="40" t="s">
        <v>199</v>
      </c>
      <c r="F17" s="43" t="s">
        <v>58</v>
      </c>
      <c r="G17" s="43" t="s">
        <v>166</v>
      </c>
      <c r="H17" s="43" t="s">
        <v>256</v>
      </c>
      <c r="I17" s="45">
        <v>1670000</v>
      </c>
      <c r="J17" s="45"/>
      <c r="K17" s="43" t="s">
        <v>273</v>
      </c>
      <c r="L17" s="43" t="s">
        <v>35</v>
      </c>
      <c r="M17" s="43"/>
      <c r="N17" s="59"/>
      <c r="O17" s="63" t="s">
        <v>307</v>
      </c>
      <c r="P17" s="42">
        <v>0</v>
      </c>
      <c r="Q17" s="40" t="s">
        <v>308</v>
      </c>
      <c r="R17" s="52" t="s">
        <v>307</v>
      </c>
      <c r="S17" s="52" t="s">
        <v>307</v>
      </c>
      <c r="T17" s="52" t="s">
        <v>307</v>
      </c>
      <c r="U17" s="53">
        <v>0</v>
      </c>
      <c r="V17" s="53">
        <v>0</v>
      </c>
      <c r="W17" s="60">
        <v>0</v>
      </c>
      <c r="X17" s="61">
        <v>0</v>
      </c>
      <c r="Y17" s="61">
        <v>0</v>
      </c>
      <c r="Z17" s="62">
        <f t="shared" si="0"/>
        <v>0</v>
      </c>
      <c r="AA17" s="61">
        <v>0</v>
      </c>
      <c r="AB17" s="56"/>
      <c r="AC17" s="34">
        <v>0</v>
      </c>
      <c r="AD17" s="34">
        <v>0</v>
      </c>
      <c r="AE17" s="34">
        <v>0</v>
      </c>
      <c r="AF17" s="57">
        <v>0</v>
      </c>
      <c r="AG17" s="34">
        <v>0</v>
      </c>
      <c r="AH17" s="34">
        <v>0</v>
      </c>
      <c r="AI17" s="58">
        <f t="shared" si="1"/>
        <v>0</v>
      </c>
      <c r="AJ17" s="31" t="s">
        <v>309</v>
      </c>
      <c r="AQ17" s="47"/>
      <c r="AR17" s="47"/>
      <c r="AS17" s="47"/>
      <c r="AT17" s="47"/>
      <c r="AU17" s="47"/>
      <c r="AV17" s="47"/>
      <c r="AW17" s="47"/>
      <c r="AX17" s="47"/>
      <c r="BE17" s="112">
        <v>1670000</v>
      </c>
    </row>
    <row r="18" spans="1:57" ht="21.75" customHeight="1">
      <c r="A18" s="39"/>
      <c r="B18" s="43" t="s">
        <v>112</v>
      </c>
      <c r="C18" s="43" t="s">
        <v>119</v>
      </c>
      <c r="D18" s="43" t="s">
        <v>141</v>
      </c>
      <c r="E18" s="40" t="s">
        <v>200</v>
      </c>
      <c r="F18" s="43" t="s">
        <v>63</v>
      </c>
      <c r="G18" s="43" t="s">
        <v>166</v>
      </c>
      <c r="H18" s="43" t="s">
        <v>256</v>
      </c>
      <c r="I18" s="45">
        <v>8001128.47</v>
      </c>
      <c r="J18" s="45">
        <v>8508542.469565216</v>
      </c>
      <c r="K18" s="43" t="s">
        <v>273</v>
      </c>
      <c r="L18" s="43" t="s">
        <v>35</v>
      </c>
      <c r="M18" s="43" t="s">
        <v>324</v>
      </c>
      <c r="N18" s="51"/>
      <c r="O18" s="143" t="s">
        <v>330</v>
      </c>
      <c r="P18" s="42">
        <f>1000000/B153</f>
        <v>2146.4754872499357</v>
      </c>
      <c r="Q18" s="40" t="s">
        <v>319</v>
      </c>
      <c r="R18" s="52" t="s">
        <v>307</v>
      </c>
      <c r="S18" s="52" t="s">
        <v>307</v>
      </c>
      <c r="T18" s="52" t="s">
        <v>307</v>
      </c>
      <c r="U18" s="53">
        <v>0</v>
      </c>
      <c r="V18" s="53">
        <v>0</v>
      </c>
      <c r="W18" s="90">
        <f>339975532/469.39</f>
        <v>724292.2346023562</v>
      </c>
      <c r="X18" s="61">
        <f>58745451/465.88</f>
        <v>126095.67055894222</v>
      </c>
      <c r="Y18" s="38">
        <v>0</v>
      </c>
      <c r="Z18" s="54">
        <f>+AA18-W18-X18+Y18</f>
        <v>-13861.368284849537</v>
      </c>
      <c r="AA18" s="38">
        <f>389720983/B153</f>
        <v>836526.5368764489</v>
      </c>
      <c r="AB18" s="56">
        <v>40337</v>
      </c>
      <c r="AC18" s="34">
        <f>540076172/AD18</f>
        <v>1036992.7075132967</v>
      </c>
      <c r="AD18" s="34">
        <v>520.81</v>
      </c>
      <c r="AE18" s="34">
        <f>540076172/AD18</f>
        <v>1036992.7075132967</v>
      </c>
      <c r="AF18" s="110">
        <f>+AC18-AE18</f>
        <v>0</v>
      </c>
      <c r="AG18" s="34">
        <v>0</v>
      </c>
      <c r="AH18" s="34">
        <v>0</v>
      </c>
      <c r="AI18" s="58">
        <f t="shared" si="1"/>
        <v>0</v>
      </c>
      <c r="AJ18" s="31" t="s">
        <v>334</v>
      </c>
      <c r="AQ18" s="47"/>
      <c r="AR18" s="47"/>
      <c r="AS18" s="47"/>
      <c r="AT18" s="47"/>
      <c r="AU18" s="47"/>
      <c r="AV18" s="47"/>
      <c r="AW18" s="47"/>
      <c r="AX18" s="47"/>
      <c r="BE18" s="112">
        <v>4440000</v>
      </c>
    </row>
    <row r="19" spans="1:57" ht="21.75" customHeight="1">
      <c r="A19" s="39"/>
      <c r="B19" s="43" t="s">
        <v>112</v>
      </c>
      <c r="C19" s="43" t="s">
        <v>120</v>
      </c>
      <c r="D19" s="43" t="s">
        <v>142</v>
      </c>
      <c r="E19" s="40" t="s">
        <v>201</v>
      </c>
      <c r="F19" s="43" t="s">
        <v>63</v>
      </c>
      <c r="G19" s="43" t="s">
        <v>166</v>
      </c>
      <c r="H19" s="43" t="s">
        <v>256</v>
      </c>
      <c r="I19" s="45">
        <v>8259911.77</v>
      </c>
      <c r="J19" s="45">
        <v>8514365.745652175</v>
      </c>
      <c r="K19" s="43" t="s">
        <v>273</v>
      </c>
      <c r="L19" s="43" t="s">
        <v>35</v>
      </c>
      <c r="M19" s="43" t="s">
        <v>324</v>
      </c>
      <c r="N19" s="51">
        <v>1119039.47</v>
      </c>
      <c r="O19" s="143" t="s">
        <v>316</v>
      </c>
      <c r="P19" s="42">
        <f>1500000*2/B153</f>
        <v>6439.426461749807</v>
      </c>
      <c r="Q19" s="40" t="s">
        <v>319</v>
      </c>
      <c r="R19" s="52" t="s">
        <v>307</v>
      </c>
      <c r="S19" s="52" t="s">
        <v>307</v>
      </c>
      <c r="T19" s="52" t="s">
        <v>307</v>
      </c>
      <c r="U19" s="53">
        <v>0</v>
      </c>
      <c r="V19" s="53">
        <v>0</v>
      </c>
      <c r="W19" s="90">
        <f>177929068/469.39</f>
        <v>379064.4623873538</v>
      </c>
      <c r="X19" s="61">
        <f>16926344/465.88</f>
        <v>36331.982484760025</v>
      </c>
      <c r="Y19" s="38">
        <v>0</v>
      </c>
      <c r="Z19" s="55">
        <f t="shared" si="0"/>
        <v>2855.9205438731296</v>
      </c>
      <c r="AA19" s="38">
        <f>194855412/B153</f>
        <v>418252.365415987</v>
      </c>
      <c r="AB19" s="56">
        <v>40303</v>
      </c>
      <c r="AC19" s="34">
        <f>371696030/AD19</f>
        <v>741212.8940913713</v>
      </c>
      <c r="AD19" s="34">
        <v>501.47</v>
      </c>
      <c r="AE19" s="34">
        <f>371696030/AD19</f>
        <v>741212.8940913713</v>
      </c>
      <c r="AF19" s="57">
        <f>+AC19-AE19</f>
        <v>0</v>
      </c>
      <c r="AG19" s="34">
        <v>0</v>
      </c>
      <c r="AH19" s="34">
        <v>0</v>
      </c>
      <c r="AI19" s="58">
        <f t="shared" si="1"/>
        <v>0</v>
      </c>
      <c r="AJ19" s="31" t="s">
        <v>334</v>
      </c>
      <c r="AQ19" s="47"/>
      <c r="AR19" s="47"/>
      <c r="AS19" s="47"/>
      <c r="AT19" s="47"/>
      <c r="AU19" s="47"/>
      <c r="AV19" s="47"/>
      <c r="AW19" s="47"/>
      <c r="AX19" s="47"/>
      <c r="BE19" s="112">
        <v>6000000</v>
      </c>
    </row>
    <row r="20" spans="1:57" ht="21.75" customHeight="1">
      <c r="A20" s="39"/>
      <c r="B20" s="43" t="s">
        <v>112</v>
      </c>
      <c r="C20" s="43" t="s">
        <v>121</v>
      </c>
      <c r="D20" s="43" t="s">
        <v>143</v>
      </c>
      <c r="E20" s="40" t="s">
        <v>202</v>
      </c>
      <c r="F20" s="43" t="s">
        <v>63</v>
      </c>
      <c r="G20" s="43" t="s">
        <v>166</v>
      </c>
      <c r="H20" s="43" t="s">
        <v>255</v>
      </c>
      <c r="I20" s="45">
        <v>8328623.66</v>
      </c>
      <c r="J20" s="45">
        <v>9077219.43</v>
      </c>
      <c r="K20" s="43" t="s">
        <v>272</v>
      </c>
      <c r="L20" s="43" t="s">
        <v>35</v>
      </c>
      <c r="M20" s="43" t="s">
        <v>324</v>
      </c>
      <c r="N20" s="51">
        <v>166572.48</v>
      </c>
      <c r="O20" s="143" t="s">
        <v>330</v>
      </c>
      <c r="P20" s="42">
        <f>80799.4+52325840/B153</f>
        <v>193115.53290976217</v>
      </c>
      <c r="Q20" s="40" t="s">
        <v>335</v>
      </c>
      <c r="R20" s="91" t="s">
        <v>336</v>
      </c>
      <c r="S20" s="86">
        <v>40807</v>
      </c>
      <c r="T20" s="88">
        <v>40787</v>
      </c>
      <c r="U20" s="53">
        <f>V20</f>
        <v>174766.7200171718</v>
      </c>
      <c r="V20" s="53">
        <f>36340965/B153+79188.32+8187100/B153</f>
        <v>174766.7200171718</v>
      </c>
      <c r="W20" s="54">
        <v>0</v>
      </c>
      <c r="X20" s="38">
        <v>0</v>
      </c>
      <c r="Y20" s="38">
        <v>0</v>
      </c>
      <c r="Z20" s="55">
        <f t="shared" si="0"/>
        <v>0</v>
      </c>
      <c r="AA20" s="38">
        <v>0</v>
      </c>
      <c r="AB20" s="56"/>
      <c r="AC20" s="34">
        <v>0</v>
      </c>
      <c r="AD20" s="34">
        <v>0</v>
      </c>
      <c r="AE20" s="34">
        <v>0</v>
      </c>
      <c r="AF20" s="57">
        <v>0</v>
      </c>
      <c r="AG20" s="34">
        <v>0</v>
      </c>
      <c r="AH20" s="34">
        <v>0</v>
      </c>
      <c r="AI20" s="58">
        <f>+AF20+AG20-AH20</f>
        <v>0</v>
      </c>
      <c r="AJ20" s="31" t="s">
        <v>337</v>
      </c>
      <c r="AQ20" s="47"/>
      <c r="AR20" s="47"/>
      <c r="AS20" s="47"/>
      <c r="AT20" s="47"/>
      <c r="AU20" s="47"/>
      <c r="AV20" s="47"/>
      <c r="AW20" s="47"/>
      <c r="AX20" s="47"/>
      <c r="BE20" s="112">
        <v>12000000</v>
      </c>
    </row>
    <row r="21" spans="1:57" ht="21.75" customHeight="1">
      <c r="A21" s="39"/>
      <c r="B21" s="43" t="s">
        <v>112</v>
      </c>
      <c r="C21" s="43" t="s">
        <v>279</v>
      </c>
      <c r="D21" s="43" t="s">
        <v>144</v>
      </c>
      <c r="E21" s="40" t="s">
        <v>203</v>
      </c>
      <c r="F21" s="43" t="s">
        <v>63</v>
      </c>
      <c r="G21" s="43" t="s">
        <v>166</v>
      </c>
      <c r="H21" s="43" t="s">
        <v>255</v>
      </c>
      <c r="I21" s="45">
        <v>300000</v>
      </c>
      <c r="J21" s="45">
        <v>179510</v>
      </c>
      <c r="K21" s="43" t="s">
        <v>273</v>
      </c>
      <c r="L21" s="43" t="s">
        <v>35</v>
      </c>
      <c r="M21" s="43" t="s">
        <v>315</v>
      </c>
      <c r="N21" s="51"/>
      <c r="O21" s="143" t="s">
        <v>338</v>
      </c>
      <c r="P21" s="42">
        <f>33030000/B153</f>
        <v>70898.08534386537</v>
      </c>
      <c r="Q21" s="40" t="s">
        <v>339</v>
      </c>
      <c r="R21" s="52" t="s">
        <v>307</v>
      </c>
      <c r="S21" s="52" t="s">
        <v>307</v>
      </c>
      <c r="T21" s="52" t="s">
        <v>307</v>
      </c>
      <c r="U21" s="53">
        <v>0</v>
      </c>
      <c r="V21" s="53">
        <v>0</v>
      </c>
      <c r="W21" s="54">
        <v>0</v>
      </c>
      <c r="X21" s="38">
        <v>0</v>
      </c>
      <c r="Y21" s="38">
        <v>0</v>
      </c>
      <c r="Z21" s="55">
        <f t="shared" si="0"/>
        <v>0</v>
      </c>
      <c r="AA21" s="38">
        <v>0</v>
      </c>
      <c r="AB21" s="56"/>
      <c r="AC21" s="34">
        <v>0</v>
      </c>
      <c r="AD21" s="34">
        <v>0</v>
      </c>
      <c r="AE21" s="34">
        <v>0</v>
      </c>
      <c r="AF21" s="57">
        <v>0</v>
      </c>
      <c r="AG21" s="34">
        <v>0</v>
      </c>
      <c r="AH21" s="34">
        <v>0</v>
      </c>
      <c r="AI21" s="58">
        <f aca="true" t="shared" si="2" ref="AI21:AI26">+AF21+AG21-AH21</f>
        <v>0</v>
      </c>
      <c r="AJ21" s="31" t="s">
        <v>340</v>
      </c>
      <c r="AQ21" s="47"/>
      <c r="AR21" s="47"/>
      <c r="AS21" s="47"/>
      <c r="AT21" s="47"/>
      <c r="AU21" s="47"/>
      <c r="AV21" s="47"/>
      <c r="AW21" s="47"/>
      <c r="AX21" s="47"/>
      <c r="BE21" s="112">
        <v>300000</v>
      </c>
    </row>
    <row r="22" spans="1:57" ht="21.75" customHeight="1">
      <c r="A22" s="39"/>
      <c r="B22" s="43" t="s">
        <v>112</v>
      </c>
      <c r="C22" s="43" t="s">
        <v>284</v>
      </c>
      <c r="D22" s="43" t="s">
        <v>145</v>
      </c>
      <c r="E22" s="40" t="s">
        <v>204</v>
      </c>
      <c r="F22" s="43" t="s">
        <v>58</v>
      </c>
      <c r="G22" s="43" t="s">
        <v>166</v>
      </c>
      <c r="H22" s="43" t="s">
        <v>256</v>
      </c>
      <c r="I22" s="45">
        <v>300000</v>
      </c>
      <c r="J22" s="45"/>
      <c r="K22" s="43" t="s">
        <v>183</v>
      </c>
      <c r="L22" s="43" t="s">
        <v>35</v>
      </c>
      <c r="M22" s="43"/>
      <c r="N22" s="51"/>
      <c r="O22" s="63" t="s">
        <v>307</v>
      </c>
      <c r="P22" s="42">
        <v>0</v>
      </c>
      <c r="Q22" s="40" t="s">
        <v>308</v>
      </c>
      <c r="R22" s="52" t="s">
        <v>307</v>
      </c>
      <c r="S22" s="52" t="s">
        <v>307</v>
      </c>
      <c r="T22" s="52" t="s">
        <v>307</v>
      </c>
      <c r="U22" s="53">
        <v>0</v>
      </c>
      <c r="V22" s="53">
        <v>0</v>
      </c>
      <c r="W22" s="54">
        <v>0</v>
      </c>
      <c r="X22" s="38">
        <v>0</v>
      </c>
      <c r="Y22" s="38">
        <v>0</v>
      </c>
      <c r="Z22" s="55">
        <f t="shared" si="0"/>
        <v>0</v>
      </c>
      <c r="AA22" s="38">
        <v>0</v>
      </c>
      <c r="AB22" s="56"/>
      <c r="AC22" s="34">
        <v>0</v>
      </c>
      <c r="AD22" s="34">
        <v>0</v>
      </c>
      <c r="AE22" s="34">
        <v>0</v>
      </c>
      <c r="AF22" s="57">
        <v>0</v>
      </c>
      <c r="AG22" s="34">
        <v>0</v>
      </c>
      <c r="AH22" s="34">
        <v>0</v>
      </c>
      <c r="AI22" s="58">
        <f t="shared" si="2"/>
        <v>0</v>
      </c>
      <c r="AJ22" s="31" t="s">
        <v>309</v>
      </c>
      <c r="AQ22" s="47"/>
      <c r="AR22" s="47"/>
      <c r="AS22" s="47"/>
      <c r="AT22" s="47"/>
      <c r="AU22" s="47"/>
      <c r="AV22" s="47"/>
      <c r="AW22" s="47"/>
      <c r="AX22" s="47"/>
      <c r="BE22" s="112">
        <v>300000</v>
      </c>
    </row>
    <row r="23" spans="1:57" ht="21.75" customHeight="1">
      <c r="A23" s="39"/>
      <c r="B23" s="43" t="s">
        <v>112</v>
      </c>
      <c r="C23" s="43" t="s">
        <v>341</v>
      </c>
      <c r="D23" s="43" t="s">
        <v>342</v>
      </c>
      <c r="E23" s="40" t="s">
        <v>205</v>
      </c>
      <c r="F23" s="43" t="s">
        <v>59</v>
      </c>
      <c r="G23" s="43" t="s">
        <v>166</v>
      </c>
      <c r="H23" s="43" t="s">
        <v>254</v>
      </c>
      <c r="I23" s="45">
        <v>32333</v>
      </c>
      <c r="J23" s="45"/>
      <c r="K23" s="43" t="s">
        <v>273</v>
      </c>
      <c r="L23" s="43" t="s">
        <v>35</v>
      </c>
      <c r="M23" s="43"/>
      <c r="N23" s="51"/>
      <c r="O23" s="63" t="s">
        <v>307</v>
      </c>
      <c r="P23" s="42">
        <v>0</v>
      </c>
      <c r="Q23" s="40"/>
      <c r="R23" s="52" t="s">
        <v>307</v>
      </c>
      <c r="S23" s="52" t="s">
        <v>307</v>
      </c>
      <c r="T23" s="52" t="s">
        <v>307</v>
      </c>
      <c r="U23" s="53">
        <v>0</v>
      </c>
      <c r="V23" s="53">
        <v>0</v>
      </c>
      <c r="W23" s="54">
        <v>0</v>
      </c>
      <c r="X23" s="38">
        <v>0</v>
      </c>
      <c r="Y23" s="38">
        <v>0</v>
      </c>
      <c r="Z23" s="55">
        <f t="shared" si="0"/>
        <v>0</v>
      </c>
      <c r="AA23" s="38">
        <v>0</v>
      </c>
      <c r="AB23" s="56"/>
      <c r="AC23" s="34">
        <v>0</v>
      </c>
      <c r="AD23" s="34">
        <v>0</v>
      </c>
      <c r="AE23" s="34">
        <v>0</v>
      </c>
      <c r="AF23" s="57">
        <v>0</v>
      </c>
      <c r="AG23" s="34">
        <v>0</v>
      </c>
      <c r="AH23" s="34">
        <v>0</v>
      </c>
      <c r="AI23" s="58">
        <f t="shared" si="2"/>
        <v>0</v>
      </c>
      <c r="AJ23" s="31" t="s">
        <v>312</v>
      </c>
      <c r="AQ23" s="47"/>
      <c r="AR23" s="47"/>
      <c r="AS23" s="47"/>
      <c r="AT23" s="47"/>
      <c r="AU23" s="47"/>
      <c r="AV23" s="47"/>
      <c r="AW23" s="47"/>
      <c r="AX23" s="47"/>
      <c r="BE23" s="112">
        <v>480000</v>
      </c>
    </row>
    <row r="24" spans="1:57" ht="21.75" customHeight="1">
      <c r="A24" s="39"/>
      <c r="B24" s="43" t="s">
        <v>112</v>
      </c>
      <c r="C24" s="43" t="s">
        <v>343</v>
      </c>
      <c r="D24" s="43" t="s">
        <v>344</v>
      </c>
      <c r="E24" s="40" t="s">
        <v>206</v>
      </c>
      <c r="F24" s="43" t="s">
        <v>59</v>
      </c>
      <c r="G24" s="43" t="s">
        <v>166</v>
      </c>
      <c r="H24" s="43" t="s">
        <v>254</v>
      </c>
      <c r="I24" s="45">
        <v>406666.66</v>
      </c>
      <c r="J24" s="45"/>
      <c r="K24" s="43" t="s">
        <v>273</v>
      </c>
      <c r="L24" s="43" t="s">
        <v>35</v>
      </c>
      <c r="M24" s="43" t="s">
        <v>41</v>
      </c>
      <c r="N24" s="51"/>
      <c r="O24" s="63" t="s">
        <v>307</v>
      </c>
      <c r="P24" s="42">
        <v>0</v>
      </c>
      <c r="Q24" s="40"/>
      <c r="R24" s="52" t="s">
        <v>345</v>
      </c>
      <c r="S24" s="86">
        <v>40800</v>
      </c>
      <c r="T24" s="86">
        <v>40798</v>
      </c>
      <c r="U24" s="53">
        <f>27276500/B153</f>
        <v>58548.338627972866</v>
      </c>
      <c r="V24" s="53">
        <f>U24</f>
        <v>58548.338627972866</v>
      </c>
      <c r="W24" s="54">
        <v>0</v>
      </c>
      <c r="X24" s="38">
        <v>0</v>
      </c>
      <c r="Y24" s="38">
        <v>0</v>
      </c>
      <c r="Z24" s="55">
        <f t="shared" si="0"/>
        <v>0</v>
      </c>
      <c r="AA24" s="38">
        <v>0</v>
      </c>
      <c r="AB24" s="56"/>
      <c r="AC24" s="34">
        <v>0</v>
      </c>
      <c r="AD24" s="34">
        <v>0</v>
      </c>
      <c r="AE24" s="34">
        <v>0</v>
      </c>
      <c r="AF24" s="57">
        <v>0</v>
      </c>
      <c r="AG24" s="34">
        <v>0</v>
      </c>
      <c r="AH24" s="34">
        <v>0</v>
      </c>
      <c r="AI24" s="58">
        <f t="shared" si="2"/>
        <v>0</v>
      </c>
      <c r="AJ24" s="31" t="s">
        <v>312</v>
      </c>
      <c r="AQ24" s="47"/>
      <c r="AR24" s="47"/>
      <c r="AS24" s="47"/>
      <c r="AT24" s="47"/>
      <c r="AU24" s="47"/>
      <c r="AV24" s="47"/>
      <c r="AW24" s="47"/>
      <c r="AX24" s="47"/>
      <c r="BE24" s="112">
        <v>480000</v>
      </c>
    </row>
    <row r="25" spans="1:57" ht="21.75" customHeight="1">
      <c r="A25" s="39"/>
      <c r="B25" s="43" t="s">
        <v>112</v>
      </c>
      <c r="C25" s="43" t="s">
        <v>121</v>
      </c>
      <c r="D25" s="43" t="s">
        <v>146</v>
      </c>
      <c r="E25" s="40" t="s">
        <v>207</v>
      </c>
      <c r="F25" s="43" t="s">
        <v>63</v>
      </c>
      <c r="G25" s="43" t="s">
        <v>166</v>
      </c>
      <c r="H25" s="46" t="s">
        <v>258</v>
      </c>
      <c r="I25" s="45">
        <v>2380217.27</v>
      </c>
      <c r="J25" s="45">
        <v>2551630.41</v>
      </c>
      <c r="K25" s="43" t="s">
        <v>272</v>
      </c>
      <c r="L25" s="43" t="s">
        <v>35</v>
      </c>
      <c r="M25" s="43" t="s">
        <v>324</v>
      </c>
      <c r="N25" s="51"/>
      <c r="O25" s="164">
        <v>40725</v>
      </c>
      <c r="P25" s="42">
        <f>54224+55417875/B153</f>
        <v>173177.11024298103</v>
      </c>
      <c r="Q25" s="40" t="s">
        <v>346</v>
      </c>
      <c r="R25" s="52">
        <v>16</v>
      </c>
      <c r="S25" s="86">
        <v>40812</v>
      </c>
      <c r="T25" s="52" t="s">
        <v>347</v>
      </c>
      <c r="U25" s="53">
        <f>35299+37660704/B153</f>
        <v>116136.7779685756</v>
      </c>
      <c r="V25" s="53">
        <f>U25</f>
        <v>116136.7779685756</v>
      </c>
      <c r="W25" s="54">
        <v>0</v>
      </c>
      <c r="X25" s="38">
        <v>0</v>
      </c>
      <c r="Y25" s="38">
        <v>0</v>
      </c>
      <c r="Z25" s="55">
        <f t="shared" si="0"/>
        <v>0</v>
      </c>
      <c r="AA25" s="38">
        <v>0</v>
      </c>
      <c r="AB25" s="56"/>
      <c r="AC25" s="34">
        <v>0</v>
      </c>
      <c r="AD25" s="34">
        <v>0</v>
      </c>
      <c r="AE25" s="34">
        <v>0</v>
      </c>
      <c r="AF25" s="57">
        <v>0</v>
      </c>
      <c r="AG25" s="34">
        <v>0</v>
      </c>
      <c r="AH25" s="34">
        <v>0</v>
      </c>
      <c r="AI25" s="58">
        <f t="shared" si="2"/>
        <v>0</v>
      </c>
      <c r="AJ25" s="31"/>
      <c r="AQ25" s="47"/>
      <c r="AR25" s="47"/>
      <c r="AS25" s="47"/>
      <c r="AT25" s="47"/>
      <c r="AU25" s="47"/>
      <c r="AV25" s="47"/>
      <c r="AW25" s="47"/>
      <c r="AX25" s="47"/>
      <c r="BE25" s="112">
        <v>2150000</v>
      </c>
    </row>
    <row r="26" spans="1:57" ht="21.75" customHeight="1">
      <c r="A26" s="39"/>
      <c r="B26" s="43" t="s">
        <v>112</v>
      </c>
      <c r="C26" s="43"/>
      <c r="D26" s="43" t="s">
        <v>147</v>
      </c>
      <c r="E26" s="40" t="s">
        <v>208</v>
      </c>
      <c r="F26" s="43" t="s">
        <v>58</v>
      </c>
      <c r="G26" s="43" t="s">
        <v>166</v>
      </c>
      <c r="H26" s="43" t="s">
        <v>255</v>
      </c>
      <c r="I26" s="45">
        <v>1600000</v>
      </c>
      <c r="J26" s="45"/>
      <c r="K26" s="43" t="s">
        <v>183</v>
      </c>
      <c r="L26" s="43" t="s">
        <v>35</v>
      </c>
      <c r="M26" s="43"/>
      <c r="N26" s="51"/>
      <c r="O26" s="63" t="s">
        <v>307</v>
      </c>
      <c r="P26" s="42">
        <v>0</v>
      </c>
      <c r="Q26" s="40" t="s">
        <v>308</v>
      </c>
      <c r="R26" s="52" t="s">
        <v>307</v>
      </c>
      <c r="S26" s="52" t="s">
        <v>307</v>
      </c>
      <c r="T26" s="52" t="s">
        <v>307</v>
      </c>
      <c r="U26" s="53">
        <v>0</v>
      </c>
      <c r="V26" s="53">
        <v>0</v>
      </c>
      <c r="W26" s="54">
        <v>0</v>
      </c>
      <c r="X26" s="38">
        <v>0</v>
      </c>
      <c r="Y26" s="38">
        <v>0</v>
      </c>
      <c r="Z26" s="55">
        <f t="shared" si="0"/>
        <v>0</v>
      </c>
      <c r="AA26" s="38">
        <v>0</v>
      </c>
      <c r="AB26" s="56"/>
      <c r="AC26" s="34">
        <v>0</v>
      </c>
      <c r="AD26" s="34">
        <v>0</v>
      </c>
      <c r="AE26" s="34">
        <v>0</v>
      </c>
      <c r="AF26" s="57">
        <v>0</v>
      </c>
      <c r="AG26" s="34">
        <v>0</v>
      </c>
      <c r="AH26" s="34">
        <v>0</v>
      </c>
      <c r="AI26" s="58">
        <f t="shared" si="2"/>
        <v>0</v>
      </c>
      <c r="AJ26" s="31" t="s">
        <v>309</v>
      </c>
      <c r="AQ26" s="47"/>
      <c r="AR26" s="47"/>
      <c r="AS26" s="47"/>
      <c r="AT26" s="47"/>
      <c r="AU26" s="47"/>
      <c r="AV26" s="47"/>
      <c r="AW26" s="47"/>
      <c r="AX26" s="47"/>
      <c r="BE26" s="112">
        <v>1600000</v>
      </c>
    </row>
    <row r="27" spans="1:57" ht="21.75" customHeight="1">
      <c r="A27" s="39"/>
      <c r="B27" s="43" t="s">
        <v>112</v>
      </c>
      <c r="C27" s="43" t="s">
        <v>348</v>
      </c>
      <c r="D27" s="43" t="s">
        <v>349</v>
      </c>
      <c r="E27" s="40" t="s">
        <v>209</v>
      </c>
      <c r="F27" s="43" t="s">
        <v>61</v>
      </c>
      <c r="G27" s="43" t="s">
        <v>166</v>
      </c>
      <c r="H27" s="46" t="s">
        <v>350</v>
      </c>
      <c r="I27" s="45">
        <v>407572.22</v>
      </c>
      <c r="J27" s="45"/>
      <c r="K27" s="43" t="s">
        <v>273</v>
      </c>
      <c r="L27" s="43" t="s">
        <v>35</v>
      </c>
      <c r="M27" s="43"/>
      <c r="N27" s="51"/>
      <c r="O27" s="63" t="s">
        <v>307</v>
      </c>
      <c r="P27" s="42">
        <v>0</v>
      </c>
      <c r="Q27" s="40"/>
      <c r="R27" s="52" t="s">
        <v>307</v>
      </c>
      <c r="S27" s="52" t="s">
        <v>307</v>
      </c>
      <c r="T27" s="52" t="s">
        <v>307</v>
      </c>
      <c r="U27" s="53">
        <v>0</v>
      </c>
      <c r="V27" s="53">
        <v>0</v>
      </c>
      <c r="W27" s="54">
        <v>0</v>
      </c>
      <c r="X27" s="38">
        <v>0</v>
      </c>
      <c r="Y27" s="38">
        <v>0</v>
      </c>
      <c r="Z27" s="55">
        <f t="shared" si="0"/>
        <v>0</v>
      </c>
      <c r="AA27" s="38">
        <v>0</v>
      </c>
      <c r="AB27" s="56">
        <v>40575</v>
      </c>
      <c r="AC27" s="34">
        <f>18340750/480.28</f>
        <v>38187.61972182894</v>
      </c>
      <c r="AD27" s="34">
        <v>480.28</v>
      </c>
      <c r="AE27" s="34">
        <v>0</v>
      </c>
      <c r="AF27" s="57">
        <f>+AC27-AE27</f>
        <v>38187.61972182894</v>
      </c>
      <c r="AG27" s="34">
        <v>0</v>
      </c>
      <c r="AH27" s="34">
        <f>18340750/480.28</f>
        <v>38187.61972182894</v>
      </c>
      <c r="AI27" s="58">
        <f t="shared" si="1"/>
        <v>0</v>
      </c>
      <c r="AJ27" s="31" t="s">
        <v>351</v>
      </c>
      <c r="AQ27" s="47"/>
      <c r="AR27" s="47"/>
      <c r="AS27" s="47"/>
      <c r="AT27" s="47"/>
      <c r="AU27" s="47"/>
      <c r="AV27" s="47"/>
      <c r="AW27" s="47"/>
      <c r="AX27" s="47"/>
      <c r="BE27" s="112">
        <v>1200000</v>
      </c>
    </row>
    <row r="28" spans="1:57" ht="21.75" customHeight="1">
      <c r="A28" s="39"/>
      <c r="B28" s="43" t="s">
        <v>112</v>
      </c>
      <c r="C28" s="43" t="s">
        <v>352</v>
      </c>
      <c r="D28" s="43" t="s">
        <v>353</v>
      </c>
      <c r="E28" s="40" t="s">
        <v>210</v>
      </c>
      <c r="F28" s="43" t="s">
        <v>59</v>
      </c>
      <c r="G28" s="43" t="s">
        <v>166</v>
      </c>
      <c r="H28" s="46" t="s">
        <v>258</v>
      </c>
      <c r="I28" s="45">
        <v>353304.34</v>
      </c>
      <c r="J28" s="45"/>
      <c r="K28" s="43" t="s">
        <v>273</v>
      </c>
      <c r="L28" s="43" t="s">
        <v>35</v>
      </c>
      <c r="M28" s="43"/>
      <c r="N28" s="51"/>
      <c r="O28" s="63" t="s">
        <v>307</v>
      </c>
      <c r="P28" s="41">
        <v>0</v>
      </c>
      <c r="Q28" s="40"/>
      <c r="R28" s="52" t="s">
        <v>307</v>
      </c>
      <c r="S28" s="52" t="s">
        <v>307</v>
      </c>
      <c r="T28" s="52" t="s">
        <v>307</v>
      </c>
      <c r="U28" s="53">
        <v>0</v>
      </c>
      <c r="V28" s="53">
        <v>0</v>
      </c>
      <c r="W28" s="54">
        <v>0</v>
      </c>
      <c r="X28" s="38">
        <v>0</v>
      </c>
      <c r="Y28" s="38">
        <v>0</v>
      </c>
      <c r="Z28" s="55">
        <f t="shared" si="0"/>
        <v>0</v>
      </c>
      <c r="AA28" s="38">
        <v>0</v>
      </c>
      <c r="AB28" s="56"/>
      <c r="AC28" s="34">
        <v>0</v>
      </c>
      <c r="AD28" s="34">
        <v>0</v>
      </c>
      <c r="AE28" s="34">
        <v>0</v>
      </c>
      <c r="AF28" s="57">
        <v>0</v>
      </c>
      <c r="AG28" s="34">
        <v>0</v>
      </c>
      <c r="AH28" s="34">
        <v>0</v>
      </c>
      <c r="AI28" s="58">
        <f t="shared" si="1"/>
        <v>0</v>
      </c>
      <c r="AJ28" s="31" t="s">
        <v>312</v>
      </c>
      <c r="AQ28" s="47"/>
      <c r="AR28" s="47"/>
      <c r="AS28" s="47"/>
      <c r="AT28" s="47"/>
      <c r="AU28" s="47"/>
      <c r="AV28" s="47"/>
      <c r="AW28" s="47"/>
      <c r="AX28" s="47"/>
      <c r="BE28" s="112">
        <v>222200</v>
      </c>
    </row>
    <row r="29" spans="1:57" ht="21.75" customHeight="1">
      <c r="A29" s="39"/>
      <c r="B29" s="43" t="s">
        <v>112</v>
      </c>
      <c r="C29" s="43"/>
      <c r="D29" s="43" t="s">
        <v>148</v>
      </c>
      <c r="E29" s="40" t="s">
        <v>211</v>
      </c>
      <c r="F29" s="43" t="s">
        <v>58</v>
      </c>
      <c r="G29" s="43" t="s">
        <v>166</v>
      </c>
      <c r="H29" s="43" t="s">
        <v>254</v>
      </c>
      <c r="I29" s="45">
        <v>200000</v>
      </c>
      <c r="J29" s="45"/>
      <c r="K29" s="43" t="s">
        <v>183</v>
      </c>
      <c r="L29" s="43" t="s">
        <v>35</v>
      </c>
      <c r="M29" s="43"/>
      <c r="N29" s="51"/>
      <c r="O29" s="63" t="s">
        <v>307</v>
      </c>
      <c r="P29" s="42">
        <v>0</v>
      </c>
      <c r="Q29" s="40" t="s">
        <v>308</v>
      </c>
      <c r="R29" s="52" t="s">
        <v>307</v>
      </c>
      <c r="S29" s="52" t="s">
        <v>307</v>
      </c>
      <c r="T29" s="52" t="s">
        <v>307</v>
      </c>
      <c r="U29" s="53">
        <v>0</v>
      </c>
      <c r="V29" s="53">
        <v>0</v>
      </c>
      <c r="W29" s="54">
        <v>0</v>
      </c>
      <c r="X29" s="38">
        <v>0</v>
      </c>
      <c r="Y29" s="38">
        <v>0</v>
      </c>
      <c r="Z29" s="55">
        <f t="shared" si="0"/>
        <v>0</v>
      </c>
      <c r="AA29" s="38">
        <v>0</v>
      </c>
      <c r="AB29" s="56"/>
      <c r="AC29" s="34">
        <v>0</v>
      </c>
      <c r="AD29" s="34">
        <v>0</v>
      </c>
      <c r="AE29" s="34">
        <v>0</v>
      </c>
      <c r="AF29" s="57">
        <v>0</v>
      </c>
      <c r="AG29" s="34">
        <v>0</v>
      </c>
      <c r="AH29" s="34">
        <v>0</v>
      </c>
      <c r="AI29" s="58">
        <f t="shared" si="1"/>
        <v>0</v>
      </c>
      <c r="AJ29" s="31" t="s">
        <v>309</v>
      </c>
      <c r="AQ29" s="47"/>
      <c r="AR29" s="47"/>
      <c r="AS29" s="47"/>
      <c r="AT29" s="47"/>
      <c r="AU29" s="47"/>
      <c r="AV29" s="47"/>
      <c r="AW29" s="47"/>
      <c r="AX29" s="47"/>
      <c r="BE29" s="112">
        <v>200000</v>
      </c>
    </row>
    <row r="30" spans="1:57" ht="21.75" customHeight="1">
      <c r="A30" s="39"/>
      <c r="B30" s="43" t="s">
        <v>112</v>
      </c>
      <c r="C30" s="43" t="s">
        <v>354</v>
      </c>
      <c r="D30" s="43" t="s">
        <v>355</v>
      </c>
      <c r="E30" s="40" t="s">
        <v>212</v>
      </c>
      <c r="F30" s="43" t="s">
        <v>59</v>
      </c>
      <c r="G30" s="43" t="s">
        <v>166</v>
      </c>
      <c r="H30" s="43" t="s">
        <v>254</v>
      </c>
      <c r="I30" s="45">
        <v>733333.33</v>
      </c>
      <c r="J30" s="45"/>
      <c r="K30" s="43" t="s">
        <v>273</v>
      </c>
      <c r="L30" s="43" t="s">
        <v>35</v>
      </c>
      <c r="M30" s="43"/>
      <c r="N30" s="51"/>
      <c r="O30" s="63" t="s">
        <v>307</v>
      </c>
      <c r="P30" s="41">
        <v>0</v>
      </c>
      <c r="Q30" s="40"/>
      <c r="R30" s="52" t="s">
        <v>307</v>
      </c>
      <c r="S30" s="52" t="s">
        <v>307</v>
      </c>
      <c r="T30" s="52" t="s">
        <v>307</v>
      </c>
      <c r="U30" s="53">
        <v>0</v>
      </c>
      <c r="V30" s="53">
        <v>0</v>
      </c>
      <c r="W30" s="54">
        <v>0</v>
      </c>
      <c r="X30" s="38">
        <v>0</v>
      </c>
      <c r="Y30" s="38">
        <v>0</v>
      </c>
      <c r="Z30" s="55">
        <f t="shared" si="0"/>
        <v>0</v>
      </c>
      <c r="AA30" s="38">
        <v>0</v>
      </c>
      <c r="AB30" s="56"/>
      <c r="AC30" s="34">
        <v>0</v>
      </c>
      <c r="AD30" s="34">
        <v>0</v>
      </c>
      <c r="AE30" s="34">
        <v>0</v>
      </c>
      <c r="AF30" s="57">
        <v>0</v>
      </c>
      <c r="AG30" s="34">
        <v>0</v>
      </c>
      <c r="AH30" s="34">
        <v>0</v>
      </c>
      <c r="AI30" s="58">
        <f t="shared" si="1"/>
        <v>0</v>
      </c>
      <c r="AJ30" s="31" t="s">
        <v>312</v>
      </c>
      <c r="AQ30" s="47"/>
      <c r="AR30" s="47"/>
      <c r="AS30" s="47"/>
      <c r="AT30" s="47"/>
      <c r="AU30" s="47"/>
      <c r="AV30" s="47"/>
      <c r="AW30" s="47"/>
      <c r="AX30" s="47"/>
      <c r="BE30" s="112">
        <v>740000</v>
      </c>
    </row>
    <row r="31" spans="1:57" ht="21.75" customHeight="1">
      <c r="A31" s="39"/>
      <c r="B31" s="43" t="s">
        <v>112</v>
      </c>
      <c r="C31" s="43" t="s">
        <v>122</v>
      </c>
      <c r="D31" s="43" t="s">
        <v>149</v>
      </c>
      <c r="E31" s="40" t="s">
        <v>213</v>
      </c>
      <c r="F31" s="92" t="s">
        <v>63</v>
      </c>
      <c r="G31" s="43" t="s">
        <v>166</v>
      </c>
      <c r="H31" s="43" t="s">
        <v>255</v>
      </c>
      <c r="I31" s="45">
        <v>46328142.61</v>
      </c>
      <c r="J31" s="45">
        <v>46328142.61</v>
      </c>
      <c r="K31" s="43" t="s">
        <v>272</v>
      </c>
      <c r="L31" s="43" t="s">
        <v>35</v>
      </c>
      <c r="M31" s="43" t="s">
        <v>324</v>
      </c>
      <c r="N31" s="51"/>
      <c r="O31" s="143" t="s">
        <v>330</v>
      </c>
      <c r="P31" s="42">
        <v>2500000</v>
      </c>
      <c r="Q31" s="40" t="s">
        <v>356</v>
      </c>
      <c r="R31" s="52" t="s">
        <v>307</v>
      </c>
      <c r="S31" s="52" t="s">
        <v>307</v>
      </c>
      <c r="T31" s="52" t="s">
        <v>307</v>
      </c>
      <c r="U31" s="53">
        <v>0</v>
      </c>
      <c r="V31" s="53">
        <v>0</v>
      </c>
      <c r="W31" s="90">
        <f>42191775/469.39+2499994.53</f>
        <v>2589880.925108545</v>
      </c>
      <c r="X31" s="38">
        <f>-42191775/465.88+1390253.45</f>
        <v>1299689.8391989353</v>
      </c>
      <c r="Y31" s="38">
        <v>0</v>
      </c>
      <c r="Z31" s="55">
        <f>+AA31-W31-X31+Y31</f>
        <v>677.2156925196759</v>
      </c>
      <c r="AA31" s="38">
        <v>3890247.98</v>
      </c>
      <c r="AB31" s="56">
        <v>40219</v>
      </c>
      <c r="AC31" s="34">
        <f>638633445/459.5+3242970-0.03</f>
        <v>4632814.246387377</v>
      </c>
      <c r="AD31" s="34">
        <v>459.5</v>
      </c>
      <c r="AE31" s="34">
        <v>3300977.99</v>
      </c>
      <c r="AF31" s="110">
        <f>+AC31-AE31</f>
        <v>1331836.2563873772</v>
      </c>
      <c r="AG31" s="34">
        <v>0</v>
      </c>
      <c r="AH31" s="34">
        <f>509818.36+822017.9</f>
        <v>1331836.26</v>
      </c>
      <c r="AI31" s="58">
        <f t="shared" si="1"/>
        <v>-0.0036126228515058756</v>
      </c>
      <c r="AJ31" s="31" t="s">
        <v>357</v>
      </c>
      <c r="AQ31" s="47"/>
      <c r="AR31" s="47"/>
      <c r="AS31" s="47"/>
      <c r="AT31" s="47"/>
      <c r="AU31" s="47"/>
      <c r="AV31" s="47"/>
      <c r="AW31" s="47"/>
      <c r="AX31" s="47"/>
      <c r="BE31" s="112">
        <v>47000000</v>
      </c>
    </row>
    <row r="32" spans="1:57" ht="21.75" customHeight="1">
      <c r="A32" s="39"/>
      <c r="B32" s="43" t="s">
        <v>112</v>
      </c>
      <c r="C32" s="43" t="s">
        <v>358</v>
      </c>
      <c r="D32" s="43" t="s">
        <v>359</v>
      </c>
      <c r="E32" s="40" t="s">
        <v>214</v>
      </c>
      <c r="F32" s="43" t="s">
        <v>59</v>
      </c>
      <c r="G32" s="43" t="s">
        <v>166</v>
      </c>
      <c r="H32" s="43" t="s">
        <v>254</v>
      </c>
      <c r="I32" s="45">
        <v>702222.22</v>
      </c>
      <c r="J32" s="45"/>
      <c r="K32" s="43" t="s">
        <v>273</v>
      </c>
      <c r="L32" s="43" t="s">
        <v>35</v>
      </c>
      <c r="M32" s="43"/>
      <c r="N32" s="51"/>
      <c r="O32" s="63" t="s">
        <v>307</v>
      </c>
      <c r="P32" s="41">
        <v>0</v>
      </c>
      <c r="Q32" s="40"/>
      <c r="R32" s="52" t="s">
        <v>307</v>
      </c>
      <c r="S32" s="52" t="s">
        <v>307</v>
      </c>
      <c r="T32" s="52" t="s">
        <v>307</v>
      </c>
      <c r="U32" s="53">
        <v>0</v>
      </c>
      <c r="V32" s="53">
        <v>0</v>
      </c>
      <c r="W32" s="54">
        <v>0</v>
      </c>
      <c r="X32" s="38">
        <v>0</v>
      </c>
      <c r="Y32" s="38">
        <v>0</v>
      </c>
      <c r="Z32" s="55">
        <f t="shared" si="0"/>
        <v>0</v>
      </c>
      <c r="AA32" s="38">
        <v>0</v>
      </c>
      <c r="AB32" s="56"/>
      <c r="AC32" s="34">
        <v>0</v>
      </c>
      <c r="AD32" s="34">
        <v>0</v>
      </c>
      <c r="AE32" s="34">
        <v>0</v>
      </c>
      <c r="AF32" s="57">
        <v>0</v>
      </c>
      <c r="AG32" s="34">
        <v>0</v>
      </c>
      <c r="AH32" s="34">
        <v>0</v>
      </c>
      <c r="AI32" s="58">
        <f t="shared" si="1"/>
        <v>0</v>
      </c>
      <c r="AJ32" s="31"/>
      <c r="AQ32" s="47"/>
      <c r="AR32" s="47"/>
      <c r="AS32" s="47"/>
      <c r="AT32" s="47"/>
      <c r="AU32" s="47"/>
      <c r="AV32" s="47"/>
      <c r="AW32" s="47"/>
      <c r="AX32" s="47"/>
      <c r="BE32" s="112">
        <v>535000</v>
      </c>
    </row>
    <row r="33" spans="1:57" ht="21.75" customHeight="1">
      <c r="A33" s="39"/>
      <c r="B33" s="43" t="s">
        <v>112</v>
      </c>
      <c r="C33" s="43"/>
      <c r="D33" s="43" t="s">
        <v>360</v>
      </c>
      <c r="E33" s="40" t="s">
        <v>215</v>
      </c>
      <c r="F33" s="43" t="s">
        <v>60</v>
      </c>
      <c r="G33" s="43" t="s">
        <v>166</v>
      </c>
      <c r="H33" s="43" t="s">
        <v>256</v>
      </c>
      <c r="I33" s="45">
        <v>223835</v>
      </c>
      <c r="J33" s="45">
        <v>0</v>
      </c>
      <c r="K33" s="43" t="s">
        <v>183</v>
      </c>
      <c r="L33" s="43" t="s">
        <v>35</v>
      </c>
      <c r="M33" s="43"/>
      <c r="N33" s="51"/>
      <c r="O33" s="63" t="s">
        <v>307</v>
      </c>
      <c r="P33" s="42">
        <v>0</v>
      </c>
      <c r="Q33" s="41"/>
      <c r="R33" s="52" t="s">
        <v>307</v>
      </c>
      <c r="S33" s="52" t="s">
        <v>307</v>
      </c>
      <c r="T33" s="52" t="s">
        <v>307</v>
      </c>
      <c r="U33" s="53">
        <v>0</v>
      </c>
      <c r="V33" s="53">
        <v>0</v>
      </c>
      <c r="W33" s="54">
        <v>0</v>
      </c>
      <c r="X33" s="38">
        <v>0</v>
      </c>
      <c r="Y33" s="38">
        <v>0</v>
      </c>
      <c r="Z33" s="55">
        <f t="shared" si="0"/>
        <v>0</v>
      </c>
      <c r="AA33" s="38">
        <v>0</v>
      </c>
      <c r="AB33" s="56"/>
      <c r="AC33" s="34">
        <v>0</v>
      </c>
      <c r="AD33" s="34">
        <v>0</v>
      </c>
      <c r="AE33" s="34">
        <v>0</v>
      </c>
      <c r="AF33" s="57">
        <v>0</v>
      </c>
      <c r="AG33" s="34">
        <v>0</v>
      </c>
      <c r="AH33" s="34">
        <v>0</v>
      </c>
      <c r="AI33" s="58">
        <f t="shared" si="1"/>
        <v>0</v>
      </c>
      <c r="AJ33" s="31" t="s">
        <v>361</v>
      </c>
      <c r="AQ33" s="47"/>
      <c r="AR33" s="47"/>
      <c r="AS33" s="47"/>
      <c r="AT33" s="47"/>
      <c r="AU33" s="47"/>
      <c r="AV33" s="47"/>
      <c r="AW33" s="47"/>
      <c r="AX33" s="47"/>
      <c r="BE33" s="112">
        <v>223835</v>
      </c>
    </row>
    <row r="34" spans="1:57" ht="21.75" customHeight="1">
      <c r="A34" s="39"/>
      <c r="B34" s="43" t="s">
        <v>112</v>
      </c>
      <c r="C34" s="43"/>
      <c r="D34" s="43" t="s">
        <v>362</v>
      </c>
      <c r="E34" s="40" t="s">
        <v>216</v>
      </c>
      <c r="F34" s="43" t="s">
        <v>58</v>
      </c>
      <c r="G34" s="43" t="s">
        <v>166</v>
      </c>
      <c r="H34" s="46" t="s">
        <v>322</v>
      </c>
      <c r="I34" s="45">
        <v>100000</v>
      </c>
      <c r="J34" s="45"/>
      <c r="K34" s="43" t="s">
        <v>183</v>
      </c>
      <c r="L34" s="43" t="s">
        <v>35</v>
      </c>
      <c r="M34" s="43"/>
      <c r="N34" s="51"/>
      <c r="O34" s="63" t="s">
        <v>307</v>
      </c>
      <c r="P34" s="42">
        <v>0</v>
      </c>
      <c r="Q34" s="40" t="s">
        <v>308</v>
      </c>
      <c r="R34" s="52" t="s">
        <v>307</v>
      </c>
      <c r="S34" s="52" t="s">
        <v>307</v>
      </c>
      <c r="T34" s="52" t="s">
        <v>307</v>
      </c>
      <c r="U34" s="53">
        <v>0</v>
      </c>
      <c r="V34" s="53">
        <v>0</v>
      </c>
      <c r="W34" s="54">
        <v>0</v>
      </c>
      <c r="X34" s="38">
        <v>0</v>
      </c>
      <c r="Y34" s="38">
        <v>0</v>
      </c>
      <c r="Z34" s="55">
        <f t="shared" si="0"/>
        <v>0</v>
      </c>
      <c r="AA34" s="38">
        <v>0</v>
      </c>
      <c r="AB34" s="56"/>
      <c r="AC34" s="34">
        <v>0</v>
      </c>
      <c r="AD34" s="34">
        <v>0</v>
      </c>
      <c r="AE34" s="34">
        <v>0</v>
      </c>
      <c r="AF34" s="57">
        <v>0</v>
      </c>
      <c r="AG34" s="34">
        <v>0</v>
      </c>
      <c r="AH34" s="34">
        <v>0</v>
      </c>
      <c r="AI34" s="58">
        <f t="shared" si="1"/>
        <v>0</v>
      </c>
      <c r="AJ34" s="31" t="s">
        <v>309</v>
      </c>
      <c r="AQ34" s="47"/>
      <c r="AR34" s="47"/>
      <c r="AS34" s="47"/>
      <c r="AT34" s="47"/>
      <c r="AU34" s="47"/>
      <c r="AV34" s="47"/>
      <c r="AW34" s="47"/>
      <c r="AX34" s="47"/>
      <c r="BE34" s="112">
        <v>100000</v>
      </c>
    </row>
    <row r="35" spans="1:57" ht="21.75" customHeight="1">
      <c r="A35" s="39"/>
      <c r="B35" s="43" t="s">
        <v>112</v>
      </c>
      <c r="C35" s="43" t="s">
        <v>363</v>
      </c>
      <c r="D35" s="43" t="s">
        <v>364</v>
      </c>
      <c r="E35" s="40" t="s">
        <v>217</v>
      </c>
      <c r="F35" s="92" t="s">
        <v>63</v>
      </c>
      <c r="G35" s="43" t="s">
        <v>166</v>
      </c>
      <c r="H35" s="46" t="s">
        <v>322</v>
      </c>
      <c r="I35" s="45">
        <v>50000</v>
      </c>
      <c r="J35" s="45">
        <v>16033</v>
      </c>
      <c r="K35" s="43" t="s">
        <v>273</v>
      </c>
      <c r="L35" s="43" t="s">
        <v>35</v>
      </c>
      <c r="M35" s="43"/>
      <c r="N35" s="51"/>
      <c r="O35" s="63" t="s">
        <v>307</v>
      </c>
      <c r="P35" s="42">
        <v>0</v>
      </c>
      <c r="Q35" s="40" t="s">
        <v>365</v>
      </c>
      <c r="R35" s="52" t="s">
        <v>307</v>
      </c>
      <c r="S35" s="52" t="s">
        <v>307</v>
      </c>
      <c r="T35" s="52" t="s">
        <v>307</v>
      </c>
      <c r="U35" s="53">
        <v>0</v>
      </c>
      <c r="V35" s="53">
        <v>0</v>
      </c>
      <c r="W35" s="54">
        <v>0</v>
      </c>
      <c r="X35" s="38">
        <v>0</v>
      </c>
      <c r="Y35" s="38">
        <v>0</v>
      </c>
      <c r="Z35" s="55">
        <f t="shared" si="0"/>
        <v>0</v>
      </c>
      <c r="AA35" s="38">
        <v>0</v>
      </c>
      <c r="AB35" s="56"/>
      <c r="AC35" s="34">
        <v>0</v>
      </c>
      <c r="AD35" s="34">
        <v>0</v>
      </c>
      <c r="AE35" s="34">
        <v>0</v>
      </c>
      <c r="AF35" s="57">
        <v>0</v>
      </c>
      <c r="AG35" s="34">
        <v>0</v>
      </c>
      <c r="AH35" s="34">
        <v>0</v>
      </c>
      <c r="AI35" s="58">
        <f t="shared" si="1"/>
        <v>0</v>
      </c>
      <c r="AJ35" s="31"/>
      <c r="AQ35" s="47"/>
      <c r="AR35" s="47"/>
      <c r="AS35" s="47"/>
      <c r="AT35" s="47"/>
      <c r="AU35" s="47"/>
      <c r="AV35" s="47"/>
      <c r="AW35" s="47"/>
      <c r="AX35" s="47"/>
      <c r="BE35" s="112">
        <v>50000</v>
      </c>
    </row>
    <row r="36" spans="1:57" ht="21.75" customHeight="1">
      <c r="A36" s="39"/>
      <c r="B36" s="43" t="s">
        <v>112</v>
      </c>
      <c r="C36" s="43" t="s">
        <v>123</v>
      </c>
      <c r="D36" s="43" t="s">
        <v>366</v>
      </c>
      <c r="E36" s="40" t="s">
        <v>218</v>
      </c>
      <c r="F36" s="43" t="s">
        <v>59</v>
      </c>
      <c r="G36" s="43" t="s">
        <v>166</v>
      </c>
      <c r="H36" s="46" t="s">
        <v>258</v>
      </c>
      <c r="I36" s="45">
        <v>89920</v>
      </c>
      <c r="J36" s="45">
        <v>132330.37</v>
      </c>
      <c r="K36" s="43" t="s">
        <v>271</v>
      </c>
      <c r="L36" s="43" t="s">
        <v>35</v>
      </c>
      <c r="M36" s="43"/>
      <c r="N36" s="51"/>
      <c r="O36" s="63" t="s">
        <v>307</v>
      </c>
      <c r="P36" s="41">
        <v>0</v>
      </c>
      <c r="Q36" s="40"/>
      <c r="R36" s="52" t="s">
        <v>307</v>
      </c>
      <c r="S36" s="52" t="s">
        <v>307</v>
      </c>
      <c r="T36" s="52" t="s">
        <v>307</v>
      </c>
      <c r="U36" s="53">
        <v>0</v>
      </c>
      <c r="V36" s="53">
        <v>0</v>
      </c>
      <c r="W36" s="54">
        <v>0</v>
      </c>
      <c r="X36" s="38">
        <v>0</v>
      </c>
      <c r="Y36" s="38">
        <v>0</v>
      </c>
      <c r="Z36" s="55">
        <f t="shared" si="0"/>
        <v>0</v>
      </c>
      <c r="AA36" s="38">
        <v>0</v>
      </c>
      <c r="AB36" s="56"/>
      <c r="AC36" s="34">
        <v>0</v>
      </c>
      <c r="AD36" s="34">
        <v>0</v>
      </c>
      <c r="AE36" s="34">
        <v>0</v>
      </c>
      <c r="AF36" s="57">
        <v>0</v>
      </c>
      <c r="AG36" s="34">
        <v>0</v>
      </c>
      <c r="AH36" s="34">
        <v>0</v>
      </c>
      <c r="AI36" s="58">
        <f t="shared" si="1"/>
        <v>0</v>
      </c>
      <c r="AJ36" s="31" t="s">
        <v>312</v>
      </c>
      <c r="AQ36" s="47"/>
      <c r="AR36" s="47"/>
      <c r="AS36" s="47"/>
      <c r="AT36" s="47"/>
      <c r="AU36" s="47"/>
      <c r="AV36" s="47"/>
      <c r="AW36" s="47"/>
      <c r="AX36" s="47"/>
      <c r="BE36" s="112">
        <v>156272</v>
      </c>
    </row>
    <row r="37" spans="1:57" ht="21.75" customHeight="1">
      <c r="A37" s="39"/>
      <c r="B37" s="43" t="s">
        <v>112</v>
      </c>
      <c r="C37" s="43" t="s">
        <v>117</v>
      </c>
      <c r="D37" s="43" t="s">
        <v>150</v>
      </c>
      <c r="E37" s="40" t="s">
        <v>219</v>
      </c>
      <c r="F37" s="43" t="s">
        <v>63</v>
      </c>
      <c r="G37" s="43" t="s">
        <v>166</v>
      </c>
      <c r="H37" s="46" t="s">
        <v>258</v>
      </c>
      <c r="I37" s="45">
        <v>29000000</v>
      </c>
      <c r="J37" s="45">
        <v>18862606.326086957</v>
      </c>
      <c r="K37" s="43" t="s">
        <v>273</v>
      </c>
      <c r="L37" s="43" t="s">
        <v>35</v>
      </c>
      <c r="M37" s="43" t="s">
        <v>324</v>
      </c>
      <c r="N37" s="51"/>
      <c r="O37" s="164">
        <v>40787</v>
      </c>
      <c r="P37" s="42">
        <f>152170595/B153</f>
        <v>326630.4520477376</v>
      </c>
      <c r="Q37" s="40" t="s">
        <v>367</v>
      </c>
      <c r="R37" s="52" t="s">
        <v>307</v>
      </c>
      <c r="S37" s="52" t="s">
        <v>307</v>
      </c>
      <c r="T37" s="52" t="s">
        <v>307</v>
      </c>
      <c r="U37" s="53">
        <v>0</v>
      </c>
      <c r="V37" s="53">
        <v>0</v>
      </c>
      <c r="W37" s="54">
        <v>0</v>
      </c>
      <c r="X37" s="38">
        <v>0</v>
      </c>
      <c r="Y37" s="38">
        <v>0</v>
      </c>
      <c r="Z37" s="55">
        <f t="shared" si="0"/>
        <v>0</v>
      </c>
      <c r="AA37" s="38">
        <v>0</v>
      </c>
      <c r="AB37" s="56">
        <v>40808</v>
      </c>
      <c r="AC37" s="34">
        <v>0</v>
      </c>
      <c r="AD37" s="34">
        <v>0</v>
      </c>
      <c r="AE37" s="34">
        <v>0</v>
      </c>
      <c r="AF37" s="57">
        <v>0</v>
      </c>
      <c r="AG37" s="34">
        <f>876618398/472.75065365</f>
        <v>1854293.3600024225</v>
      </c>
      <c r="AH37" s="34">
        <v>0</v>
      </c>
      <c r="AI37" s="58">
        <f t="shared" si="1"/>
        <v>1854293.3600024225</v>
      </c>
      <c r="AJ37" s="31"/>
      <c r="AQ37" s="47"/>
      <c r="AR37" s="47"/>
      <c r="AS37" s="47"/>
      <c r="AT37" s="47"/>
      <c r="AU37" s="47"/>
      <c r="AV37" s="47"/>
      <c r="AW37" s="47"/>
      <c r="AX37" s="47"/>
      <c r="BE37" s="112">
        <v>29000000</v>
      </c>
    </row>
    <row r="38" spans="1:57" ht="21.75" customHeight="1">
      <c r="A38" s="39"/>
      <c r="B38" s="43" t="s">
        <v>112</v>
      </c>
      <c r="C38" s="43" t="s">
        <v>124</v>
      </c>
      <c r="D38" s="43" t="s">
        <v>151</v>
      </c>
      <c r="E38" s="40" t="s">
        <v>220</v>
      </c>
      <c r="F38" s="43" t="s">
        <v>63</v>
      </c>
      <c r="G38" s="43" t="s">
        <v>166</v>
      </c>
      <c r="H38" s="43" t="s">
        <v>256</v>
      </c>
      <c r="I38" s="45">
        <v>5057741</v>
      </c>
      <c r="J38" s="45">
        <v>5391885.173913043</v>
      </c>
      <c r="K38" s="43" t="s">
        <v>272</v>
      </c>
      <c r="L38" s="43" t="s">
        <v>35</v>
      </c>
      <c r="M38" s="43" t="s">
        <v>324</v>
      </c>
      <c r="N38" s="51">
        <v>99679.15317249077</v>
      </c>
      <c r="O38" s="143" t="s">
        <v>368</v>
      </c>
      <c r="P38" s="42">
        <f>(29230350+29230350+48717250+16417310+29230350+29230350)/B153+(86776*2)+144627+17680+86776*2-V38</f>
        <v>750671.5256890187</v>
      </c>
      <c r="Q38" s="40" t="s">
        <v>369</v>
      </c>
      <c r="R38" s="52" t="s">
        <v>370</v>
      </c>
      <c r="S38" s="86">
        <v>40807</v>
      </c>
      <c r="T38" s="88" t="s">
        <v>371</v>
      </c>
      <c r="U38" s="53">
        <v>149518.13</v>
      </c>
      <c r="V38" s="53">
        <f>86775.9+29230350/B153</f>
        <v>149518.12975873615</v>
      </c>
      <c r="W38" s="54">
        <v>0</v>
      </c>
      <c r="X38" s="38">
        <v>0</v>
      </c>
      <c r="Y38" s="38">
        <v>0</v>
      </c>
      <c r="Z38" s="55">
        <f t="shared" si="0"/>
        <v>0</v>
      </c>
      <c r="AA38" s="38">
        <v>0</v>
      </c>
      <c r="AB38" s="56"/>
      <c r="AC38" s="34">
        <v>0</v>
      </c>
      <c r="AD38" s="34">
        <v>0</v>
      </c>
      <c r="AE38" s="34">
        <v>0</v>
      </c>
      <c r="AF38" s="57">
        <v>0</v>
      </c>
      <c r="AG38" s="34">
        <v>0</v>
      </c>
      <c r="AH38" s="34">
        <v>0</v>
      </c>
      <c r="AI38" s="58">
        <f t="shared" si="1"/>
        <v>0</v>
      </c>
      <c r="AJ38" s="31" t="s">
        <v>372</v>
      </c>
      <c r="AQ38" s="47"/>
      <c r="AR38" s="47"/>
      <c r="AS38" s="47"/>
      <c r="AT38" s="47"/>
      <c r="AU38" s="47"/>
      <c r="AV38" s="47"/>
      <c r="AW38" s="47"/>
      <c r="AX38" s="47"/>
      <c r="BE38" s="112">
        <v>4000000</v>
      </c>
    </row>
    <row r="39" spans="1:57" ht="21.75" customHeight="1">
      <c r="A39" s="39"/>
      <c r="B39" s="43" t="s">
        <v>112</v>
      </c>
      <c r="C39" s="43" t="s">
        <v>373</v>
      </c>
      <c r="D39" s="43" t="s">
        <v>374</v>
      </c>
      <c r="E39" s="40" t="s">
        <v>221</v>
      </c>
      <c r="F39" s="43" t="s">
        <v>59</v>
      </c>
      <c r="G39" s="43" t="s">
        <v>166</v>
      </c>
      <c r="H39" s="43" t="s">
        <v>254</v>
      </c>
      <c r="I39" s="45">
        <v>144000</v>
      </c>
      <c r="J39" s="45">
        <v>172673.38</v>
      </c>
      <c r="K39" s="43" t="s">
        <v>273</v>
      </c>
      <c r="L39" s="43" t="s">
        <v>35</v>
      </c>
      <c r="M39" s="43"/>
      <c r="N39" s="51"/>
      <c r="O39" s="63" t="s">
        <v>307</v>
      </c>
      <c r="P39" s="41">
        <v>0</v>
      </c>
      <c r="Q39" s="40"/>
      <c r="R39" s="52" t="s">
        <v>307</v>
      </c>
      <c r="S39" s="52" t="s">
        <v>307</v>
      </c>
      <c r="T39" s="52" t="s">
        <v>307</v>
      </c>
      <c r="U39" s="53">
        <v>0</v>
      </c>
      <c r="V39" s="53">
        <v>0</v>
      </c>
      <c r="W39" s="54">
        <v>0</v>
      </c>
      <c r="X39" s="38">
        <v>0</v>
      </c>
      <c r="Y39" s="38">
        <v>0</v>
      </c>
      <c r="Z39" s="55">
        <f t="shared" si="0"/>
        <v>0</v>
      </c>
      <c r="AA39" s="38">
        <v>0</v>
      </c>
      <c r="AB39" s="56"/>
      <c r="AC39" s="34">
        <v>0</v>
      </c>
      <c r="AD39" s="34">
        <v>0</v>
      </c>
      <c r="AE39" s="34">
        <v>0</v>
      </c>
      <c r="AF39" s="57">
        <v>0</v>
      </c>
      <c r="AG39" s="34">
        <v>0</v>
      </c>
      <c r="AH39" s="34">
        <v>0</v>
      </c>
      <c r="AI39" s="58">
        <f t="shared" si="1"/>
        <v>0</v>
      </c>
      <c r="AJ39" s="31" t="s">
        <v>312</v>
      </c>
      <c r="AQ39" s="47"/>
      <c r="AR39" s="47"/>
      <c r="AS39" s="47"/>
      <c r="AT39" s="47"/>
      <c r="AU39" s="47"/>
      <c r="AV39" s="47"/>
      <c r="AW39" s="47"/>
      <c r="AX39" s="47"/>
      <c r="BE39" s="112">
        <v>142500</v>
      </c>
    </row>
    <row r="40" spans="1:57" ht="21.75" customHeight="1">
      <c r="A40" s="39"/>
      <c r="B40" s="43" t="s">
        <v>112</v>
      </c>
      <c r="C40" s="43" t="s">
        <v>289</v>
      </c>
      <c r="D40" s="43" t="s">
        <v>152</v>
      </c>
      <c r="E40" s="40" t="s">
        <v>222</v>
      </c>
      <c r="F40" s="43" t="s">
        <v>58</v>
      </c>
      <c r="G40" s="43" t="s">
        <v>166</v>
      </c>
      <c r="H40" s="43" t="s">
        <v>254</v>
      </c>
      <c r="I40" s="45">
        <v>249000</v>
      </c>
      <c r="J40" s="45"/>
      <c r="K40" s="43" t="s">
        <v>183</v>
      </c>
      <c r="L40" s="43" t="s">
        <v>35</v>
      </c>
      <c r="M40" s="43"/>
      <c r="N40" s="51"/>
      <c r="O40" s="63" t="s">
        <v>307</v>
      </c>
      <c r="P40" s="42">
        <v>0</v>
      </c>
      <c r="Q40" s="40" t="s">
        <v>308</v>
      </c>
      <c r="R40" s="52" t="s">
        <v>307</v>
      </c>
      <c r="S40" s="52" t="s">
        <v>307</v>
      </c>
      <c r="T40" s="52" t="s">
        <v>307</v>
      </c>
      <c r="U40" s="53">
        <v>0</v>
      </c>
      <c r="V40" s="53">
        <v>0</v>
      </c>
      <c r="W40" s="54">
        <v>0</v>
      </c>
      <c r="X40" s="38">
        <v>0</v>
      </c>
      <c r="Y40" s="38">
        <v>0</v>
      </c>
      <c r="Z40" s="55">
        <f t="shared" si="0"/>
        <v>0</v>
      </c>
      <c r="AA40" s="38">
        <v>0</v>
      </c>
      <c r="AB40" s="56"/>
      <c r="AC40" s="34">
        <v>0</v>
      </c>
      <c r="AD40" s="34">
        <v>0</v>
      </c>
      <c r="AE40" s="34">
        <v>0</v>
      </c>
      <c r="AF40" s="57">
        <v>0</v>
      </c>
      <c r="AG40" s="34">
        <v>0</v>
      </c>
      <c r="AH40" s="34">
        <v>0</v>
      </c>
      <c r="AI40" s="58">
        <f t="shared" si="1"/>
        <v>0</v>
      </c>
      <c r="AJ40" s="31" t="s">
        <v>309</v>
      </c>
      <c r="AQ40" s="47"/>
      <c r="AR40" s="47"/>
      <c r="AS40" s="47"/>
      <c r="AT40" s="47"/>
      <c r="AU40" s="47"/>
      <c r="AV40" s="47"/>
      <c r="AW40" s="47"/>
      <c r="AX40" s="47"/>
      <c r="BE40" s="112">
        <v>249000</v>
      </c>
    </row>
    <row r="41" spans="1:57" ht="21.75" customHeight="1">
      <c r="A41" s="39"/>
      <c r="B41" s="43" t="s">
        <v>112</v>
      </c>
      <c r="C41" s="43" t="s">
        <v>289</v>
      </c>
      <c r="D41" s="43" t="s">
        <v>375</v>
      </c>
      <c r="E41" s="40" t="s">
        <v>223</v>
      </c>
      <c r="F41" s="43" t="s">
        <v>60</v>
      </c>
      <c r="G41" s="43" t="s">
        <v>166</v>
      </c>
      <c r="H41" s="46" t="s">
        <v>350</v>
      </c>
      <c r="I41" s="45">
        <v>50000</v>
      </c>
      <c r="J41" s="45"/>
      <c r="K41" s="43" t="s">
        <v>183</v>
      </c>
      <c r="L41" s="43" t="s">
        <v>35</v>
      </c>
      <c r="M41" s="43"/>
      <c r="N41" s="51"/>
      <c r="O41" s="63" t="s">
        <v>307</v>
      </c>
      <c r="P41" s="41">
        <v>0</v>
      </c>
      <c r="Q41" s="40"/>
      <c r="R41" s="52" t="s">
        <v>307</v>
      </c>
      <c r="S41" s="52" t="s">
        <v>307</v>
      </c>
      <c r="T41" s="52" t="s">
        <v>307</v>
      </c>
      <c r="U41" s="53">
        <v>0</v>
      </c>
      <c r="V41" s="53">
        <v>0</v>
      </c>
      <c r="W41" s="54">
        <v>0</v>
      </c>
      <c r="X41" s="38">
        <v>0</v>
      </c>
      <c r="Y41" s="38">
        <v>0</v>
      </c>
      <c r="Z41" s="55">
        <f t="shared" si="0"/>
        <v>0</v>
      </c>
      <c r="AA41" s="38">
        <v>0</v>
      </c>
      <c r="AB41" s="56"/>
      <c r="AC41" s="34">
        <v>0</v>
      </c>
      <c r="AD41" s="34">
        <v>0</v>
      </c>
      <c r="AE41" s="34">
        <v>0</v>
      </c>
      <c r="AF41" s="57">
        <v>0</v>
      </c>
      <c r="AG41" s="34">
        <v>0</v>
      </c>
      <c r="AH41" s="34">
        <v>0</v>
      </c>
      <c r="AI41" s="58">
        <f t="shared" si="1"/>
        <v>0</v>
      </c>
      <c r="AJ41" s="31"/>
      <c r="AQ41" s="47"/>
      <c r="AR41" s="47"/>
      <c r="AS41" s="47"/>
      <c r="AT41" s="47"/>
      <c r="AU41" s="47"/>
      <c r="AV41" s="47"/>
      <c r="AW41" s="47"/>
      <c r="AX41" s="47"/>
      <c r="BE41" s="112">
        <v>50000</v>
      </c>
    </row>
    <row r="42" spans="1:57" ht="21.75" customHeight="1">
      <c r="A42" s="39"/>
      <c r="B42" s="43" t="s">
        <v>112</v>
      </c>
      <c r="C42" s="43" t="s">
        <v>289</v>
      </c>
      <c r="D42" s="43" t="s">
        <v>376</v>
      </c>
      <c r="E42" s="40" t="s">
        <v>224</v>
      </c>
      <c r="F42" s="43" t="s">
        <v>58</v>
      </c>
      <c r="G42" s="43" t="s">
        <v>166</v>
      </c>
      <c r="H42" s="43" t="s">
        <v>255</v>
      </c>
      <c r="I42" s="45">
        <v>50000</v>
      </c>
      <c r="J42" s="45"/>
      <c r="K42" s="43" t="s">
        <v>183</v>
      </c>
      <c r="L42" s="43" t="s">
        <v>35</v>
      </c>
      <c r="M42" s="43"/>
      <c r="N42" s="51"/>
      <c r="O42" s="63" t="s">
        <v>307</v>
      </c>
      <c r="P42" s="41">
        <v>0</v>
      </c>
      <c r="Q42" s="40" t="s">
        <v>308</v>
      </c>
      <c r="R42" s="52" t="s">
        <v>307</v>
      </c>
      <c r="S42" s="52" t="s">
        <v>307</v>
      </c>
      <c r="T42" s="52" t="s">
        <v>307</v>
      </c>
      <c r="U42" s="53">
        <v>0</v>
      </c>
      <c r="V42" s="53">
        <v>0</v>
      </c>
      <c r="W42" s="54">
        <v>0</v>
      </c>
      <c r="X42" s="38">
        <v>0</v>
      </c>
      <c r="Y42" s="38">
        <v>0</v>
      </c>
      <c r="Z42" s="55">
        <f t="shared" si="0"/>
        <v>0</v>
      </c>
      <c r="AA42" s="38">
        <v>0</v>
      </c>
      <c r="AB42" s="56"/>
      <c r="AC42" s="34">
        <v>0</v>
      </c>
      <c r="AD42" s="34">
        <v>0</v>
      </c>
      <c r="AE42" s="34">
        <v>0</v>
      </c>
      <c r="AF42" s="57">
        <v>0</v>
      </c>
      <c r="AG42" s="34">
        <v>0</v>
      </c>
      <c r="AH42" s="34">
        <v>0</v>
      </c>
      <c r="AI42" s="58">
        <f t="shared" si="1"/>
        <v>0</v>
      </c>
      <c r="AJ42" s="31" t="s">
        <v>309</v>
      </c>
      <c r="AQ42" s="47"/>
      <c r="AR42" s="47"/>
      <c r="AS42" s="47"/>
      <c r="AT42" s="47"/>
      <c r="AU42" s="47"/>
      <c r="AV42" s="47"/>
      <c r="AW42" s="47"/>
      <c r="AX42" s="47"/>
      <c r="BE42" s="112">
        <v>50000</v>
      </c>
    </row>
    <row r="43" spans="1:57" ht="21.75" customHeight="1">
      <c r="A43" s="39"/>
      <c r="B43" s="43" t="s">
        <v>112</v>
      </c>
      <c r="C43" s="43" t="s">
        <v>377</v>
      </c>
      <c r="D43" s="43" t="s">
        <v>378</v>
      </c>
      <c r="E43" s="40" t="s">
        <v>225</v>
      </c>
      <c r="F43" s="43" t="s">
        <v>59</v>
      </c>
      <c r="G43" s="43" t="s">
        <v>166</v>
      </c>
      <c r="H43" s="43" t="s">
        <v>254</v>
      </c>
      <c r="I43" s="45">
        <v>52386.66</v>
      </c>
      <c r="J43" s="45">
        <v>47245.40608695652</v>
      </c>
      <c r="K43" s="43" t="s">
        <v>273</v>
      </c>
      <c r="L43" s="43" t="s">
        <v>35</v>
      </c>
      <c r="M43" s="43"/>
      <c r="N43" s="51"/>
      <c r="O43" s="63" t="s">
        <v>307</v>
      </c>
      <c r="P43" s="41">
        <v>0</v>
      </c>
      <c r="Q43" s="40"/>
      <c r="R43" s="52" t="s">
        <v>307</v>
      </c>
      <c r="S43" s="52" t="s">
        <v>307</v>
      </c>
      <c r="T43" s="52" t="s">
        <v>307</v>
      </c>
      <c r="U43" s="53">
        <v>0</v>
      </c>
      <c r="V43" s="53">
        <v>0</v>
      </c>
      <c r="W43" s="54">
        <v>0</v>
      </c>
      <c r="X43" s="38">
        <v>0</v>
      </c>
      <c r="Y43" s="38">
        <v>0</v>
      </c>
      <c r="Z43" s="55">
        <f t="shared" si="0"/>
        <v>0</v>
      </c>
      <c r="AA43" s="38">
        <v>0</v>
      </c>
      <c r="AB43" s="56"/>
      <c r="AC43" s="34">
        <v>0</v>
      </c>
      <c r="AD43" s="34">
        <v>0</v>
      </c>
      <c r="AE43" s="34">
        <v>0</v>
      </c>
      <c r="AF43" s="57">
        <v>0</v>
      </c>
      <c r="AG43" s="34">
        <v>0</v>
      </c>
      <c r="AH43" s="34">
        <v>0</v>
      </c>
      <c r="AI43" s="58">
        <f t="shared" si="1"/>
        <v>0</v>
      </c>
      <c r="AJ43" s="31" t="s">
        <v>379</v>
      </c>
      <c r="AQ43" s="47"/>
      <c r="AR43" s="47"/>
      <c r="AS43" s="47"/>
      <c r="AT43" s="47"/>
      <c r="AU43" s="47"/>
      <c r="AV43" s="47"/>
      <c r="AW43" s="47"/>
      <c r="AX43" s="47"/>
      <c r="BE43" s="112">
        <v>46000</v>
      </c>
    </row>
    <row r="44" spans="1:57" ht="21.75" customHeight="1">
      <c r="A44" s="39"/>
      <c r="B44" s="43" t="s">
        <v>112</v>
      </c>
      <c r="C44" s="43" t="s">
        <v>125</v>
      </c>
      <c r="D44" s="43" t="s">
        <v>285</v>
      </c>
      <c r="E44" s="40" t="s">
        <v>226</v>
      </c>
      <c r="F44" s="43" t="s">
        <v>63</v>
      </c>
      <c r="G44" s="43" t="s">
        <v>167</v>
      </c>
      <c r="H44" s="46" t="s">
        <v>257</v>
      </c>
      <c r="I44" s="45">
        <v>6479897.11</v>
      </c>
      <c r="J44" s="45">
        <v>6465479.330434782</v>
      </c>
      <c r="K44" s="43" t="s">
        <v>272</v>
      </c>
      <c r="L44" s="43" t="s">
        <v>35</v>
      </c>
      <c r="M44" s="43" t="s">
        <v>324</v>
      </c>
      <c r="N44" s="51"/>
      <c r="O44" s="143" t="s">
        <v>316</v>
      </c>
      <c r="P44" s="42">
        <f>(15668363+14922250)*0.4/B153+(259728+247360+12551)*0.4</f>
        <v>234120.4003777797</v>
      </c>
      <c r="Q44" s="40" t="s">
        <v>627</v>
      </c>
      <c r="R44" s="91" t="s">
        <v>380</v>
      </c>
      <c r="S44" s="86">
        <v>40799</v>
      </c>
      <c r="T44" s="52" t="s">
        <v>381</v>
      </c>
      <c r="U44" s="53">
        <f>3820096/B153</f>
        <v>8199.74242294153</v>
      </c>
      <c r="V44" s="53">
        <f>U44</f>
        <v>8199.74242294153</v>
      </c>
      <c r="W44" s="54">
        <v>0</v>
      </c>
      <c r="X44" s="38">
        <v>0</v>
      </c>
      <c r="Y44" s="38">
        <v>0</v>
      </c>
      <c r="Z44" s="55">
        <f t="shared" si="0"/>
        <v>0</v>
      </c>
      <c r="AA44" s="38">
        <v>0</v>
      </c>
      <c r="AB44" s="93">
        <v>40501</v>
      </c>
      <c r="AC44" s="34">
        <f>11937800/484.91+197888.16</f>
        <v>222506.74901651853</v>
      </c>
      <c r="AD44" s="34">
        <v>484.91</v>
      </c>
      <c r="AE44" s="34">
        <f>20778.4*2+15831.2*2+(955024*2+1253469*2)/484.91</f>
        <v>82328.07793611186</v>
      </c>
      <c r="AF44" s="110">
        <f>+AC44-AE44</f>
        <v>140178.67108040667</v>
      </c>
      <c r="AG44" s="34">
        <v>0</v>
      </c>
      <c r="AH44" s="34">
        <f>20778.4+(15831.2*2)+31662+(1253469/484.91)+(955024*2+1910048)/484.91</f>
        <v>94565.70033202038</v>
      </c>
      <c r="AI44" s="34">
        <f>+AF44+AG44-AH44</f>
        <v>45612.97074838629</v>
      </c>
      <c r="AJ44" s="31" t="s">
        <v>382</v>
      </c>
      <c r="AQ44" s="47"/>
      <c r="AR44" s="47"/>
      <c r="AS44" s="47"/>
      <c r="AT44" s="47"/>
      <c r="AU44" s="47"/>
      <c r="AV44" s="47"/>
      <c r="AW44" s="47"/>
      <c r="AX44" s="47"/>
      <c r="BE44" s="112">
        <v>3500000</v>
      </c>
    </row>
    <row r="45" spans="1:57" ht="21.75" customHeight="1">
      <c r="A45" s="39"/>
      <c r="B45" s="43" t="s">
        <v>112</v>
      </c>
      <c r="C45" s="43" t="s">
        <v>125</v>
      </c>
      <c r="D45" s="43" t="s">
        <v>275</v>
      </c>
      <c r="E45" s="40" t="s">
        <v>383</v>
      </c>
      <c r="F45" s="43" t="s">
        <v>63</v>
      </c>
      <c r="G45" s="43" t="s">
        <v>167</v>
      </c>
      <c r="H45" s="46" t="s">
        <v>259</v>
      </c>
      <c r="I45" s="45"/>
      <c r="J45" s="45"/>
      <c r="K45" s="43" t="s">
        <v>272</v>
      </c>
      <c r="L45" s="43" t="s">
        <v>35</v>
      </c>
      <c r="M45" s="43" t="s">
        <v>324</v>
      </c>
      <c r="N45" s="51"/>
      <c r="O45" s="143" t="s">
        <v>316</v>
      </c>
      <c r="P45" s="42">
        <f>(15668363+14922250)*0.6/B153+(259728+247360+12551)*0.6</f>
        <v>351180.6005666695</v>
      </c>
      <c r="Q45" s="40" t="s">
        <v>627</v>
      </c>
      <c r="R45" s="91" t="s">
        <v>380</v>
      </c>
      <c r="S45" s="86">
        <v>40799</v>
      </c>
      <c r="T45" s="52" t="s">
        <v>381</v>
      </c>
      <c r="U45" s="53">
        <f>5730144/B153</f>
        <v>12299.613634412295</v>
      </c>
      <c r="V45" s="53">
        <f>U45</f>
        <v>12299.613634412295</v>
      </c>
      <c r="W45" s="54">
        <v>0</v>
      </c>
      <c r="X45" s="38">
        <v>0</v>
      </c>
      <c r="Y45" s="38">
        <v>0</v>
      </c>
      <c r="Z45" s="55">
        <f t="shared" si="0"/>
        <v>0</v>
      </c>
      <c r="AA45" s="38">
        <v>0</v>
      </c>
      <c r="AB45" s="94">
        <v>40501</v>
      </c>
      <c r="AC45" s="95">
        <f>17906700/484.89+296832.24</f>
        <v>333761.64666955394</v>
      </c>
      <c r="AD45" s="95">
        <v>484.89</v>
      </c>
      <c r="AE45" s="95">
        <f>31167.6+31167.6+23746.8+(1880204+2*1432536+1880204)/484.89</f>
        <v>99745.88253005837</v>
      </c>
      <c r="AF45" s="111">
        <f>+AC45-AE45</f>
        <v>234015.76413949556</v>
      </c>
      <c r="AG45" s="34">
        <v>0</v>
      </c>
      <c r="AH45" s="95">
        <f>(23746.8*3)+47493+31167.6+(1880204/484.89)+(2865072/484.89+(1432536*2)/484.89)</f>
        <v>165595.99886572213</v>
      </c>
      <c r="AI45" s="95">
        <f>+AF45+AG45-AH45</f>
        <v>68419.76527377343</v>
      </c>
      <c r="AJ45" s="31" t="s">
        <v>384</v>
      </c>
      <c r="AQ45" s="47"/>
      <c r="AR45" s="47"/>
      <c r="AS45" s="47"/>
      <c r="AT45" s="47"/>
      <c r="AU45" s="47"/>
      <c r="AV45" s="47"/>
      <c r="AW45" s="47"/>
      <c r="AX45" s="47"/>
      <c r="BE45" s="112"/>
    </row>
    <row r="46" spans="1:57" ht="21.75" customHeight="1">
      <c r="A46" s="39"/>
      <c r="B46" s="43" t="s">
        <v>112</v>
      </c>
      <c r="C46" s="43" t="s">
        <v>385</v>
      </c>
      <c r="D46" s="43" t="s">
        <v>386</v>
      </c>
      <c r="E46" s="40" t="s">
        <v>227</v>
      </c>
      <c r="F46" s="43" t="s">
        <v>59</v>
      </c>
      <c r="G46" s="43" t="s">
        <v>167</v>
      </c>
      <c r="H46" s="46" t="s">
        <v>257</v>
      </c>
      <c r="I46" s="45">
        <v>52400</v>
      </c>
      <c r="J46" s="45">
        <v>58222</v>
      </c>
      <c r="K46" s="43" t="s">
        <v>273</v>
      </c>
      <c r="L46" s="43" t="s">
        <v>35</v>
      </c>
      <c r="M46" s="43"/>
      <c r="N46" s="51"/>
      <c r="O46" s="63" t="s">
        <v>307</v>
      </c>
      <c r="P46" s="41">
        <v>0</v>
      </c>
      <c r="Q46" s="40"/>
      <c r="R46" s="52" t="s">
        <v>307</v>
      </c>
      <c r="S46" s="52" t="s">
        <v>307</v>
      </c>
      <c r="T46" s="52" t="s">
        <v>307</v>
      </c>
      <c r="U46" s="53">
        <v>0</v>
      </c>
      <c r="V46" s="53">
        <v>0</v>
      </c>
      <c r="W46" s="54">
        <v>0</v>
      </c>
      <c r="X46" s="38">
        <v>0</v>
      </c>
      <c r="Y46" s="38">
        <v>0</v>
      </c>
      <c r="Z46" s="55">
        <f t="shared" si="0"/>
        <v>0</v>
      </c>
      <c r="AA46" s="38">
        <v>0</v>
      </c>
      <c r="AB46" s="56"/>
      <c r="AC46" s="34">
        <v>0</v>
      </c>
      <c r="AD46" s="34">
        <v>0</v>
      </c>
      <c r="AE46" s="34">
        <v>0</v>
      </c>
      <c r="AF46" s="57">
        <v>0</v>
      </c>
      <c r="AG46" s="34">
        <v>0</v>
      </c>
      <c r="AH46" s="34">
        <v>0</v>
      </c>
      <c r="AI46" s="58">
        <f>+AF46+AG46-AH46</f>
        <v>0</v>
      </c>
      <c r="AJ46" s="31" t="s">
        <v>387</v>
      </c>
      <c r="AQ46" s="47"/>
      <c r="AR46" s="47"/>
      <c r="AS46" s="47"/>
      <c r="AT46" s="47"/>
      <c r="AU46" s="47"/>
      <c r="AV46" s="47"/>
      <c r="AW46" s="47"/>
      <c r="AX46" s="47"/>
      <c r="BE46" s="112">
        <v>125000</v>
      </c>
    </row>
    <row r="47" spans="1:57" ht="21.75" customHeight="1">
      <c r="A47" s="39"/>
      <c r="B47" s="43" t="s">
        <v>112</v>
      </c>
      <c r="C47" s="43" t="s">
        <v>126</v>
      </c>
      <c r="D47" s="43" t="s">
        <v>153</v>
      </c>
      <c r="E47" s="40" t="s">
        <v>228</v>
      </c>
      <c r="F47" s="43" t="s">
        <v>63</v>
      </c>
      <c r="G47" s="43" t="s">
        <v>167</v>
      </c>
      <c r="H47" s="46" t="s">
        <v>257</v>
      </c>
      <c r="I47" s="45">
        <v>13573415</v>
      </c>
      <c r="J47" s="45">
        <v>16182265</v>
      </c>
      <c r="K47" s="43" t="s">
        <v>271</v>
      </c>
      <c r="L47" s="43" t="s">
        <v>35</v>
      </c>
      <c r="M47" s="43" t="s">
        <v>324</v>
      </c>
      <c r="N47" s="51">
        <v>591837</v>
      </c>
      <c r="O47" s="143" t="s">
        <v>388</v>
      </c>
      <c r="P47" s="42">
        <v>62735.583333333336</v>
      </c>
      <c r="Q47" s="40" t="s">
        <v>389</v>
      </c>
      <c r="R47" s="52" t="s">
        <v>390</v>
      </c>
      <c r="S47" s="86">
        <v>40646</v>
      </c>
      <c r="T47" s="88">
        <v>40664</v>
      </c>
      <c r="U47" s="53">
        <f>V47</f>
        <v>250837</v>
      </c>
      <c r="V47" s="53">
        <f>250837</f>
        <v>250837</v>
      </c>
      <c r="W47" s="54">
        <v>0</v>
      </c>
      <c r="X47" s="38">
        <v>0</v>
      </c>
      <c r="Y47" s="38">
        <v>0</v>
      </c>
      <c r="Z47" s="55">
        <f t="shared" si="0"/>
        <v>0</v>
      </c>
      <c r="AA47" s="38">
        <v>0</v>
      </c>
      <c r="AB47" s="56"/>
      <c r="AC47" s="34">
        <v>0</v>
      </c>
      <c r="AD47" s="34">
        <v>0</v>
      </c>
      <c r="AE47" s="34">
        <v>0</v>
      </c>
      <c r="AF47" s="57">
        <v>0</v>
      </c>
      <c r="AG47" s="34">
        <v>0</v>
      </c>
      <c r="AH47" s="34">
        <v>0</v>
      </c>
      <c r="AI47" s="58">
        <f>+AF47+AG47-AH47</f>
        <v>0</v>
      </c>
      <c r="AJ47" s="31" t="s">
        <v>391</v>
      </c>
      <c r="AQ47" s="47"/>
      <c r="AR47" s="47"/>
      <c r="AS47" s="47"/>
      <c r="AT47" s="47"/>
      <c r="AU47" s="47"/>
      <c r="AV47" s="47"/>
      <c r="AW47" s="47"/>
      <c r="AX47" s="47"/>
      <c r="BE47" s="112">
        <v>14200000</v>
      </c>
    </row>
    <row r="48" spans="1:57" ht="21.75" customHeight="1">
      <c r="A48" s="39"/>
      <c r="B48" s="43" t="s">
        <v>112</v>
      </c>
      <c r="C48" s="43" t="s">
        <v>126</v>
      </c>
      <c r="D48" s="43" t="s">
        <v>274</v>
      </c>
      <c r="E48" s="40" t="s">
        <v>228</v>
      </c>
      <c r="F48" s="43" t="s">
        <v>63</v>
      </c>
      <c r="G48" s="43" t="s">
        <v>167</v>
      </c>
      <c r="H48" s="46" t="s">
        <v>259</v>
      </c>
      <c r="I48" s="45"/>
      <c r="J48" s="45"/>
      <c r="K48" s="43" t="s">
        <v>271</v>
      </c>
      <c r="L48" s="43" t="s">
        <v>10</v>
      </c>
      <c r="M48" s="43" t="s">
        <v>324</v>
      </c>
      <c r="N48" s="51"/>
      <c r="O48" s="143" t="s">
        <v>388</v>
      </c>
      <c r="P48" s="42">
        <v>210160.8333333333</v>
      </c>
      <c r="Q48" s="40" t="s">
        <v>392</v>
      </c>
      <c r="R48" s="52">
        <v>109360</v>
      </c>
      <c r="S48" s="86">
        <v>40646</v>
      </c>
      <c r="T48" s="88">
        <v>40634</v>
      </c>
      <c r="U48" s="53">
        <f>V48</f>
        <v>315241.25</v>
      </c>
      <c r="V48" s="53">
        <v>315241.25</v>
      </c>
      <c r="W48" s="54">
        <v>0</v>
      </c>
      <c r="X48" s="38">
        <v>0</v>
      </c>
      <c r="Y48" s="38">
        <v>0</v>
      </c>
      <c r="Z48" s="55">
        <f t="shared" si="0"/>
        <v>0</v>
      </c>
      <c r="AA48" s="38">
        <v>0</v>
      </c>
      <c r="AB48" s="56"/>
      <c r="AC48" s="34">
        <v>0</v>
      </c>
      <c r="AD48" s="34">
        <v>0</v>
      </c>
      <c r="AE48" s="34">
        <v>0</v>
      </c>
      <c r="AF48" s="57">
        <v>0</v>
      </c>
      <c r="AG48" s="34">
        <v>0</v>
      </c>
      <c r="AH48" s="34">
        <v>0</v>
      </c>
      <c r="AI48" s="58">
        <f>+AF48+AG48-AH48</f>
        <v>0</v>
      </c>
      <c r="AJ48" s="31" t="s">
        <v>393</v>
      </c>
      <c r="AL48" s="43"/>
      <c r="BE48" s="113"/>
    </row>
    <row r="49" spans="1:57" ht="21.75" customHeight="1">
      <c r="A49" s="39"/>
      <c r="B49" s="43" t="s">
        <v>112</v>
      </c>
      <c r="C49" s="43" t="s">
        <v>117</v>
      </c>
      <c r="D49" s="43" t="s">
        <v>154</v>
      </c>
      <c r="E49" s="40" t="s">
        <v>229</v>
      </c>
      <c r="F49" s="43" t="s">
        <v>63</v>
      </c>
      <c r="G49" s="43" t="s">
        <v>167</v>
      </c>
      <c r="H49" s="43" t="s">
        <v>257</v>
      </c>
      <c r="I49" s="45">
        <v>32000000</v>
      </c>
      <c r="J49" s="45">
        <v>45871563.79782609</v>
      </c>
      <c r="K49" s="43" t="s">
        <v>273</v>
      </c>
      <c r="L49" s="43" t="s">
        <v>35</v>
      </c>
      <c r="M49" s="43" t="s">
        <v>324</v>
      </c>
      <c r="N49" s="51">
        <v>252000</v>
      </c>
      <c r="O49" s="143" t="s">
        <v>388</v>
      </c>
      <c r="P49" s="42">
        <f>1773595341/B153</f>
        <v>3806978.923757191</v>
      </c>
      <c r="Q49" s="40" t="s">
        <v>394</v>
      </c>
      <c r="R49" s="52" t="s">
        <v>307</v>
      </c>
      <c r="S49" s="52" t="s">
        <v>307</v>
      </c>
      <c r="T49" s="52" t="s">
        <v>307</v>
      </c>
      <c r="U49" s="53">
        <v>0</v>
      </c>
      <c r="V49" s="53">
        <v>0</v>
      </c>
      <c r="W49" s="54">
        <v>0</v>
      </c>
      <c r="X49" s="38">
        <f>191860975/B153</f>
        <v>411824.87979737273</v>
      </c>
      <c r="Y49" s="38">
        <v>0</v>
      </c>
      <c r="Z49" s="55">
        <f>+AA49-W49-X49+Y49</f>
        <v>0</v>
      </c>
      <c r="AA49" s="38">
        <f>191860975/B153</f>
        <v>411824.87979737273</v>
      </c>
      <c r="AB49" s="56">
        <v>40717</v>
      </c>
      <c r="AC49" s="34">
        <f>2110091934/441.87</f>
        <v>4775368.171634191</v>
      </c>
      <c r="AD49" s="34">
        <v>441.87</v>
      </c>
      <c r="AE49" s="34">
        <v>0</v>
      </c>
      <c r="AF49" s="110">
        <f>+AC49-AE49</f>
        <v>4775368.171634191</v>
      </c>
      <c r="AG49" s="34">
        <v>0</v>
      </c>
      <c r="AH49" s="34">
        <v>0</v>
      </c>
      <c r="AI49" s="58">
        <f t="shared" si="1"/>
        <v>4775368.171634191</v>
      </c>
      <c r="AJ49" s="31" t="s">
        <v>395</v>
      </c>
      <c r="AQ49" s="47"/>
      <c r="AR49" s="47"/>
      <c r="AS49" s="47"/>
      <c r="AT49" s="47"/>
      <c r="AU49" s="47"/>
      <c r="AV49" s="47"/>
      <c r="AW49" s="47"/>
      <c r="AX49" s="47"/>
      <c r="BE49" s="112">
        <v>32000000</v>
      </c>
    </row>
    <row r="50" spans="1:57" ht="21.75" customHeight="1">
      <c r="A50" s="39"/>
      <c r="B50" s="43" t="s">
        <v>112</v>
      </c>
      <c r="C50" s="43" t="s">
        <v>127</v>
      </c>
      <c r="D50" s="43" t="s">
        <v>155</v>
      </c>
      <c r="E50" s="40" t="s">
        <v>230</v>
      </c>
      <c r="F50" s="43" t="s">
        <v>63</v>
      </c>
      <c r="G50" s="43" t="s">
        <v>167</v>
      </c>
      <c r="H50" s="46" t="s">
        <v>259</v>
      </c>
      <c r="I50" s="45">
        <v>104777.78</v>
      </c>
      <c r="J50" s="45">
        <v>106956.52173913043</v>
      </c>
      <c r="K50" s="43" t="s">
        <v>273</v>
      </c>
      <c r="L50" s="43" t="s">
        <v>35</v>
      </c>
      <c r="M50" s="43"/>
      <c r="N50" s="51"/>
      <c r="O50" s="63" t="s">
        <v>307</v>
      </c>
      <c r="P50" s="42">
        <v>0</v>
      </c>
      <c r="Q50" s="63" t="s">
        <v>396</v>
      </c>
      <c r="R50" s="52" t="s">
        <v>307</v>
      </c>
      <c r="S50" s="52" t="s">
        <v>307</v>
      </c>
      <c r="T50" s="52" t="s">
        <v>307</v>
      </c>
      <c r="U50" s="53">
        <v>0</v>
      </c>
      <c r="V50" s="53">
        <v>0</v>
      </c>
      <c r="W50" s="54">
        <v>0</v>
      </c>
      <c r="X50" s="38">
        <v>0</v>
      </c>
      <c r="Y50" s="38">
        <v>0</v>
      </c>
      <c r="Z50" s="55">
        <f t="shared" si="0"/>
        <v>0</v>
      </c>
      <c r="AA50" s="38">
        <v>0</v>
      </c>
      <c r="AB50" s="56"/>
      <c r="AC50" s="34">
        <v>0</v>
      </c>
      <c r="AD50" s="34">
        <v>0</v>
      </c>
      <c r="AE50" s="34">
        <v>0</v>
      </c>
      <c r="AF50" s="57">
        <v>0</v>
      </c>
      <c r="AG50" s="34">
        <v>0</v>
      </c>
      <c r="AH50" s="34">
        <v>0</v>
      </c>
      <c r="AI50" s="58">
        <f t="shared" si="1"/>
        <v>0</v>
      </c>
      <c r="AJ50" s="31"/>
      <c r="AQ50" s="47"/>
      <c r="AR50" s="47"/>
      <c r="AS50" s="47"/>
      <c r="AT50" s="47"/>
      <c r="AU50" s="47"/>
      <c r="AV50" s="47"/>
      <c r="AW50" s="47"/>
      <c r="AX50" s="47"/>
      <c r="BE50" s="112">
        <v>83333</v>
      </c>
    </row>
    <row r="51" spans="1:57" ht="21.75" customHeight="1">
      <c r="A51" s="39"/>
      <c r="B51" s="43" t="s">
        <v>112</v>
      </c>
      <c r="C51" s="43" t="s">
        <v>289</v>
      </c>
      <c r="D51" s="43" t="s">
        <v>397</v>
      </c>
      <c r="E51" s="40" t="s">
        <v>231</v>
      </c>
      <c r="F51" s="43" t="s">
        <v>58</v>
      </c>
      <c r="G51" s="43" t="s">
        <v>167</v>
      </c>
      <c r="H51" s="46" t="s">
        <v>260</v>
      </c>
      <c r="I51" s="45">
        <v>100000</v>
      </c>
      <c r="J51" s="45"/>
      <c r="K51" s="43" t="s">
        <v>183</v>
      </c>
      <c r="L51" s="43" t="s">
        <v>35</v>
      </c>
      <c r="M51" s="43"/>
      <c r="N51" s="51"/>
      <c r="O51" s="63" t="s">
        <v>307</v>
      </c>
      <c r="P51" s="42">
        <v>0</v>
      </c>
      <c r="Q51" s="40" t="s">
        <v>308</v>
      </c>
      <c r="R51" s="52" t="s">
        <v>307</v>
      </c>
      <c r="S51" s="52" t="s">
        <v>307</v>
      </c>
      <c r="T51" s="52" t="s">
        <v>307</v>
      </c>
      <c r="U51" s="53">
        <v>0</v>
      </c>
      <c r="V51" s="53">
        <v>0</v>
      </c>
      <c r="W51" s="54">
        <v>0</v>
      </c>
      <c r="X51" s="38">
        <v>0</v>
      </c>
      <c r="Y51" s="38">
        <v>0</v>
      </c>
      <c r="Z51" s="55">
        <f t="shared" si="0"/>
        <v>0</v>
      </c>
      <c r="AA51" s="38">
        <v>0</v>
      </c>
      <c r="AB51" s="56"/>
      <c r="AC51" s="34">
        <v>0</v>
      </c>
      <c r="AD51" s="34">
        <v>0</v>
      </c>
      <c r="AE51" s="34">
        <v>0</v>
      </c>
      <c r="AF51" s="57">
        <v>0</v>
      </c>
      <c r="AG51" s="34">
        <v>0</v>
      </c>
      <c r="AH51" s="34">
        <v>0</v>
      </c>
      <c r="AI51" s="58">
        <f t="shared" si="1"/>
        <v>0</v>
      </c>
      <c r="AJ51" s="31" t="s">
        <v>309</v>
      </c>
      <c r="AQ51" s="47"/>
      <c r="AR51" s="47"/>
      <c r="AS51" s="47"/>
      <c r="AT51" s="47"/>
      <c r="AU51" s="47"/>
      <c r="AV51" s="47"/>
      <c r="AW51" s="47"/>
      <c r="AX51" s="47"/>
      <c r="BE51" s="112">
        <v>100000</v>
      </c>
    </row>
    <row r="52" spans="1:57" ht="21.75" customHeight="1">
      <c r="A52" s="39"/>
      <c r="B52" s="43" t="s">
        <v>112</v>
      </c>
      <c r="C52" s="43" t="s">
        <v>289</v>
      </c>
      <c r="D52" s="43" t="s">
        <v>398</v>
      </c>
      <c r="E52" s="40" t="s">
        <v>232</v>
      </c>
      <c r="F52" s="43" t="s">
        <v>58</v>
      </c>
      <c r="G52" s="43" t="s">
        <v>167</v>
      </c>
      <c r="H52" s="46" t="s">
        <v>260</v>
      </c>
      <c r="I52" s="45">
        <v>100000</v>
      </c>
      <c r="J52" s="45"/>
      <c r="K52" s="43" t="s">
        <v>183</v>
      </c>
      <c r="L52" s="43" t="s">
        <v>35</v>
      </c>
      <c r="M52" s="43"/>
      <c r="N52" s="51"/>
      <c r="O52" s="63" t="s">
        <v>307</v>
      </c>
      <c r="P52" s="42">
        <v>0</v>
      </c>
      <c r="Q52" s="40" t="s">
        <v>308</v>
      </c>
      <c r="R52" s="52" t="s">
        <v>307</v>
      </c>
      <c r="S52" s="52" t="s">
        <v>307</v>
      </c>
      <c r="T52" s="52" t="s">
        <v>307</v>
      </c>
      <c r="U52" s="53">
        <v>0</v>
      </c>
      <c r="V52" s="53">
        <v>0</v>
      </c>
      <c r="W52" s="54">
        <v>0</v>
      </c>
      <c r="X52" s="38">
        <v>0</v>
      </c>
      <c r="Y52" s="38">
        <v>0</v>
      </c>
      <c r="Z52" s="55">
        <f t="shared" si="0"/>
        <v>0</v>
      </c>
      <c r="AA52" s="38">
        <v>0</v>
      </c>
      <c r="AB52" s="56"/>
      <c r="AC52" s="34">
        <v>0</v>
      </c>
      <c r="AD52" s="34">
        <v>0</v>
      </c>
      <c r="AE52" s="34">
        <v>0</v>
      </c>
      <c r="AF52" s="57">
        <v>0</v>
      </c>
      <c r="AG52" s="34">
        <v>0</v>
      </c>
      <c r="AH52" s="34">
        <v>0</v>
      </c>
      <c r="AI52" s="58">
        <f t="shared" si="1"/>
        <v>0</v>
      </c>
      <c r="AJ52" s="31" t="s">
        <v>309</v>
      </c>
      <c r="AQ52" s="47"/>
      <c r="AR52" s="47"/>
      <c r="AS52" s="47"/>
      <c r="AT52" s="47"/>
      <c r="AU52" s="47"/>
      <c r="AV52" s="47"/>
      <c r="AW52" s="47"/>
      <c r="AX52" s="47"/>
      <c r="BE52" s="112">
        <v>100000</v>
      </c>
    </row>
    <row r="53" spans="1:57" ht="21.75" customHeight="1">
      <c r="A53" s="39"/>
      <c r="B53" s="43" t="s">
        <v>112</v>
      </c>
      <c r="C53" s="43" t="s">
        <v>289</v>
      </c>
      <c r="D53" s="43" t="s">
        <v>399</v>
      </c>
      <c r="E53" s="40" t="s">
        <v>233</v>
      </c>
      <c r="F53" s="43" t="s">
        <v>58</v>
      </c>
      <c r="G53" s="43" t="s">
        <v>167</v>
      </c>
      <c r="H53" s="46" t="s">
        <v>260</v>
      </c>
      <c r="I53" s="45">
        <v>100000</v>
      </c>
      <c r="J53" s="45"/>
      <c r="K53" s="43" t="s">
        <v>183</v>
      </c>
      <c r="L53" s="43" t="s">
        <v>35</v>
      </c>
      <c r="M53" s="43"/>
      <c r="N53" s="51"/>
      <c r="O53" s="63" t="s">
        <v>307</v>
      </c>
      <c r="P53" s="42">
        <v>0</v>
      </c>
      <c r="Q53" s="40" t="s">
        <v>308</v>
      </c>
      <c r="R53" s="52" t="s">
        <v>307</v>
      </c>
      <c r="S53" s="52" t="s">
        <v>307</v>
      </c>
      <c r="T53" s="52" t="s">
        <v>307</v>
      </c>
      <c r="U53" s="53">
        <v>0</v>
      </c>
      <c r="V53" s="53">
        <v>0</v>
      </c>
      <c r="W53" s="54">
        <v>0</v>
      </c>
      <c r="X53" s="38">
        <v>0</v>
      </c>
      <c r="Y53" s="38">
        <v>0</v>
      </c>
      <c r="Z53" s="55">
        <f t="shared" si="0"/>
        <v>0</v>
      </c>
      <c r="AA53" s="38">
        <v>0</v>
      </c>
      <c r="AB53" s="56"/>
      <c r="AC53" s="34">
        <v>0</v>
      </c>
      <c r="AD53" s="34">
        <v>0</v>
      </c>
      <c r="AE53" s="34">
        <v>0</v>
      </c>
      <c r="AF53" s="57">
        <v>0</v>
      </c>
      <c r="AG53" s="34">
        <v>0</v>
      </c>
      <c r="AH53" s="34">
        <v>0</v>
      </c>
      <c r="AI53" s="58">
        <f t="shared" si="1"/>
        <v>0</v>
      </c>
      <c r="AJ53" s="31" t="s">
        <v>309</v>
      </c>
      <c r="AQ53" s="47"/>
      <c r="AR53" s="47"/>
      <c r="AS53" s="47"/>
      <c r="AT53" s="47"/>
      <c r="AU53" s="47"/>
      <c r="AV53" s="47"/>
      <c r="AW53" s="47"/>
      <c r="AX53" s="47"/>
      <c r="BE53" s="112">
        <v>100000</v>
      </c>
    </row>
    <row r="54" spans="1:57" ht="21.75" customHeight="1">
      <c r="A54" s="39"/>
      <c r="B54" s="43" t="s">
        <v>112</v>
      </c>
      <c r="C54" s="43" t="s">
        <v>122</v>
      </c>
      <c r="D54" s="43" t="s">
        <v>156</v>
      </c>
      <c r="E54" s="40" t="s">
        <v>234</v>
      </c>
      <c r="F54" s="43" t="s">
        <v>63</v>
      </c>
      <c r="G54" s="43" t="s">
        <v>167</v>
      </c>
      <c r="H54" s="46" t="s">
        <v>259</v>
      </c>
      <c r="I54" s="45">
        <v>71619477</v>
      </c>
      <c r="J54" s="45">
        <v>78457717</v>
      </c>
      <c r="K54" s="43" t="s">
        <v>271</v>
      </c>
      <c r="L54" s="43" t="s">
        <v>35</v>
      </c>
      <c r="M54" s="43" t="s">
        <v>315</v>
      </c>
      <c r="N54" s="51">
        <v>3306283</v>
      </c>
      <c r="O54" s="143" t="s">
        <v>388</v>
      </c>
      <c r="P54" s="51">
        <v>1098224.56</v>
      </c>
      <c r="Q54" s="40" t="s">
        <v>335</v>
      </c>
      <c r="R54" s="52" t="s">
        <v>307</v>
      </c>
      <c r="S54" s="52" t="s">
        <v>307</v>
      </c>
      <c r="T54" s="52" t="s">
        <v>307</v>
      </c>
      <c r="U54" s="53">
        <v>0</v>
      </c>
      <c r="V54" s="53">
        <v>0</v>
      </c>
      <c r="W54" s="54">
        <v>0</v>
      </c>
      <c r="X54" s="38">
        <v>0</v>
      </c>
      <c r="Y54" s="38">
        <v>0</v>
      </c>
      <c r="Z54" s="55">
        <f t="shared" si="0"/>
        <v>0</v>
      </c>
      <c r="AA54" s="38">
        <v>0</v>
      </c>
      <c r="AB54" s="56">
        <v>40410</v>
      </c>
      <c r="AC54" s="34">
        <v>0</v>
      </c>
      <c r="AD54" s="34">
        <v>0</v>
      </c>
      <c r="AE54" s="34">
        <v>0</v>
      </c>
      <c r="AF54" s="57">
        <v>10742921.55</v>
      </c>
      <c r="AG54" s="34">
        <v>0</v>
      </c>
      <c r="AH54" s="34">
        <v>0</v>
      </c>
      <c r="AI54" s="57">
        <f t="shared" si="1"/>
        <v>10742921.55</v>
      </c>
      <c r="AJ54" s="31" t="s">
        <v>400</v>
      </c>
      <c r="AQ54" s="47"/>
      <c r="AR54" s="47"/>
      <c r="AS54" s="47"/>
      <c r="AT54" s="47"/>
      <c r="AU54" s="47"/>
      <c r="AV54" s="47"/>
      <c r="AW54" s="47"/>
      <c r="AX54" s="47"/>
      <c r="BE54" s="112">
        <v>69000000</v>
      </c>
    </row>
    <row r="55" spans="1:57" ht="21.75" customHeight="1">
      <c r="A55" s="39"/>
      <c r="B55" s="43" t="s">
        <v>112</v>
      </c>
      <c r="C55" s="43" t="s">
        <v>401</v>
      </c>
      <c r="D55" s="43" t="s">
        <v>402</v>
      </c>
      <c r="E55" s="40" t="s">
        <v>235</v>
      </c>
      <c r="F55" s="43" t="s">
        <v>63</v>
      </c>
      <c r="G55" s="43" t="s">
        <v>33</v>
      </c>
      <c r="H55" s="46" t="s">
        <v>261</v>
      </c>
      <c r="I55" s="45">
        <v>90000</v>
      </c>
      <c r="J55" s="45">
        <v>35985</v>
      </c>
      <c r="K55" s="43" t="s">
        <v>273</v>
      </c>
      <c r="L55" s="43" t="s">
        <v>35</v>
      </c>
      <c r="M55" s="43" t="s">
        <v>324</v>
      </c>
      <c r="N55" s="51"/>
      <c r="O55" s="165" t="s">
        <v>403</v>
      </c>
      <c r="P55" s="42">
        <f>J55*0.7*0.3</f>
        <v>7556.849999999999</v>
      </c>
      <c r="Q55" s="40" t="s">
        <v>404</v>
      </c>
      <c r="R55" s="52" t="s">
        <v>405</v>
      </c>
      <c r="S55" s="86" t="s">
        <v>406</v>
      </c>
      <c r="T55" s="86">
        <v>40813</v>
      </c>
      <c r="U55" s="53">
        <f>8276500/B153</f>
        <v>17765.304370224094</v>
      </c>
      <c r="V55" s="53">
        <f>U55</f>
        <v>17765.304370224094</v>
      </c>
      <c r="W55" s="54">
        <v>0</v>
      </c>
      <c r="X55" s="38">
        <v>0</v>
      </c>
      <c r="Y55" s="38">
        <v>0</v>
      </c>
      <c r="Z55" s="55">
        <f t="shared" si="0"/>
        <v>0</v>
      </c>
      <c r="AA55" s="38">
        <v>0</v>
      </c>
      <c r="AB55" s="56"/>
      <c r="AC55" s="34">
        <v>0</v>
      </c>
      <c r="AD55" s="34">
        <v>0</v>
      </c>
      <c r="AE55" s="34">
        <v>0</v>
      </c>
      <c r="AF55" s="57">
        <v>0</v>
      </c>
      <c r="AG55" s="34">
        <v>0</v>
      </c>
      <c r="AH55" s="34">
        <v>0</v>
      </c>
      <c r="AI55" s="58">
        <f t="shared" si="1"/>
        <v>0</v>
      </c>
      <c r="AJ55" s="31" t="s">
        <v>407</v>
      </c>
      <c r="AQ55" s="47"/>
      <c r="AR55" s="47"/>
      <c r="AS55" s="47"/>
      <c r="AT55" s="47"/>
      <c r="AU55" s="47"/>
      <c r="AV55" s="47"/>
      <c r="AW55" s="47"/>
      <c r="AX55" s="47"/>
      <c r="BE55" s="112">
        <v>90000</v>
      </c>
    </row>
    <row r="56" spans="1:57" ht="21.75" customHeight="1">
      <c r="A56" s="39"/>
      <c r="B56" s="43" t="s">
        <v>112</v>
      </c>
      <c r="C56" s="43" t="s">
        <v>289</v>
      </c>
      <c r="D56" s="43" t="s">
        <v>408</v>
      </c>
      <c r="E56" s="40" t="s">
        <v>236</v>
      </c>
      <c r="F56" s="43" t="s">
        <v>58</v>
      </c>
      <c r="G56" s="43" t="s">
        <v>33</v>
      </c>
      <c r="H56" s="46" t="s">
        <v>261</v>
      </c>
      <c r="I56" s="45">
        <v>100000</v>
      </c>
      <c r="J56" s="45">
        <v>0</v>
      </c>
      <c r="K56" s="43" t="s">
        <v>183</v>
      </c>
      <c r="L56" s="43" t="s">
        <v>35</v>
      </c>
      <c r="M56" s="43"/>
      <c r="N56" s="51"/>
      <c r="O56" s="63" t="s">
        <v>307</v>
      </c>
      <c r="P56" s="42">
        <v>0</v>
      </c>
      <c r="Q56" s="40" t="s">
        <v>308</v>
      </c>
      <c r="R56" s="52" t="s">
        <v>307</v>
      </c>
      <c r="S56" s="52" t="s">
        <v>307</v>
      </c>
      <c r="T56" s="52" t="s">
        <v>307</v>
      </c>
      <c r="U56" s="53">
        <v>0</v>
      </c>
      <c r="V56" s="53">
        <v>0</v>
      </c>
      <c r="W56" s="54">
        <v>0</v>
      </c>
      <c r="X56" s="38">
        <v>0</v>
      </c>
      <c r="Y56" s="38">
        <v>0</v>
      </c>
      <c r="Z56" s="55">
        <f t="shared" si="0"/>
        <v>0</v>
      </c>
      <c r="AA56" s="38">
        <v>0</v>
      </c>
      <c r="AB56" s="56"/>
      <c r="AC56" s="34">
        <v>0</v>
      </c>
      <c r="AD56" s="34">
        <v>0</v>
      </c>
      <c r="AE56" s="34">
        <v>0</v>
      </c>
      <c r="AF56" s="57">
        <v>0</v>
      </c>
      <c r="AG56" s="34">
        <v>0</v>
      </c>
      <c r="AH56" s="34">
        <v>0</v>
      </c>
      <c r="AI56" s="58">
        <f t="shared" si="1"/>
        <v>0</v>
      </c>
      <c r="AJ56" s="31" t="s">
        <v>309</v>
      </c>
      <c r="AQ56" s="47"/>
      <c r="AR56" s="47"/>
      <c r="AS56" s="47"/>
      <c r="AT56" s="47"/>
      <c r="AU56" s="47"/>
      <c r="AV56" s="47"/>
      <c r="AW56" s="47"/>
      <c r="AX56" s="47"/>
      <c r="BE56" s="112">
        <v>100000</v>
      </c>
    </row>
    <row r="57" spans="1:57" ht="21.75" customHeight="1">
      <c r="A57" s="39"/>
      <c r="B57" s="43" t="s">
        <v>112</v>
      </c>
      <c r="C57" s="43" t="s">
        <v>128</v>
      </c>
      <c r="D57" s="43" t="s">
        <v>157</v>
      </c>
      <c r="E57" s="40" t="s">
        <v>237</v>
      </c>
      <c r="F57" s="43" t="s">
        <v>63</v>
      </c>
      <c r="G57" s="43" t="s">
        <v>33</v>
      </c>
      <c r="H57" s="46" t="s">
        <v>261</v>
      </c>
      <c r="I57" s="45">
        <v>800000</v>
      </c>
      <c r="J57" s="45">
        <v>878480</v>
      </c>
      <c r="K57" s="43" t="s">
        <v>273</v>
      </c>
      <c r="L57" s="43" t="s">
        <v>35</v>
      </c>
      <c r="M57" s="43" t="s">
        <v>315</v>
      </c>
      <c r="N57" s="51"/>
      <c r="O57" s="63" t="s">
        <v>409</v>
      </c>
      <c r="P57" s="42">
        <f>27490.4+7099422/B153</f>
        <v>42729.13529664291</v>
      </c>
      <c r="Q57" s="40" t="s">
        <v>404</v>
      </c>
      <c r="R57" s="52" t="s">
        <v>307</v>
      </c>
      <c r="S57" s="52" t="s">
        <v>307</v>
      </c>
      <c r="T57" s="52" t="s">
        <v>307</v>
      </c>
      <c r="U57" s="53">
        <v>0</v>
      </c>
      <c r="V57" s="53">
        <v>0</v>
      </c>
      <c r="W57" s="54">
        <v>0</v>
      </c>
      <c r="X57" s="38">
        <v>0</v>
      </c>
      <c r="Y57" s="38">
        <v>0</v>
      </c>
      <c r="Z57" s="55">
        <f t="shared" si="0"/>
        <v>0</v>
      </c>
      <c r="AA57" s="38">
        <v>0</v>
      </c>
      <c r="AB57" s="56"/>
      <c r="AC57" s="34">
        <v>0</v>
      </c>
      <c r="AD57" s="34">
        <v>0</v>
      </c>
      <c r="AE57" s="34">
        <v>0</v>
      </c>
      <c r="AF57" s="57">
        <v>0</v>
      </c>
      <c r="AG57" s="34">
        <v>0</v>
      </c>
      <c r="AH57" s="34">
        <v>0</v>
      </c>
      <c r="AI57" s="58">
        <f t="shared" si="1"/>
        <v>0</v>
      </c>
      <c r="AJ57" s="31" t="s">
        <v>410</v>
      </c>
      <c r="AQ57" s="47"/>
      <c r="AR57" s="47"/>
      <c r="AS57" s="47"/>
      <c r="AT57" s="47"/>
      <c r="AU57" s="47"/>
      <c r="AV57" s="47"/>
      <c r="AW57" s="47"/>
      <c r="AX57" s="47"/>
      <c r="BE57" s="112">
        <v>800000</v>
      </c>
    </row>
    <row r="58" spans="1:57" ht="21.75" customHeight="1">
      <c r="A58" s="39"/>
      <c r="B58" s="43" t="s">
        <v>112</v>
      </c>
      <c r="C58" s="43" t="s">
        <v>411</v>
      </c>
      <c r="D58" s="43" t="s">
        <v>412</v>
      </c>
      <c r="E58" s="40" t="s">
        <v>238</v>
      </c>
      <c r="F58" s="43" t="s">
        <v>59</v>
      </c>
      <c r="G58" s="43" t="s">
        <v>33</v>
      </c>
      <c r="H58" s="46" t="s">
        <v>261</v>
      </c>
      <c r="I58" s="45">
        <v>210577.77</v>
      </c>
      <c r="J58" s="45">
        <v>338858.6956521739</v>
      </c>
      <c r="K58" s="43" t="s">
        <v>273</v>
      </c>
      <c r="L58" s="43" t="s">
        <v>35</v>
      </c>
      <c r="M58" s="43"/>
      <c r="N58" s="51"/>
      <c r="O58" s="63" t="s">
        <v>307</v>
      </c>
      <c r="P58" s="41">
        <v>0</v>
      </c>
      <c r="Q58" s="40"/>
      <c r="R58" s="52" t="s">
        <v>307</v>
      </c>
      <c r="S58" s="52" t="s">
        <v>307</v>
      </c>
      <c r="T58" s="52" t="s">
        <v>307</v>
      </c>
      <c r="U58" s="53">
        <v>0</v>
      </c>
      <c r="V58" s="53">
        <v>0</v>
      </c>
      <c r="W58" s="54">
        <v>0</v>
      </c>
      <c r="X58" s="38">
        <v>0</v>
      </c>
      <c r="Y58" s="38">
        <v>0</v>
      </c>
      <c r="Z58" s="55">
        <f t="shared" si="0"/>
        <v>0</v>
      </c>
      <c r="AA58" s="38">
        <v>0</v>
      </c>
      <c r="AB58" s="56"/>
      <c r="AC58" s="34">
        <v>0</v>
      </c>
      <c r="AD58" s="34">
        <v>0</v>
      </c>
      <c r="AE58" s="34">
        <v>0</v>
      </c>
      <c r="AF58" s="57">
        <v>0</v>
      </c>
      <c r="AG58" s="34">
        <v>0</v>
      </c>
      <c r="AH58" s="34">
        <v>0</v>
      </c>
      <c r="AI58" s="58">
        <f t="shared" si="1"/>
        <v>0</v>
      </c>
      <c r="AJ58" s="31" t="s">
        <v>413</v>
      </c>
      <c r="AQ58" s="47"/>
      <c r="AR58" s="47"/>
      <c r="AS58" s="47"/>
      <c r="AT58" s="47"/>
      <c r="AU58" s="47"/>
      <c r="AV58" s="47"/>
      <c r="AW58" s="47"/>
      <c r="AX58" s="47"/>
      <c r="BE58" s="112">
        <v>200000</v>
      </c>
    </row>
    <row r="59" spans="1:57" ht="21.75" customHeight="1">
      <c r="A59" s="39"/>
      <c r="B59" s="43" t="s">
        <v>112</v>
      </c>
      <c r="C59" s="43" t="s">
        <v>289</v>
      </c>
      <c r="D59" s="43" t="s">
        <v>158</v>
      </c>
      <c r="E59" s="40" t="s">
        <v>239</v>
      </c>
      <c r="F59" s="43" t="s">
        <v>58</v>
      </c>
      <c r="G59" s="43" t="s">
        <v>33</v>
      </c>
      <c r="H59" s="46" t="s">
        <v>261</v>
      </c>
      <c r="I59" s="45">
        <v>200000</v>
      </c>
      <c r="J59" s="45">
        <v>0</v>
      </c>
      <c r="K59" s="43" t="s">
        <v>183</v>
      </c>
      <c r="L59" s="43" t="s">
        <v>35</v>
      </c>
      <c r="M59" s="43"/>
      <c r="N59" s="51"/>
      <c r="O59" s="63" t="s">
        <v>307</v>
      </c>
      <c r="P59" s="42">
        <v>0</v>
      </c>
      <c r="Q59" s="40" t="s">
        <v>308</v>
      </c>
      <c r="R59" s="52" t="s">
        <v>307</v>
      </c>
      <c r="S59" s="52" t="s">
        <v>307</v>
      </c>
      <c r="T59" s="52" t="s">
        <v>307</v>
      </c>
      <c r="U59" s="53">
        <v>0</v>
      </c>
      <c r="V59" s="53">
        <v>0</v>
      </c>
      <c r="W59" s="54">
        <v>0</v>
      </c>
      <c r="X59" s="38">
        <v>0</v>
      </c>
      <c r="Y59" s="38">
        <v>0</v>
      </c>
      <c r="Z59" s="55">
        <f t="shared" si="0"/>
        <v>0</v>
      </c>
      <c r="AA59" s="38">
        <v>0</v>
      </c>
      <c r="AB59" s="56"/>
      <c r="AC59" s="34">
        <v>0</v>
      </c>
      <c r="AD59" s="34">
        <v>0</v>
      </c>
      <c r="AE59" s="34">
        <v>0</v>
      </c>
      <c r="AF59" s="57">
        <v>0</v>
      </c>
      <c r="AG59" s="34">
        <v>0</v>
      </c>
      <c r="AH59" s="34">
        <v>0</v>
      </c>
      <c r="AI59" s="58">
        <f t="shared" si="1"/>
        <v>0</v>
      </c>
      <c r="AJ59" s="31" t="s">
        <v>309</v>
      </c>
      <c r="AQ59" s="47"/>
      <c r="AR59" s="47"/>
      <c r="AS59" s="47"/>
      <c r="AT59" s="47"/>
      <c r="AU59" s="47"/>
      <c r="AV59" s="47"/>
      <c r="AW59" s="47"/>
      <c r="AX59" s="47"/>
      <c r="BE59" s="112">
        <v>200000</v>
      </c>
    </row>
    <row r="60" spans="1:57" ht="21.75" customHeight="1">
      <c r="A60" s="39"/>
      <c r="B60" s="43" t="s">
        <v>112</v>
      </c>
      <c r="C60" s="43" t="s">
        <v>414</v>
      </c>
      <c r="D60" s="43" t="s">
        <v>415</v>
      </c>
      <c r="E60" s="40" t="s">
        <v>240</v>
      </c>
      <c r="F60" s="43" t="s">
        <v>63</v>
      </c>
      <c r="G60" s="43" t="s">
        <v>33</v>
      </c>
      <c r="H60" s="46" t="s">
        <v>261</v>
      </c>
      <c r="I60" s="45">
        <v>111111</v>
      </c>
      <c r="J60" s="45">
        <v>43477.83</v>
      </c>
      <c r="K60" s="43" t="s">
        <v>273</v>
      </c>
      <c r="L60" s="43" t="s">
        <v>35</v>
      </c>
      <c r="M60" s="43"/>
      <c r="N60" s="51"/>
      <c r="O60" s="143"/>
      <c r="P60" s="42">
        <v>0</v>
      </c>
      <c r="Q60" s="40" t="s">
        <v>416</v>
      </c>
      <c r="R60" s="52" t="s">
        <v>307</v>
      </c>
      <c r="S60" s="52" t="s">
        <v>307</v>
      </c>
      <c r="T60" s="52" t="s">
        <v>307</v>
      </c>
      <c r="U60" s="53">
        <v>0</v>
      </c>
      <c r="V60" s="53">
        <v>0</v>
      </c>
      <c r="W60" s="54">
        <v>0</v>
      </c>
      <c r="X60" s="38">
        <v>0</v>
      </c>
      <c r="Y60" s="38">
        <v>0</v>
      </c>
      <c r="Z60" s="55">
        <f t="shared" si="0"/>
        <v>0</v>
      </c>
      <c r="AA60" s="38">
        <v>0</v>
      </c>
      <c r="AB60" s="56"/>
      <c r="AC60" s="34">
        <v>0</v>
      </c>
      <c r="AD60" s="34">
        <v>0</v>
      </c>
      <c r="AE60" s="34">
        <v>0</v>
      </c>
      <c r="AF60" s="57">
        <v>0</v>
      </c>
      <c r="AG60" s="34">
        <v>0</v>
      </c>
      <c r="AH60" s="34">
        <v>0</v>
      </c>
      <c r="AI60" s="58">
        <f t="shared" si="1"/>
        <v>0</v>
      </c>
      <c r="AJ60" s="31" t="s">
        <v>417</v>
      </c>
      <c r="AQ60" s="47"/>
      <c r="AR60" s="47"/>
      <c r="AS60" s="47"/>
      <c r="AT60" s="47"/>
      <c r="AU60" s="47"/>
      <c r="AV60" s="47"/>
      <c r="AW60" s="47"/>
      <c r="AX60" s="47"/>
      <c r="BE60" s="112">
        <v>111111</v>
      </c>
    </row>
    <row r="61" spans="1:57" ht="21.75" customHeight="1">
      <c r="A61" s="39"/>
      <c r="B61" s="43" t="s">
        <v>112</v>
      </c>
      <c r="C61" s="43" t="s">
        <v>129</v>
      </c>
      <c r="D61" s="43" t="s">
        <v>159</v>
      </c>
      <c r="E61" s="40" t="s">
        <v>241</v>
      </c>
      <c r="F61" s="43" t="s">
        <v>63</v>
      </c>
      <c r="G61" s="43" t="s">
        <v>34</v>
      </c>
      <c r="H61" s="46" t="s">
        <v>262</v>
      </c>
      <c r="I61" s="45">
        <v>176000</v>
      </c>
      <c r="J61" s="45">
        <v>273500</v>
      </c>
      <c r="K61" s="43" t="s">
        <v>271</v>
      </c>
      <c r="L61" s="43" t="s">
        <v>35</v>
      </c>
      <c r="M61" s="43"/>
      <c r="N61" s="51"/>
      <c r="O61" s="166" t="s">
        <v>307</v>
      </c>
      <c r="P61" s="42">
        <v>0</v>
      </c>
      <c r="Q61" s="40" t="s">
        <v>418</v>
      </c>
      <c r="R61" s="52" t="s">
        <v>307</v>
      </c>
      <c r="S61" s="52" t="s">
        <v>307</v>
      </c>
      <c r="T61" s="52" t="s">
        <v>307</v>
      </c>
      <c r="U61" s="53">
        <v>0</v>
      </c>
      <c r="V61" s="53">
        <v>0</v>
      </c>
      <c r="W61" s="54">
        <v>0</v>
      </c>
      <c r="X61" s="38">
        <v>0</v>
      </c>
      <c r="Y61" s="38">
        <v>0</v>
      </c>
      <c r="Z61" s="55">
        <f t="shared" si="0"/>
        <v>0</v>
      </c>
      <c r="AA61" s="38">
        <v>0</v>
      </c>
      <c r="AB61" s="56"/>
      <c r="AC61" s="34">
        <v>0</v>
      </c>
      <c r="AD61" s="34">
        <v>0</v>
      </c>
      <c r="AE61" s="34">
        <v>0</v>
      </c>
      <c r="AF61" s="57">
        <v>0</v>
      </c>
      <c r="AG61" s="34">
        <v>0</v>
      </c>
      <c r="AH61" s="34">
        <v>0</v>
      </c>
      <c r="AI61" s="58">
        <f t="shared" si="1"/>
        <v>0</v>
      </c>
      <c r="AJ61" s="31"/>
      <c r="AQ61" s="47"/>
      <c r="AR61" s="47"/>
      <c r="AS61" s="47"/>
      <c r="AT61" s="47"/>
      <c r="AU61" s="47"/>
      <c r="AV61" s="47"/>
      <c r="AW61" s="47"/>
      <c r="AX61" s="47"/>
      <c r="BE61" s="112">
        <v>200500</v>
      </c>
    </row>
    <row r="62" spans="1:57" ht="21.75" customHeight="1">
      <c r="A62" s="39"/>
      <c r="B62" s="43" t="s">
        <v>112</v>
      </c>
      <c r="C62" s="43" t="s">
        <v>130</v>
      </c>
      <c r="D62" s="43" t="s">
        <v>160</v>
      </c>
      <c r="E62" s="40" t="s">
        <v>242</v>
      </c>
      <c r="F62" s="43" t="s">
        <v>63</v>
      </c>
      <c r="G62" s="43" t="s">
        <v>34</v>
      </c>
      <c r="H62" s="46" t="s">
        <v>263</v>
      </c>
      <c r="I62" s="45">
        <v>475777.77</v>
      </c>
      <c r="J62" s="45">
        <v>473163.0434782609</v>
      </c>
      <c r="K62" s="43" t="s">
        <v>271</v>
      </c>
      <c r="L62" s="43" t="s">
        <v>35</v>
      </c>
      <c r="M62" s="43"/>
      <c r="N62" s="51"/>
      <c r="O62" s="166" t="s">
        <v>307</v>
      </c>
      <c r="P62" s="42">
        <v>0</v>
      </c>
      <c r="Q62" s="40" t="s">
        <v>419</v>
      </c>
      <c r="R62" s="52" t="s">
        <v>307</v>
      </c>
      <c r="S62" s="52" t="s">
        <v>307</v>
      </c>
      <c r="T62" s="52" t="s">
        <v>307</v>
      </c>
      <c r="U62" s="53">
        <v>0</v>
      </c>
      <c r="V62" s="53">
        <v>0</v>
      </c>
      <c r="W62" s="54">
        <v>0</v>
      </c>
      <c r="X62" s="38">
        <v>0</v>
      </c>
      <c r="Y62" s="38">
        <v>0</v>
      </c>
      <c r="Z62" s="55">
        <f t="shared" si="0"/>
        <v>0</v>
      </c>
      <c r="AA62" s="38">
        <v>0</v>
      </c>
      <c r="AB62" s="56"/>
      <c r="AC62" s="34">
        <v>0</v>
      </c>
      <c r="AD62" s="34">
        <v>0</v>
      </c>
      <c r="AE62" s="34">
        <v>0</v>
      </c>
      <c r="AF62" s="57">
        <v>0</v>
      </c>
      <c r="AG62" s="34">
        <v>0</v>
      </c>
      <c r="AH62" s="34">
        <v>0</v>
      </c>
      <c r="AI62" s="58">
        <f t="shared" si="1"/>
        <v>0</v>
      </c>
      <c r="AJ62" s="31" t="s">
        <v>420</v>
      </c>
      <c r="AQ62" s="47"/>
      <c r="AR62" s="47"/>
      <c r="AS62" s="47"/>
      <c r="AT62" s="47"/>
      <c r="AU62" s="47"/>
      <c r="AV62" s="47"/>
      <c r="AW62" s="47"/>
      <c r="AX62" s="47"/>
      <c r="BE62" s="112">
        <v>500000</v>
      </c>
    </row>
    <row r="63" spans="1:57" ht="21.75" customHeight="1">
      <c r="A63" s="39"/>
      <c r="B63" s="43" t="s">
        <v>112</v>
      </c>
      <c r="C63" s="43" t="s">
        <v>289</v>
      </c>
      <c r="D63" s="43" t="s">
        <v>421</v>
      </c>
      <c r="E63" s="40" t="s">
        <v>243</v>
      </c>
      <c r="F63" s="43" t="s">
        <v>58</v>
      </c>
      <c r="G63" s="43" t="s">
        <v>34</v>
      </c>
      <c r="H63" s="46" t="s">
        <v>262</v>
      </c>
      <c r="I63" s="45">
        <v>100000</v>
      </c>
      <c r="J63" s="45">
        <v>0</v>
      </c>
      <c r="K63" s="43" t="s">
        <v>183</v>
      </c>
      <c r="L63" s="43" t="s">
        <v>35</v>
      </c>
      <c r="M63" s="43"/>
      <c r="N63" s="51"/>
      <c r="O63" s="63" t="s">
        <v>307</v>
      </c>
      <c r="P63" s="42">
        <v>0</v>
      </c>
      <c r="Q63" s="40" t="s">
        <v>308</v>
      </c>
      <c r="R63" s="52" t="s">
        <v>307</v>
      </c>
      <c r="S63" s="52" t="s">
        <v>307</v>
      </c>
      <c r="T63" s="52" t="s">
        <v>307</v>
      </c>
      <c r="U63" s="53">
        <v>0</v>
      </c>
      <c r="V63" s="53">
        <v>0</v>
      </c>
      <c r="W63" s="54">
        <v>0</v>
      </c>
      <c r="X63" s="38">
        <v>0</v>
      </c>
      <c r="Y63" s="38">
        <v>0</v>
      </c>
      <c r="Z63" s="55">
        <f t="shared" si="0"/>
        <v>0</v>
      </c>
      <c r="AA63" s="38">
        <v>0</v>
      </c>
      <c r="AB63" s="56"/>
      <c r="AC63" s="34">
        <v>0</v>
      </c>
      <c r="AD63" s="34">
        <v>0</v>
      </c>
      <c r="AE63" s="34">
        <v>0</v>
      </c>
      <c r="AF63" s="57">
        <v>0</v>
      </c>
      <c r="AG63" s="34">
        <v>0</v>
      </c>
      <c r="AH63" s="34">
        <v>0</v>
      </c>
      <c r="AI63" s="58">
        <f t="shared" si="1"/>
        <v>0</v>
      </c>
      <c r="AJ63" s="31" t="s">
        <v>309</v>
      </c>
      <c r="AQ63" s="47"/>
      <c r="AR63" s="47"/>
      <c r="AS63" s="47"/>
      <c r="AT63" s="47"/>
      <c r="AU63" s="47"/>
      <c r="AV63" s="47"/>
      <c r="AW63" s="47"/>
      <c r="AX63" s="47"/>
      <c r="BE63" s="112">
        <v>100000</v>
      </c>
    </row>
    <row r="64" spans="1:57" ht="21.75" customHeight="1">
      <c r="A64" s="39"/>
      <c r="B64" s="43" t="s">
        <v>112</v>
      </c>
      <c r="C64" s="43" t="s">
        <v>116</v>
      </c>
      <c r="D64" s="43" t="s">
        <v>161</v>
      </c>
      <c r="E64" s="40" t="s">
        <v>244</v>
      </c>
      <c r="F64" s="43" t="s">
        <v>63</v>
      </c>
      <c r="G64" s="43" t="s">
        <v>34</v>
      </c>
      <c r="H64" s="43" t="s">
        <v>256</v>
      </c>
      <c r="I64" s="45">
        <v>98677.66</v>
      </c>
      <c r="J64" s="45">
        <v>122992.86956521739</v>
      </c>
      <c r="K64" s="43" t="s">
        <v>273</v>
      </c>
      <c r="L64" s="43" t="s">
        <v>35</v>
      </c>
      <c r="M64" s="43"/>
      <c r="N64" s="51"/>
      <c r="O64" s="63" t="s">
        <v>307</v>
      </c>
      <c r="P64" s="42">
        <v>0</v>
      </c>
      <c r="Q64" s="40" t="s">
        <v>422</v>
      </c>
      <c r="R64" s="52" t="s">
        <v>307</v>
      </c>
      <c r="S64" s="52" t="s">
        <v>307</v>
      </c>
      <c r="T64" s="52" t="s">
        <v>307</v>
      </c>
      <c r="U64" s="53">
        <v>0</v>
      </c>
      <c r="V64" s="53">
        <v>0</v>
      </c>
      <c r="W64" s="54">
        <v>0</v>
      </c>
      <c r="X64" s="38">
        <v>0</v>
      </c>
      <c r="Y64" s="38">
        <v>0</v>
      </c>
      <c r="Z64" s="55">
        <f t="shared" si="0"/>
        <v>0</v>
      </c>
      <c r="AA64" s="38">
        <v>0</v>
      </c>
      <c r="AB64" s="56"/>
      <c r="AC64" s="34">
        <v>0</v>
      </c>
      <c r="AD64" s="34">
        <v>0</v>
      </c>
      <c r="AE64" s="34">
        <v>0</v>
      </c>
      <c r="AF64" s="57">
        <v>0</v>
      </c>
      <c r="AG64" s="34">
        <v>0</v>
      </c>
      <c r="AH64" s="34">
        <v>0</v>
      </c>
      <c r="AI64" s="58">
        <f t="shared" si="1"/>
        <v>0</v>
      </c>
      <c r="AJ64" s="31" t="s">
        <v>423</v>
      </c>
      <c r="AQ64" s="47"/>
      <c r="AR64" s="47"/>
      <c r="AS64" s="47"/>
      <c r="AT64" s="47"/>
      <c r="AU64" s="47"/>
      <c r="AV64" s="47"/>
      <c r="AW64" s="47"/>
      <c r="AX64" s="47"/>
      <c r="BE64" s="112">
        <v>182667</v>
      </c>
    </row>
    <row r="65" spans="1:57" ht="21.75" customHeight="1">
      <c r="A65" s="39"/>
      <c r="B65" s="43" t="s">
        <v>112</v>
      </c>
      <c r="C65" s="43" t="s">
        <v>424</v>
      </c>
      <c r="D65" s="43" t="s">
        <v>425</v>
      </c>
      <c r="E65" s="40" t="s">
        <v>245</v>
      </c>
      <c r="F65" s="43" t="s">
        <v>63</v>
      </c>
      <c r="G65" s="43" t="s">
        <v>34</v>
      </c>
      <c r="H65" s="46" t="s">
        <v>262</v>
      </c>
      <c r="I65" s="45">
        <v>50000</v>
      </c>
      <c r="J65" s="45">
        <v>11111</v>
      </c>
      <c r="K65" s="43" t="s">
        <v>273</v>
      </c>
      <c r="L65" s="43" t="s">
        <v>35</v>
      </c>
      <c r="M65" s="43" t="s">
        <v>41</v>
      </c>
      <c r="N65" s="51"/>
      <c r="O65" s="63" t="s">
        <v>307</v>
      </c>
      <c r="P65" s="42">
        <v>0</v>
      </c>
      <c r="Q65" s="40" t="s">
        <v>426</v>
      </c>
      <c r="R65" s="52" t="s">
        <v>307</v>
      </c>
      <c r="S65" s="86">
        <v>40812</v>
      </c>
      <c r="T65" s="88">
        <v>37104</v>
      </c>
      <c r="U65" s="53">
        <f>1770000/B153</f>
        <v>3799.261612432386</v>
      </c>
      <c r="V65" s="53">
        <v>0</v>
      </c>
      <c r="W65" s="54">
        <v>0</v>
      </c>
      <c r="X65" s="38">
        <v>0</v>
      </c>
      <c r="Y65" s="38">
        <v>0</v>
      </c>
      <c r="Z65" s="55">
        <f t="shared" si="0"/>
        <v>0</v>
      </c>
      <c r="AA65" s="38">
        <v>0</v>
      </c>
      <c r="AB65" s="56"/>
      <c r="AC65" s="34">
        <v>0</v>
      </c>
      <c r="AD65" s="34">
        <v>0</v>
      </c>
      <c r="AE65" s="34">
        <v>0</v>
      </c>
      <c r="AF65" s="57">
        <v>0</v>
      </c>
      <c r="AG65" s="34">
        <v>0</v>
      </c>
      <c r="AH65" s="34">
        <v>0</v>
      </c>
      <c r="AI65" s="58">
        <f t="shared" si="1"/>
        <v>0</v>
      </c>
      <c r="AJ65" s="31"/>
      <c r="AQ65" s="47"/>
      <c r="AR65" s="47"/>
      <c r="AS65" s="47"/>
      <c r="AT65" s="47"/>
      <c r="AU65" s="47"/>
      <c r="AV65" s="47"/>
      <c r="AW65" s="47"/>
      <c r="AX65" s="47"/>
      <c r="BE65" s="112">
        <v>50000</v>
      </c>
    </row>
    <row r="66" spans="1:57" ht="21.75" customHeight="1">
      <c r="A66" s="39"/>
      <c r="B66" s="43" t="s">
        <v>112</v>
      </c>
      <c r="C66" s="43" t="s">
        <v>414</v>
      </c>
      <c r="D66" s="43" t="s">
        <v>427</v>
      </c>
      <c r="E66" s="40" t="s">
        <v>246</v>
      </c>
      <c r="F66" s="43" t="s">
        <v>63</v>
      </c>
      <c r="G66" s="43" t="s">
        <v>34</v>
      </c>
      <c r="H66" s="46" t="s">
        <v>262</v>
      </c>
      <c r="I66" s="45">
        <v>500000</v>
      </c>
      <c r="J66" s="45">
        <v>7609</v>
      </c>
      <c r="K66" s="43" t="s">
        <v>273</v>
      </c>
      <c r="L66" s="43" t="s">
        <v>35</v>
      </c>
      <c r="M66" s="43"/>
      <c r="N66" s="51"/>
      <c r="O66" s="63" t="s">
        <v>307</v>
      </c>
      <c r="P66" s="42">
        <v>0</v>
      </c>
      <c r="Q66" s="40" t="s">
        <v>428</v>
      </c>
      <c r="R66" s="52" t="s">
        <v>307</v>
      </c>
      <c r="S66" s="52" t="s">
        <v>307</v>
      </c>
      <c r="T66" s="52" t="s">
        <v>307</v>
      </c>
      <c r="U66" s="53">
        <v>0</v>
      </c>
      <c r="V66" s="53">
        <v>0</v>
      </c>
      <c r="W66" s="54">
        <v>0</v>
      </c>
      <c r="X66" s="38">
        <v>0</v>
      </c>
      <c r="Y66" s="38">
        <v>0</v>
      </c>
      <c r="Z66" s="55">
        <f t="shared" si="0"/>
        <v>0</v>
      </c>
      <c r="AA66" s="38">
        <v>0</v>
      </c>
      <c r="AB66" s="56"/>
      <c r="AC66" s="34">
        <v>0</v>
      </c>
      <c r="AD66" s="34">
        <v>0</v>
      </c>
      <c r="AE66" s="34">
        <v>0</v>
      </c>
      <c r="AF66" s="57">
        <v>0</v>
      </c>
      <c r="AG66" s="34">
        <v>0</v>
      </c>
      <c r="AH66" s="34">
        <v>0</v>
      </c>
      <c r="AI66" s="58">
        <f t="shared" si="1"/>
        <v>0</v>
      </c>
      <c r="AJ66" s="31" t="s">
        <v>429</v>
      </c>
      <c r="AQ66" s="47"/>
      <c r="AR66" s="47"/>
      <c r="AS66" s="47"/>
      <c r="AT66" s="47"/>
      <c r="AU66" s="47"/>
      <c r="AV66" s="47"/>
      <c r="AW66" s="47"/>
      <c r="AX66" s="47"/>
      <c r="BE66" s="112">
        <v>500000</v>
      </c>
    </row>
    <row r="67" spans="1:57" ht="21.75" customHeight="1">
      <c r="A67" s="39"/>
      <c r="B67" s="43" t="s">
        <v>112</v>
      </c>
      <c r="C67" s="43" t="s">
        <v>414</v>
      </c>
      <c r="D67" s="43" t="s">
        <v>430</v>
      </c>
      <c r="E67" s="40" t="s">
        <v>247</v>
      </c>
      <c r="F67" s="43" t="s">
        <v>63</v>
      </c>
      <c r="G67" s="43" t="s">
        <v>34</v>
      </c>
      <c r="H67" s="46" t="s">
        <v>262</v>
      </c>
      <c r="I67" s="45">
        <v>64000</v>
      </c>
      <c r="J67" s="45"/>
      <c r="K67" s="43" t="s">
        <v>273</v>
      </c>
      <c r="L67" s="43" t="s">
        <v>35</v>
      </c>
      <c r="M67" s="43"/>
      <c r="N67" s="51"/>
      <c r="O67" s="63" t="s">
        <v>307</v>
      </c>
      <c r="P67" s="42">
        <v>0</v>
      </c>
      <c r="Q67" s="40" t="s">
        <v>431</v>
      </c>
      <c r="R67" s="52" t="s">
        <v>307</v>
      </c>
      <c r="S67" s="52" t="s">
        <v>307</v>
      </c>
      <c r="T67" s="52" t="s">
        <v>307</v>
      </c>
      <c r="U67" s="53">
        <v>0</v>
      </c>
      <c r="V67" s="53">
        <v>0</v>
      </c>
      <c r="W67" s="54">
        <v>0</v>
      </c>
      <c r="X67" s="38">
        <v>0</v>
      </c>
      <c r="Y67" s="38">
        <v>0</v>
      </c>
      <c r="Z67" s="55">
        <f t="shared" si="0"/>
        <v>0</v>
      </c>
      <c r="AA67" s="38">
        <v>0</v>
      </c>
      <c r="AB67" s="56"/>
      <c r="AC67" s="34">
        <v>0</v>
      </c>
      <c r="AD67" s="34">
        <v>0</v>
      </c>
      <c r="AE67" s="34">
        <v>0</v>
      </c>
      <c r="AF67" s="57">
        <v>0</v>
      </c>
      <c r="AG67" s="34">
        <v>0</v>
      </c>
      <c r="AH67" s="34">
        <v>0</v>
      </c>
      <c r="AI67" s="58">
        <f t="shared" si="1"/>
        <v>0</v>
      </c>
      <c r="AJ67" s="31" t="s">
        <v>429</v>
      </c>
      <c r="AQ67" s="47"/>
      <c r="AR67" s="47"/>
      <c r="AS67" s="47"/>
      <c r="AT67" s="47"/>
      <c r="AU67" s="47"/>
      <c r="AV67" s="47"/>
      <c r="AW67" s="47"/>
      <c r="AX67" s="47"/>
      <c r="BE67" s="112">
        <v>64000</v>
      </c>
    </row>
    <row r="68" spans="1:57" ht="21.75" customHeight="1">
      <c r="A68" s="39"/>
      <c r="B68" s="43" t="s">
        <v>112</v>
      </c>
      <c r="C68" s="43" t="s">
        <v>432</v>
      </c>
      <c r="D68" s="43" t="s">
        <v>433</v>
      </c>
      <c r="E68" s="40" t="s">
        <v>248</v>
      </c>
      <c r="F68" s="43" t="s">
        <v>59</v>
      </c>
      <c r="G68" s="43" t="s">
        <v>34</v>
      </c>
      <c r="H68" s="46" t="s">
        <v>262</v>
      </c>
      <c r="I68" s="45">
        <v>50000</v>
      </c>
      <c r="J68" s="45">
        <v>30956</v>
      </c>
      <c r="K68" s="43" t="s">
        <v>271</v>
      </c>
      <c r="L68" s="43" t="s">
        <v>35</v>
      </c>
      <c r="M68" s="43"/>
      <c r="N68" s="51"/>
      <c r="O68" s="63" t="s">
        <v>307</v>
      </c>
      <c r="P68" s="41">
        <v>0</v>
      </c>
      <c r="Q68" s="40"/>
      <c r="R68" s="52" t="s">
        <v>307</v>
      </c>
      <c r="S68" s="52" t="s">
        <v>307</v>
      </c>
      <c r="T68" s="52" t="s">
        <v>307</v>
      </c>
      <c r="U68" s="53">
        <v>0</v>
      </c>
      <c r="V68" s="53">
        <v>0</v>
      </c>
      <c r="W68" s="54">
        <v>0</v>
      </c>
      <c r="X68" s="38">
        <v>0</v>
      </c>
      <c r="Y68" s="38">
        <v>0</v>
      </c>
      <c r="Z68" s="55">
        <f t="shared" si="0"/>
        <v>0</v>
      </c>
      <c r="AA68" s="38">
        <v>0</v>
      </c>
      <c r="AB68" s="56"/>
      <c r="AC68" s="34">
        <v>0</v>
      </c>
      <c r="AD68" s="34">
        <v>0</v>
      </c>
      <c r="AE68" s="34">
        <v>0</v>
      </c>
      <c r="AF68" s="57">
        <v>0</v>
      </c>
      <c r="AG68" s="34">
        <v>0</v>
      </c>
      <c r="AH68" s="34">
        <v>0</v>
      </c>
      <c r="AI68" s="58">
        <f t="shared" si="1"/>
        <v>0</v>
      </c>
      <c r="AJ68" s="31" t="s">
        <v>312</v>
      </c>
      <c r="AQ68" s="47"/>
      <c r="AR68" s="47"/>
      <c r="AS68" s="47"/>
      <c r="AT68" s="47"/>
      <c r="AU68" s="47"/>
      <c r="AV68" s="47"/>
      <c r="AW68" s="47"/>
      <c r="AX68" s="47"/>
      <c r="BE68" s="112">
        <v>50000</v>
      </c>
    </row>
    <row r="69" spans="1:57" ht="21.75" customHeight="1">
      <c r="A69" s="39"/>
      <c r="B69" s="43" t="s">
        <v>112</v>
      </c>
      <c r="C69" s="43" t="s">
        <v>131</v>
      </c>
      <c r="D69" s="43" t="s">
        <v>280</v>
      </c>
      <c r="E69" s="40" t="s">
        <v>249</v>
      </c>
      <c r="F69" s="43" t="s">
        <v>63</v>
      </c>
      <c r="G69" s="43" t="s">
        <v>34</v>
      </c>
      <c r="H69" s="46" t="s">
        <v>263</v>
      </c>
      <c r="I69" s="45"/>
      <c r="J69" s="45">
        <v>7856817</v>
      </c>
      <c r="K69" s="43" t="s">
        <v>271</v>
      </c>
      <c r="L69" s="43" t="s">
        <v>35</v>
      </c>
      <c r="M69" s="43" t="s">
        <v>315</v>
      </c>
      <c r="N69" s="51"/>
      <c r="O69" s="143" t="s">
        <v>388</v>
      </c>
      <c r="P69" s="42">
        <v>57075</v>
      </c>
      <c r="Q69" s="40" t="s">
        <v>434</v>
      </c>
      <c r="R69" s="52" t="s">
        <v>307</v>
      </c>
      <c r="S69" s="52" t="s">
        <v>307</v>
      </c>
      <c r="T69" s="52" t="s">
        <v>307</v>
      </c>
      <c r="U69" s="53">
        <v>0</v>
      </c>
      <c r="V69" s="53">
        <v>0</v>
      </c>
      <c r="W69" s="54">
        <v>0</v>
      </c>
      <c r="X69" s="38">
        <v>0</v>
      </c>
      <c r="Y69" s="38">
        <v>0</v>
      </c>
      <c r="Z69" s="55">
        <f t="shared" si="0"/>
        <v>0</v>
      </c>
      <c r="AA69" s="38">
        <v>0</v>
      </c>
      <c r="AB69" s="56"/>
      <c r="AC69" s="34">
        <v>0</v>
      </c>
      <c r="AD69" s="34">
        <v>0</v>
      </c>
      <c r="AE69" s="34">
        <v>0</v>
      </c>
      <c r="AF69" s="57">
        <v>0</v>
      </c>
      <c r="AG69" s="34">
        <v>0</v>
      </c>
      <c r="AH69" s="34">
        <v>0</v>
      </c>
      <c r="AI69" s="58">
        <f t="shared" si="1"/>
        <v>0</v>
      </c>
      <c r="AJ69" s="31"/>
      <c r="AQ69" s="47"/>
      <c r="AR69" s="47"/>
      <c r="AS69" s="47"/>
      <c r="AT69" s="47"/>
      <c r="AU69" s="47"/>
      <c r="AV69" s="47"/>
      <c r="AW69" s="47"/>
      <c r="AX69" s="47"/>
      <c r="BE69" s="112"/>
    </row>
    <row r="70" spans="1:57" ht="21.75" customHeight="1">
      <c r="A70" s="39"/>
      <c r="B70" s="43" t="s">
        <v>112</v>
      </c>
      <c r="C70" s="43" t="s">
        <v>435</v>
      </c>
      <c r="D70" s="43" t="s">
        <v>436</v>
      </c>
      <c r="E70" s="40" t="s">
        <v>250</v>
      </c>
      <c r="F70" s="43" t="s">
        <v>59</v>
      </c>
      <c r="G70" s="43" t="s">
        <v>34</v>
      </c>
      <c r="H70" s="46" t="s">
        <v>262</v>
      </c>
      <c r="I70" s="45">
        <v>150000</v>
      </c>
      <c r="J70" s="45">
        <v>48809</v>
      </c>
      <c r="K70" s="43" t="s">
        <v>273</v>
      </c>
      <c r="L70" s="43" t="s">
        <v>35</v>
      </c>
      <c r="M70" s="43"/>
      <c r="N70" s="51"/>
      <c r="O70" s="63" t="s">
        <v>307</v>
      </c>
      <c r="P70" s="41">
        <v>0</v>
      </c>
      <c r="Q70" s="40"/>
      <c r="R70" s="52" t="s">
        <v>307</v>
      </c>
      <c r="S70" s="52" t="s">
        <v>307</v>
      </c>
      <c r="T70" s="52" t="s">
        <v>307</v>
      </c>
      <c r="U70" s="53">
        <v>0</v>
      </c>
      <c r="V70" s="53">
        <v>0</v>
      </c>
      <c r="W70" s="54">
        <v>0</v>
      </c>
      <c r="X70" s="38">
        <v>0</v>
      </c>
      <c r="Y70" s="38">
        <v>0</v>
      </c>
      <c r="Z70" s="55">
        <f t="shared" si="0"/>
        <v>0</v>
      </c>
      <c r="AA70" s="38">
        <v>0</v>
      </c>
      <c r="AB70" s="56"/>
      <c r="AC70" s="34">
        <v>0</v>
      </c>
      <c r="AD70" s="34">
        <v>0</v>
      </c>
      <c r="AE70" s="34">
        <v>0</v>
      </c>
      <c r="AF70" s="57">
        <v>0</v>
      </c>
      <c r="AG70" s="34">
        <v>0</v>
      </c>
      <c r="AH70" s="34">
        <v>0</v>
      </c>
      <c r="AI70" s="58">
        <f t="shared" si="1"/>
        <v>0</v>
      </c>
      <c r="AJ70" s="31" t="s">
        <v>312</v>
      </c>
      <c r="AQ70" s="47"/>
      <c r="AR70" s="47"/>
      <c r="AS70" s="47"/>
      <c r="AT70" s="47"/>
      <c r="AU70" s="47"/>
      <c r="AV70" s="47"/>
      <c r="AW70" s="47"/>
      <c r="AX70" s="47"/>
      <c r="BE70" s="112">
        <v>150000</v>
      </c>
    </row>
    <row r="71" spans="1:57" ht="21.75" customHeight="1">
      <c r="A71" s="39"/>
      <c r="B71" s="43" t="s">
        <v>112</v>
      </c>
      <c r="C71" s="43" t="s">
        <v>438</v>
      </c>
      <c r="D71" s="43" t="s">
        <v>439</v>
      </c>
      <c r="E71" s="40" t="s">
        <v>437</v>
      </c>
      <c r="F71" s="43" t="s">
        <v>59</v>
      </c>
      <c r="G71" s="43" t="s">
        <v>34</v>
      </c>
      <c r="H71" s="46" t="s">
        <v>255</v>
      </c>
      <c r="I71" s="45">
        <v>40000</v>
      </c>
      <c r="J71" s="45" t="s">
        <v>440</v>
      </c>
      <c r="K71" s="43" t="s">
        <v>273</v>
      </c>
      <c r="L71" s="43" t="s">
        <v>35</v>
      </c>
      <c r="M71" s="43"/>
      <c r="N71" s="51"/>
      <c r="O71" s="63" t="s">
        <v>307</v>
      </c>
      <c r="P71" s="41">
        <v>0</v>
      </c>
      <c r="Q71" s="40"/>
      <c r="R71" s="52" t="s">
        <v>307</v>
      </c>
      <c r="S71" s="52" t="s">
        <v>307</v>
      </c>
      <c r="T71" s="52" t="s">
        <v>307</v>
      </c>
      <c r="U71" s="53">
        <v>0</v>
      </c>
      <c r="V71" s="53">
        <v>0</v>
      </c>
      <c r="W71" s="54">
        <v>0</v>
      </c>
      <c r="X71" s="38">
        <v>0</v>
      </c>
      <c r="Y71" s="38">
        <v>0</v>
      </c>
      <c r="Z71" s="55">
        <f t="shared" si="0"/>
        <v>0</v>
      </c>
      <c r="AA71" s="38">
        <v>0</v>
      </c>
      <c r="AB71" s="56"/>
      <c r="AC71" s="34">
        <v>0</v>
      </c>
      <c r="AD71" s="34">
        <v>0</v>
      </c>
      <c r="AE71" s="34">
        <v>0</v>
      </c>
      <c r="AF71" s="57">
        <v>0</v>
      </c>
      <c r="AG71" s="34">
        <v>0</v>
      </c>
      <c r="AH71" s="34">
        <v>0</v>
      </c>
      <c r="AI71" s="58">
        <f t="shared" si="1"/>
        <v>0</v>
      </c>
      <c r="AJ71" s="31" t="s">
        <v>312</v>
      </c>
      <c r="AQ71" s="47"/>
      <c r="AR71" s="47"/>
      <c r="AS71" s="47"/>
      <c r="AT71" s="47"/>
      <c r="AU71" s="47"/>
      <c r="AV71" s="47"/>
      <c r="AW71" s="47"/>
      <c r="AX71" s="47"/>
      <c r="BE71" s="112">
        <v>40000</v>
      </c>
    </row>
    <row r="72" spans="1:57" ht="21.75" customHeight="1">
      <c r="A72" s="39"/>
      <c r="B72" s="43" t="s">
        <v>112</v>
      </c>
      <c r="C72" s="43" t="s">
        <v>132</v>
      </c>
      <c r="D72" s="43" t="s">
        <v>162</v>
      </c>
      <c r="E72" s="40" t="s">
        <v>441</v>
      </c>
      <c r="F72" s="43" t="s">
        <v>63</v>
      </c>
      <c r="G72" s="43" t="s">
        <v>34</v>
      </c>
      <c r="H72" s="46" t="s">
        <v>262</v>
      </c>
      <c r="I72" s="45">
        <v>50000</v>
      </c>
      <c r="J72" s="45">
        <v>304034</v>
      </c>
      <c r="K72" s="43" t="s">
        <v>273</v>
      </c>
      <c r="L72" s="43" t="s">
        <v>35</v>
      </c>
      <c r="M72" s="43"/>
      <c r="N72" s="51"/>
      <c r="O72" s="63" t="s">
        <v>307</v>
      </c>
      <c r="P72" s="41">
        <v>0</v>
      </c>
      <c r="Q72" s="40" t="s">
        <v>442</v>
      </c>
      <c r="R72" s="52" t="s">
        <v>307</v>
      </c>
      <c r="S72" s="52" t="s">
        <v>307</v>
      </c>
      <c r="T72" s="52" t="s">
        <v>307</v>
      </c>
      <c r="U72" s="53">
        <v>0</v>
      </c>
      <c r="V72" s="53">
        <v>0</v>
      </c>
      <c r="W72" s="54">
        <v>0</v>
      </c>
      <c r="X72" s="38">
        <v>0</v>
      </c>
      <c r="Y72" s="38">
        <v>0</v>
      </c>
      <c r="Z72" s="55">
        <f t="shared" si="0"/>
        <v>0</v>
      </c>
      <c r="AA72" s="38">
        <v>0</v>
      </c>
      <c r="AB72" s="56"/>
      <c r="AC72" s="34">
        <v>0</v>
      </c>
      <c r="AD72" s="34">
        <v>0</v>
      </c>
      <c r="AE72" s="34">
        <v>0</v>
      </c>
      <c r="AF72" s="57">
        <v>0</v>
      </c>
      <c r="AG72" s="34">
        <v>0</v>
      </c>
      <c r="AH72" s="34">
        <v>0</v>
      </c>
      <c r="AI72" s="58">
        <f t="shared" si="1"/>
        <v>0</v>
      </c>
      <c r="AJ72" s="31"/>
      <c r="AQ72" s="47"/>
      <c r="AR72" s="47"/>
      <c r="AS72" s="47"/>
      <c r="AT72" s="47"/>
      <c r="AU72" s="47"/>
      <c r="AV72" s="47"/>
      <c r="AW72" s="47"/>
      <c r="AX72" s="47"/>
      <c r="BE72" s="112">
        <v>50000</v>
      </c>
    </row>
    <row r="73" spans="1:57" ht="21.75" customHeight="1">
      <c r="A73" s="39"/>
      <c r="B73" s="43" t="s">
        <v>112</v>
      </c>
      <c r="C73" s="43" t="s">
        <v>444</v>
      </c>
      <c r="D73" s="43" t="s">
        <v>445</v>
      </c>
      <c r="E73" s="40" t="s">
        <v>443</v>
      </c>
      <c r="F73" s="43" t="s">
        <v>63</v>
      </c>
      <c r="G73" s="43" t="s">
        <v>34</v>
      </c>
      <c r="H73" s="46" t="s">
        <v>262</v>
      </c>
      <c r="I73" s="45">
        <v>50000</v>
      </c>
      <c r="J73" s="45">
        <v>7217.39</v>
      </c>
      <c r="K73" s="43" t="s">
        <v>273</v>
      </c>
      <c r="L73" s="43" t="s">
        <v>35</v>
      </c>
      <c r="M73" s="43"/>
      <c r="N73" s="51"/>
      <c r="O73" s="63" t="s">
        <v>307</v>
      </c>
      <c r="P73" s="41">
        <v>0</v>
      </c>
      <c r="Q73" s="40" t="s">
        <v>446</v>
      </c>
      <c r="R73" s="52" t="s">
        <v>307</v>
      </c>
      <c r="S73" s="52" t="s">
        <v>307</v>
      </c>
      <c r="T73" s="52" t="s">
        <v>307</v>
      </c>
      <c r="U73" s="53">
        <v>0</v>
      </c>
      <c r="V73" s="53">
        <v>0</v>
      </c>
      <c r="W73" s="54">
        <v>0</v>
      </c>
      <c r="X73" s="38">
        <v>0</v>
      </c>
      <c r="Y73" s="38">
        <v>0</v>
      </c>
      <c r="Z73" s="55">
        <f t="shared" si="0"/>
        <v>0</v>
      </c>
      <c r="AA73" s="38">
        <v>0</v>
      </c>
      <c r="AB73" s="56"/>
      <c r="AC73" s="34">
        <v>0</v>
      </c>
      <c r="AD73" s="34">
        <v>0</v>
      </c>
      <c r="AE73" s="34">
        <v>0</v>
      </c>
      <c r="AF73" s="57">
        <v>0</v>
      </c>
      <c r="AG73" s="34">
        <v>0</v>
      </c>
      <c r="AH73" s="34">
        <v>0</v>
      </c>
      <c r="AI73" s="58">
        <f aca="true" t="shared" si="3" ref="AI73:AI106">+AF73+AG73-AH73</f>
        <v>0</v>
      </c>
      <c r="AJ73" s="31"/>
      <c r="AQ73" s="47"/>
      <c r="AR73" s="47"/>
      <c r="AS73" s="47"/>
      <c r="AT73" s="47"/>
      <c r="AU73" s="47"/>
      <c r="AV73" s="47"/>
      <c r="AW73" s="47"/>
      <c r="AX73" s="47"/>
      <c r="BE73" s="112">
        <v>50000</v>
      </c>
    </row>
    <row r="74" spans="1:57" ht="21.75" customHeight="1">
      <c r="A74" s="39"/>
      <c r="B74" s="43" t="s">
        <v>112</v>
      </c>
      <c r="C74" s="43" t="s">
        <v>131</v>
      </c>
      <c r="D74" s="43" t="s">
        <v>163</v>
      </c>
      <c r="E74" s="40" t="s">
        <v>447</v>
      </c>
      <c r="F74" s="43" t="s">
        <v>63</v>
      </c>
      <c r="G74" s="43" t="s">
        <v>34</v>
      </c>
      <c r="H74" s="46" t="s">
        <v>264</v>
      </c>
      <c r="I74" s="45">
        <v>4710630</v>
      </c>
      <c r="J74" s="45">
        <v>5633344</v>
      </c>
      <c r="K74" s="43" t="s">
        <v>271</v>
      </c>
      <c r="L74" s="43" t="s">
        <v>35</v>
      </c>
      <c r="M74" s="43" t="s">
        <v>315</v>
      </c>
      <c r="N74" s="51"/>
      <c r="O74" s="143" t="s">
        <v>388</v>
      </c>
      <c r="P74" s="41">
        <v>112531.81</v>
      </c>
      <c r="Q74" s="40" t="s">
        <v>448</v>
      </c>
      <c r="R74" s="52" t="s">
        <v>307</v>
      </c>
      <c r="S74" s="52" t="s">
        <v>307</v>
      </c>
      <c r="T74" s="52" t="s">
        <v>307</v>
      </c>
      <c r="U74" s="53">
        <v>0</v>
      </c>
      <c r="V74" s="53">
        <v>0</v>
      </c>
      <c r="W74" s="54">
        <v>0</v>
      </c>
      <c r="X74" s="38">
        <v>0</v>
      </c>
      <c r="Y74" s="38">
        <v>0</v>
      </c>
      <c r="Z74" s="55">
        <f t="shared" si="0"/>
        <v>0</v>
      </c>
      <c r="AA74" s="38">
        <v>0</v>
      </c>
      <c r="AB74" s="56"/>
      <c r="AC74" s="34">
        <v>0</v>
      </c>
      <c r="AD74" s="34">
        <v>0</v>
      </c>
      <c r="AE74" s="34">
        <v>0</v>
      </c>
      <c r="AF74" s="57">
        <v>0</v>
      </c>
      <c r="AG74" s="34">
        <v>0</v>
      </c>
      <c r="AH74" s="34">
        <v>0</v>
      </c>
      <c r="AI74" s="58">
        <f t="shared" si="3"/>
        <v>0</v>
      </c>
      <c r="AJ74" s="31"/>
      <c r="AQ74" s="47"/>
      <c r="AR74" s="47"/>
      <c r="AS74" s="47"/>
      <c r="AT74" s="47"/>
      <c r="AU74" s="47"/>
      <c r="AV74" s="47"/>
      <c r="AW74" s="47"/>
      <c r="AX74" s="47"/>
      <c r="BE74" s="112">
        <v>5000000</v>
      </c>
    </row>
    <row r="75" spans="1:57" ht="21.75" customHeight="1">
      <c r="A75" s="39"/>
      <c r="B75" s="43" t="s">
        <v>112</v>
      </c>
      <c r="C75" s="43" t="s">
        <v>281</v>
      </c>
      <c r="D75" s="43" t="s">
        <v>164</v>
      </c>
      <c r="E75" s="40" t="s">
        <v>449</v>
      </c>
      <c r="F75" s="43" t="s">
        <v>63</v>
      </c>
      <c r="G75" s="43" t="s">
        <v>34</v>
      </c>
      <c r="H75" s="46" t="s">
        <v>262</v>
      </c>
      <c r="I75" s="45">
        <v>100000</v>
      </c>
      <c r="J75" s="45">
        <v>108057</v>
      </c>
      <c r="K75" s="43" t="s">
        <v>273</v>
      </c>
      <c r="L75" s="43" t="s">
        <v>35</v>
      </c>
      <c r="M75" s="43"/>
      <c r="N75" s="51"/>
      <c r="O75" s="63" t="s">
        <v>307</v>
      </c>
      <c r="P75" s="42">
        <v>0</v>
      </c>
      <c r="Q75" s="40" t="s">
        <v>450</v>
      </c>
      <c r="R75" s="52" t="s">
        <v>307</v>
      </c>
      <c r="S75" s="52" t="s">
        <v>307</v>
      </c>
      <c r="T75" s="52" t="s">
        <v>307</v>
      </c>
      <c r="U75" s="53">
        <v>0</v>
      </c>
      <c r="V75" s="53">
        <v>0</v>
      </c>
      <c r="W75" s="54">
        <v>0</v>
      </c>
      <c r="X75" s="38">
        <v>0</v>
      </c>
      <c r="Y75" s="38">
        <v>0</v>
      </c>
      <c r="Z75" s="55">
        <f aca="true" t="shared" si="4" ref="Z75:Z106">+AA75-W75-X75+Y75</f>
        <v>0</v>
      </c>
      <c r="AA75" s="38">
        <v>0</v>
      </c>
      <c r="AB75" s="56"/>
      <c r="AC75" s="34">
        <v>0</v>
      </c>
      <c r="AD75" s="34">
        <v>0</v>
      </c>
      <c r="AE75" s="34">
        <v>0</v>
      </c>
      <c r="AF75" s="57">
        <v>0</v>
      </c>
      <c r="AG75" s="34">
        <v>0</v>
      </c>
      <c r="AH75" s="34">
        <v>0</v>
      </c>
      <c r="AI75" s="58">
        <f t="shared" si="3"/>
        <v>0</v>
      </c>
      <c r="AJ75" s="31"/>
      <c r="AQ75" s="47"/>
      <c r="AR75" s="47"/>
      <c r="AS75" s="47"/>
      <c r="AT75" s="47"/>
      <c r="AU75" s="47"/>
      <c r="AV75" s="47"/>
      <c r="AW75" s="47"/>
      <c r="AX75" s="47"/>
      <c r="BE75" s="112">
        <v>100000</v>
      </c>
    </row>
    <row r="76" spans="1:57" ht="21.75" customHeight="1">
      <c r="A76" s="39"/>
      <c r="B76" s="43" t="s">
        <v>112</v>
      </c>
      <c r="C76" s="43" t="s">
        <v>452</v>
      </c>
      <c r="D76" s="43" t="s">
        <v>453</v>
      </c>
      <c r="E76" s="40" t="s">
        <v>451</v>
      </c>
      <c r="F76" s="43" t="s">
        <v>63</v>
      </c>
      <c r="G76" s="43" t="s">
        <v>34</v>
      </c>
      <c r="H76" s="46" t="s">
        <v>262</v>
      </c>
      <c r="I76" s="45">
        <v>40000</v>
      </c>
      <c r="J76" s="45">
        <v>39130</v>
      </c>
      <c r="K76" s="43" t="s">
        <v>273</v>
      </c>
      <c r="L76" s="43" t="s">
        <v>35</v>
      </c>
      <c r="M76" s="43"/>
      <c r="N76" s="51"/>
      <c r="O76" s="63" t="s">
        <v>307</v>
      </c>
      <c r="P76" s="42">
        <v>0</v>
      </c>
      <c r="Q76" s="40" t="s">
        <v>454</v>
      </c>
      <c r="R76" s="52" t="s">
        <v>307</v>
      </c>
      <c r="S76" s="52" t="s">
        <v>307</v>
      </c>
      <c r="T76" s="52" t="s">
        <v>307</v>
      </c>
      <c r="U76" s="53">
        <v>0</v>
      </c>
      <c r="V76" s="53">
        <v>0</v>
      </c>
      <c r="W76" s="54">
        <v>0</v>
      </c>
      <c r="X76" s="38">
        <v>0</v>
      </c>
      <c r="Y76" s="38">
        <v>0</v>
      </c>
      <c r="Z76" s="55">
        <f t="shared" si="4"/>
        <v>0</v>
      </c>
      <c r="AA76" s="38">
        <v>0</v>
      </c>
      <c r="AB76" s="56"/>
      <c r="AC76" s="34">
        <v>0</v>
      </c>
      <c r="AD76" s="34">
        <v>0</v>
      </c>
      <c r="AE76" s="34">
        <v>0</v>
      </c>
      <c r="AF76" s="57">
        <v>0</v>
      </c>
      <c r="AG76" s="34">
        <v>0</v>
      </c>
      <c r="AH76" s="34">
        <v>0</v>
      </c>
      <c r="AI76" s="58">
        <f t="shared" si="3"/>
        <v>0</v>
      </c>
      <c r="AJ76" s="31"/>
      <c r="AQ76" s="47"/>
      <c r="AR76" s="47"/>
      <c r="AS76" s="47"/>
      <c r="AT76" s="47"/>
      <c r="AU76" s="47"/>
      <c r="AV76" s="47"/>
      <c r="AW76" s="47"/>
      <c r="AX76" s="47"/>
      <c r="BE76" s="112">
        <v>40000</v>
      </c>
    </row>
    <row r="77" spans="2:57" s="36" customFormat="1" ht="21.75" customHeight="1">
      <c r="B77" s="157" t="s">
        <v>112</v>
      </c>
      <c r="C77" s="157" t="s">
        <v>307</v>
      </c>
      <c r="D77" s="157" t="s">
        <v>456</v>
      </c>
      <c r="E77" s="63" t="s">
        <v>455</v>
      </c>
      <c r="F77" s="157" t="s">
        <v>60</v>
      </c>
      <c r="G77" s="157" t="s">
        <v>34</v>
      </c>
      <c r="H77" s="46" t="s">
        <v>262</v>
      </c>
      <c r="I77" s="64">
        <v>50000</v>
      </c>
      <c r="J77" s="64"/>
      <c r="K77" s="167" t="s">
        <v>183</v>
      </c>
      <c r="L77" s="157" t="s">
        <v>35</v>
      </c>
      <c r="M77" s="157"/>
      <c r="N77" s="51"/>
      <c r="O77" s="63" t="s">
        <v>307</v>
      </c>
      <c r="P77" s="41">
        <v>0</v>
      </c>
      <c r="Q77" s="40"/>
      <c r="R77" s="52" t="s">
        <v>307</v>
      </c>
      <c r="S77" s="52" t="s">
        <v>307</v>
      </c>
      <c r="T77" s="52" t="s">
        <v>307</v>
      </c>
      <c r="U77" s="53">
        <v>0</v>
      </c>
      <c r="V77" s="53">
        <v>0</v>
      </c>
      <c r="W77" s="54">
        <v>0</v>
      </c>
      <c r="X77" s="38">
        <v>0</v>
      </c>
      <c r="Y77" s="38">
        <v>0</v>
      </c>
      <c r="Z77" s="55">
        <f t="shared" si="4"/>
        <v>0</v>
      </c>
      <c r="AA77" s="38">
        <v>0</v>
      </c>
      <c r="AB77" s="56"/>
      <c r="AC77" s="34">
        <v>0</v>
      </c>
      <c r="AD77" s="34">
        <v>0</v>
      </c>
      <c r="AE77" s="34">
        <v>0</v>
      </c>
      <c r="AF77" s="57">
        <v>0</v>
      </c>
      <c r="AG77" s="34">
        <v>0</v>
      </c>
      <c r="AH77" s="34">
        <v>0</v>
      </c>
      <c r="AI77" s="58">
        <f t="shared" si="3"/>
        <v>0</v>
      </c>
      <c r="AJ77" s="31"/>
      <c r="AL77" s="39"/>
      <c r="AM77" s="39"/>
      <c r="AN77" s="39"/>
      <c r="AO77" s="39"/>
      <c r="AP77" s="39"/>
      <c r="AQ77" s="47"/>
      <c r="AR77" s="47"/>
      <c r="AS77" s="47"/>
      <c r="AT77" s="47"/>
      <c r="AU77" s="47"/>
      <c r="AV77" s="47"/>
      <c r="AW77" s="47"/>
      <c r="AX77" s="47"/>
      <c r="AY77" s="39"/>
      <c r="AZ77" s="39"/>
      <c r="BA77" s="39"/>
      <c r="BB77" s="39"/>
      <c r="BC77" s="39"/>
      <c r="BD77" s="39"/>
      <c r="BE77" s="112">
        <v>50000</v>
      </c>
    </row>
    <row r="78" spans="1:57" ht="21.75" customHeight="1">
      <c r="A78" s="39"/>
      <c r="B78" s="43" t="s">
        <v>112</v>
      </c>
      <c r="C78" s="43" t="s">
        <v>458</v>
      </c>
      <c r="D78" s="43" t="s">
        <v>459</v>
      </c>
      <c r="E78" s="40" t="s">
        <v>457</v>
      </c>
      <c r="F78" s="43" t="s">
        <v>59</v>
      </c>
      <c r="G78" s="43" t="s">
        <v>34</v>
      </c>
      <c r="H78" s="46" t="s">
        <v>262</v>
      </c>
      <c r="I78" s="45"/>
      <c r="J78" s="45">
        <v>9858</v>
      </c>
      <c r="K78" s="43" t="s">
        <v>273</v>
      </c>
      <c r="L78" s="43" t="s">
        <v>35</v>
      </c>
      <c r="M78" s="43"/>
      <c r="N78" s="51"/>
      <c r="O78" s="63" t="s">
        <v>307</v>
      </c>
      <c r="P78" s="41">
        <v>0</v>
      </c>
      <c r="Q78" s="40"/>
      <c r="R78" s="52" t="s">
        <v>307</v>
      </c>
      <c r="S78" s="52" t="s">
        <v>307</v>
      </c>
      <c r="T78" s="52" t="s">
        <v>307</v>
      </c>
      <c r="U78" s="53">
        <v>0</v>
      </c>
      <c r="V78" s="53">
        <v>0</v>
      </c>
      <c r="W78" s="54">
        <v>0</v>
      </c>
      <c r="X78" s="38">
        <v>0</v>
      </c>
      <c r="Y78" s="38">
        <v>0</v>
      </c>
      <c r="Z78" s="55">
        <f t="shared" si="4"/>
        <v>0</v>
      </c>
      <c r="AA78" s="38">
        <v>0</v>
      </c>
      <c r="AB78" s="56"/>
      <c r="AC78" s="34">
        <v>0</v>
      </c>
      <c r="AD78" s="34">
        <v>0</v>
      </c>
      <c r="AE78" s="34">
        <v>0</v>
      </c>
      <c r="AF78" s="57">
        <v>0</v>
      </c>
      <c r="AG78" s="34">
        <v>0</v>
      </c>
      <c r="AH78" s="34">
        <v>0</v>
      </c>
      <c r="AI78" s="58">
        <f t="shared" si="3"/>
        <v>0</v>
      </c>
      <c r="AJ78" s="31" t="s">
        <v>312</v>
      </c>
      <c r="AQ78" s="47"/>
      <c r="AR78" s="47"/>
      <c r="AS78" s="47"/>
      <c r="AT78" s="47"/>
      <c r="AU78" s="47"/>
      <c r="AV78" s="47"/>
      <c r="AW78" s="47"/>
      <c r="AX78" s="47"/>
      <c r="BE78" s="112"/>
    </row>
    <row r="79" spans="2:57" s="47" customFormat="1" ht="21.75" customHeight="1">
      <c r="B79" s="157" t="s">
        <v>112</v>
      </c>
      <c r="C79" s="157" t="s">
        <v>461</v>
      </c>
      <c r="D79" s="157" t="s">
        <v>462</v>
      </c>
      <c r="E79" s="63" t="s">
        <v>460</v>
      </c>
      <c r="F79" s="157" t="s">
        <v>59</v>
      </c>
      <c r="G79" s="157" t="s">
        <v>34</v>
      </c>
      <c r="H79" s="46" t="s">
        <v>262</v>
      </c>
      <c r="I79" s="168"/>
      <c r="J79" s="168">
        <v>4826.08</v>
      </c>
      <c r="K79" s="43" t="s">
        <v>273</v>
      </c>
      <c r="L79" s="157" t="s">
        <v>35</v>
      </c>
      <c r="M79" s="157"/>
      <c r="N79" s="169"/>
      <c r="O79" s="63" t="s">
        <v>307</v>
      </c>
      <c r="P79" s="41">
        <v>0</v>
      </c>
      <c r="Q79" s="63"/>
      <c r="R79" s="52" t="s">
        <v>307</v>
      </c>
      <c r="S79" s="52" t="s">
        <v>307</v>
      </c>
      <c r="T79" s="52" t="s">
        <v>307</v>
      </c>
      <c r="U79" s="53">
        <v>0</v>
      </c>
      <c r="V79" s="53">
        <v>0</v>
      </c>
      <c r="W79" s="54">
        <v>0</v>
      </c>
      <c r="X79" s="38">
        <v>0</v>
      </c>
      <c r="Y79" s="38">
        <v>0</v>
      </c>
      <c r="Z79" s="55">
        <f t="shared" si="4"/>
        <v>0</v>
      </c>
      <c r="AA79" s="38">
        <v>0</v>
      </c>
      <c r="AB79" s="170"/>
      <c r="AC79" s="34">
        <v>0</v>
      </c>
      <c r="AD79" s="34">
        <v>0</v>
      </c>
      <c r="AE79" s="34">
        <v>0</v>
      </c>
      <c r="AF79" s="57">
        <v>0</v>
      </c>
      <c r="AG79" s="34">
        <v>0</v>
      </c>
      <c r="AH79" s="34">
        <v>0</v>
      </c>
      <c r="AI79" s="58">
        <f t="shared" si="3"/>
        <v>0</v>
      </c>
      <c r="AJ79" s="31" t="s">
        <v>312</v>
      </c>
      <c r="AK79" s="39"/>
      <c r="BE79" s="171"/>
    </row>
    <row r="80" spans="2:57" s="47" customFormat="1" ht="21.75" customHeight="1">
      <c r="B80" s="157" t="s">
        <v>112</v>
      </c>
      <c r="C80" s="157" t="s">
        <v>461</v>
      </c>
      <c r="D80" s="157" t="s">
        <v>464</v>
      </c>
      <c r="E80" s="63" t="s">
        <v>463</v>
      </c>
      <c r="F80" s="157" t="s">
        <v>59</v>
      </c>
      <c r="G80" s="157" t="s">
        <v>34</v>
      </c>
      <c r="H80" s="46" t="s">
        <v>262</v>
      </c>
      <c r="I80" s="168"/>
      <c r="J80" s="168">
        <v>36304</v>
      </c>
      <c r="K80" s="43" t="s">
        <v>273</v>
      </c>
      <c r="L80" s="157" t="s">
        <v>35</v>
      </c>
      <c r="M80" s="157"/>
      <c r="N80" s="169"/>
      <c r="O80" s="63" t="s">
        <v>307</v>
      </c>
      <c r="P80" s="41">
        <v>0</v>
      </c>
      <c r="Q80" s="63"/>
      <c r="R80" s="52" t="s">
        <v>307</v>
      </c>
      <c r="S80" s="52" t="s">
        <v>307</v>
      </c>
      <c r="T80" s="52" t="s">
        <v>307</v>
      </c>
      <c r="U80" s="53">
        <v>0</v>
      </c>
      <c r="V80" s="53">
        <v>0</v>
      </c>
      <c r="W80" s="54">
        <v>0</v>
      </c>
      <c r="X80" s="38">
        <v>0</v>
      </c>
      <c r="Y80" s="38">
        <v>0</v>
      </c>
      <c r="Z80" s="55">
        <f t="shared" si="4"/>
        <v>0</v>
      </c>
      <c r="AA80" s="38">
        <v>0</v>
      </c>
      <c r="AB80" s="170"/>
      <c r="AC80" s="34">
        <v>0</v>
      </c>
      <c r="AD80" s="34">
        <v>0</v>
      </c>
      <c r="AE80" s="34">
        <v>0</v>
      </c>
      <c r="AF80" s="57">
        <v>0</v>
      </c>
      <c r="AG80" s="34">
        <v>0</v>
      </c>
      <c r="AH80" s="34">
        <v>0</v>
      </c>
      <c r="AI80" s="58">
        <f t="shared" si="3"/>
        <v>0</v>
      </c>
      <c r="AJ80" s="31" t="s">
        <v>312</v>
      </c>
      <c r="AK80" s="39"/>
      <c r="BE80" s="171"/>
    </row>
    <row r="81" spans="1:57" ht="21.75" customHeight="1">
      <c r="A81" s="39"/>
      <c r="B81" s="43" t="s">
        <v>112</v>
      </c>
      <c r="C81" s="43" t="s">
        <v>123</v>
      </c>
      <c r="D81" s="43" t="s">
        <v>165</v>
      </c>
      <c r="E81" s="40" t="s">
        <v>465</v>
      </c>
      <c r="F81" s="43" t="s">
        <v>63</v>
      </c>
      <c r="G81" s="43" t="s">
        <v>34</v>
      </c>
      <c r="H81" s="46" t="s">
        <v>262</v>
      </c>
      <c r="I81" s="45">
        <v>120000</v>
      </c>
      <c r="J81" s="45">
        <v>124775</v>
      </c>
      <c r="K81" s="43" t="s">
        <v>271</v>
      </c>
      <c r="L81" s="43" t="s">
        <v>35</v>
      </c>
      <c r="M81" s="43"/>
      <c r="N81" s="51"/>
      <c r="O81" s="63" t="s">
        <v>307</v>
      </c>
      <c r="P81" s="42">
        <v>0</v>
      </c>
      <c r="Q81" s="40" t="s">
        <v>466</v>
      </c>
      <c r="R81" s="52" t="s">
        <v>467</v>
      </c>
      <c r="S81" s="86">
        <v>40816</v>
      </c>
      <c r="T81" s="52" t="s">
        <v>381</v>
      </c>
      <c r="U81" s="53">
        <v>2800</v>
      </c>
      <c r="V81" s="53">
        <v>2800</v>
      </c>
      <c r="W81" s="54">
        <v>0</v>
      </c>
      <c r="X81" s="38">
        <v>0</v>
      </c>
      <c r="Y81" s="38">
        <v>0</v>
      </c>
      <c r="Z81" s="55">
        <f t="shared" si="4"/>
        <v>0</v>
      </c>
      <c r="AA81" s="38">
        <v>0</v>
      </c>
      <c r="AB81" s="56"/>
      <c r="AC81" s="34">
        <v>0</v>
      </c>
      <c r="AD81" s="34">
        <v>0</v>
      </c>
      <c r="AE81" s="34">
        <v>0</v>
      </c>
      <c r="AF81" s="57">
        <v>0</v>
      </c>
      <c r="AG81" s="34">
        <v>0</v>
      </c>
      <c r="AH81" s="34">
        <v>0</v>
      </c>
      <c r="AI81" s="58">
        <f t="shared" si="3"/>
        <v>0</v>
      </c>
      <c r="AJ81" s="31"/>
      <c r="AQ81" s="47"/>
      <c r="AR81" s="47"/>
      <c r="AS81" s="47"/>
      <c r="AT81" s="47"/>
      <c r="AU81" s="47"/>
      <c r="AV81" s="47"/>
      <c r="AW81" s="47"/>
      <c r="AX81" s="47"/>
      <c r="BE81" s="112">
        <v>120000</v>
      </c>
    </row>
    <row r="82" spans="1:57" ht="21.75" customHeight="1">
      <c r="A82" s="39"/>
      <c r="B82" s="43" t="s">
        <v>112</v>
      </c>
      <c r="C82" s="43" t="s">
        <v>414</v>
      </c>
      <c r="D82" s="43" t="s">
        <v>469</v>
      </c>
      <c r="E82" s="40" t="s">
        <v>468</v>
      </c>
      <c r="F82" s="43" t="s">
        <v>59</v>
      </c>
      <c r="G82" s="43" t="s">
        <v>34</v>
      </c>
      <c r="H82" s="46" t="s">
        <v>262</v>
      </c>
      <c r="I82" s="45">
        <v>150000</v>
      </c>
      <c r="J82" s="45"/>
      <c r="K82" s="43" t="s">
        <v>273</v>
      </c>
      <c r="L82" s="43" t="s">
        <v>35</v>
      </c>
      <c r="M82" s="43"/>
      <c r="N82" s="51"/>
      <c r="O82" s="63" t="s">
        <v>307</v>
      </c>
      <c r="P82" s="41">
        <v>0</v>
      </c>
      <c r="Q82" s="40"/>
      <c r="R82" s="52" t="s">
        <v>307</v>
      </c>
      <c r="S82" s="52" t="s">
        <v>307</v>
      </c>
      <c r="T82" s="52" t="s">
        <v>307</v>
      </c>
      <c r="U82" s="53">
        <v>0</v>
      </c>
      <c r="V82" s="53">
        <v>0</v>
      </c>
      <c r="W82" s="54">
        <v>0</v>
      </c>
      <c r="X82" s="38">
        <v>0</v>
      </c>
      <c r="Y82" s="38">
        <v>0</v>
      </c>
      <c r="Z82" s="55">
        <f t="shared" si="4"/>
        <v>0</v>
      </c>
      <c r="AA82" s="38">
        <v>0</v>
      </c>
      <c r="AB82" s="56"/>
      <c r="AC82" s="34">
        <v>0</v>
      </c>
      <c r="AD82" s="34">
        <v>0</v>
      </c>
      <c r="AE82" s="34">
        <v>0</v>
      </c>
      <c r="AF82" s="57">
        <v>0</v>
      </c>
      <c r="AG82" s="34">
        <v>0</v>
      </c>
      <c r="AH82" s="34">
        <v>0</v>
      </c>
      <c r="AI82" s="58">
        <f t="shared" si="3"/>
        <v>0</v>
      </c>
      <c r="AJ82" s="31" t="s">
        <v>470</v>
      </c>
      <c r="AQ82" s="47"/>
      <c r="AR82" s="47"/>
      <c r="AS82" s="47"/>
      <c r="AT82" s="47"/>
      <c r="AU82" s="47"/>
      <c r="AV82" s="47"/>
      <c r="AW82" s="47"/>
      <c r="AX82" s="47"/>
      <c r="BE82" s="112">
        <v>150000</v>
      </c>
    </row>
    <row r="83" spans="1:57" ht="21.75" customHeight="1">
      <c r="A83" s="39"/>
      <c r="B83" s="43" t="s">
        <v>112</v>
      </c>
      <c r="C83" s="43" t="s">
        <v>472</v>
      </c>
      <c r="D83" s="43" t="s">
        <v>473</v>
      </c>
      <c r="E83" s="40" t="s">
        <v>471</v>
      </c>
      <c r="F83" s="43" t="s">
        <v>59</v>
      </c>
      <c r="G83" s="43" t="s">
        <v>34</v>
      </c>
      <c r="H83" s="46" t="s">
        <v>262</v>
      </c>
      <c r="I83" s="45">
        <v>40000</v>
      </c>
      <c r="J83" s="45" t="s">
        <v>474</v>
      </c>
      <c r="K83" s="43" t="s">
        <v>273</v>
      </c>
      <c r="L83" s="43" t="s">
        <v>35</v>
      </c>
      <c r="M83" s="43"/>
      <c r="N83" s="51"/>
      <c r="O83" s="63" t="s">
        <v>307</v>
      </c>
      <c r="P83" s="41">
        <v>0</v>
      </c>
      <c r="Q83" s="40"/>
      <c r="R83" s="52" t="s">
        <v>307</v>
      </c>
      <c r="S83" s="52" t="s">
        <v>307</v>
      </c>
      <c r="T83" s="52" t="s">
        <v>307</v>
      </c>
      <c r="U83" s="53">
        <v>0</v>
      </c>
      <c r="V83" s="53">
        <v>0</v>
      </c>
      <c r="W83" s="54">
        <v>0</v>
      </c>
      <c r="X83" s="38">
        <v>0</v>
      </c>
      <c r="Y83" s="38">
        <v>0</v>
      </c>
      <c r="Z83" s="55">
        <f t="shared" si="4"/>
        <v>0</v>
      </c>
      <c r="AA83" s="38">
        <v>0</v>
      </c>
      <c r="AB83" s="56"/>
      <c r="AC83" s="34">
        <v>0</v>
      </c>
      <c r="AD83" s="34">
        <v>0</v>
      </c>
      <c r="AE83" s="34">
        <v>0</v>
      </c>
      <c r="AF83" s="57">
        <v>0</v>
      </c>
      <c r="AG83" s="34">
        <v>0</v>
      </c>
      <c r="AH83" s="34">
        <v>0</v>
      </c>
      <c r="AI83" s="58">
        <f t="shared" si="3"/>
        <v>0</v>
      </c>
      <c r="AJ83" s="31" t="s">
        <v>475</v>
      </c>
      <c r="AQ83" s="47"/>
      <c r="AR83" s="47"/>
      <c r="AS83" s="47"/>
      <c r="AT83" s="47"/>
      <c r="AU83" s="47"/>
      <c r="AV83" s="47"/>
      <c r="AW83" s="47"/>
      <c r="AX83" s="47"/>
      <c r="BE83" s="112">
        <v>40000</v>
      </c>
    </row>
    <row r="84" spans="1:57" ht="21.75" customHeight="1">
      <c r="A84" s="39"/>
      <c r="B84" s="43" t="s">
        <v>112</v>
      </c>
      <c r="C84" s="43" t="s">
        <v>289</v>
      </c>
      <c r="D84" s="43" t="s">
        <v>477</v>
      </c>
      <c r="E84" s="40" t="s">
        <v>476</v>
      </c>
      <c r="F84" s="43" t="s">
        <v>58</v>
      </c>
      <c r="G84" s="43" t="s">
        <v>34</v>
      </c>
      <c r="H84" s="46" t="s">
        <v>262</v>
      </c>
      <c r="I84" s="45">
        <v>100000</v>
      </c>
      <c r="J84" s="45"/>
      <c r="K84" s="43" t="s">
        <v>183</v>
      </c>
      <c r="L84" s="43" t="s">
        <v>35</v>
      </c>
      <c r="M84" s="43"/>
      <c r="N84" s="51"/>
      <c r="O84" s="63" t="s">
        <v>307</v>
      </c>
      <c r="P84" s="42">
        <v>0</v>
      </c>
      <c r="Q84" s="40" t="s">
        <v>308</v>
      </c>
      <c r="R84" s="52" t="s">
        <v>307</v>
      </c>
      <c r="S84" s="52" t="s">
        <v>307</v>
      </c>
      <c r="T84" s="52" t="s">
        <v>307</v>
      </c>
      <c r="U84" s="53">
        <v>0</v>
      </c>
      <c r="V84" s="53">
        <v>0</v>
      </c>
      <c r="W84" s="54">
        <v>0</v>
      </c>
      <c r="X84" s="38">
        <v>0</v>
      </c>
      <c r="Y84" s="38">
        <v>0</v>
      </c>
      <c r="Z84" s="55">
        <f t="shared" si="4"/>
        <v>0</v>
      </c>
      <c r="AA84" s="38">
        <v>0</v>
      </c>
      <c r="AB84" s="56"/>
      <c r="AC84" s="34">
        <v>0</v>
      </c>
      <c r="AD84" s="34">
        <v>0</v>
      </c>
      <c r="AE84" s="34">
        <v>0</v>
      </c>
      <c r="AF84" s="57">
        <v>0</v>
      </c>
      <c r="AG84" s="34">
        <v>0</v>
      </c>
      <c r="AH84" s="34">
        <v>0</v>
      </c>
      <c r="AI84" s="58">
        <f t="shared" si="3"/>
        <v>0</v>
      </c>
      <c r="AJ84" s="31" t="s">
        <v>309</v>
      </c>
      <c r="AQ84" s="47"/>
      <c r="AR84" s="47"/>
      <c r="AS84" s="47"/>
      <c r="AT84" s="47"/>
      <c r="AU84" s="47"/>
      <c r="AV84" s="47"/>
      <c r="AW84" s="47"/>
      <c r="AX84" s="47"/>
      <c r="BE84" s="112">
        <v>100000</v>
      </c>
    </row>
    <row r="85" spans="1:57" ht="21.75" customHeight="1">
      <c r="A85" s="39"/>
      <c r="B85" s="43" t="s">
        <v>112</v>
      </c>
      <c r="C85" s="43" t="s">
        <v>479</v>
      </c>
      <c r="D85" s="43" t="s">
        <v>480</v>
      </c>
      <c r="E85" s="40" t="s">
        <v>478</v>
      </c>
      <c r="F85" s="43" t="s">
        <v>59</v>
      </c>
      <c r="G85" s="43" t="s">
        <v>34</v>
      </c>
      <c r="H85" s="46" t="s">
        <v>262</v>
      </c>
      <c r="I85" s="45">
        <v>33500</v>
      </c>
      <c r="J85" s="45">
        <v>14617</v>
      </c>
      <c r="K85" s="43" t="s">
        <v>273</v>
      </c>
      <c r="L85" s="43" t="s">
        <v>35</v>
      </c>
      <c r="M85" s="43"/>
      <c r="N85" s="51"/>
      <c r="O85" s="63" t="s">
        <v>307</v>
      </c>
      <c r="P85" s="41">
        <v>0</v>
      </c>
      <c r="Q85" s="40"/>
      <c r="R85" s="52" t="s">
        <v>307</v>
      </c>
      <c r="S85" s="52" t="s">
        <v>307</v>
      </c>
      <c r="T85" s="52" t="s">
        <v>307</v>
      </c>
      <c r="U85" s="53">
        <v>0</v>
      </c>
      <c r="V85" s="53">
        <v>0</v>
      </c>
      <c r="W85" s="54">
        <v>0</v>
      </c>
      <c r="X85" s="38">
        <v>0</v>
      </c>
      <c r="Y85" s="38">
        <v>0</v>
      </c>
      <c r="Z85" s="55">
        <f t="shared" si="4"/>
        <v>0</v>
      </c>
      <c r="AA85" s="38">
        <v>0</v>
      </c>
      <c r="AB85" s="56"/>
      <c r="AC85" s="34">
        <v>0</v>
      </c>
      <c r="AD85" s="34">
        <v>0</v>
      </c>
      <c r="AE85" s="34">
        <v>0</v>
      </c>
      <c r="AF85" s="57">
        <v>0</v>
      </c>
      <c r="AG85" s="34">
        <v>0</v>
      </c>
      <c r="AH85" s="34">
        <v>0</v>
      </c>
      <c r="AI85" s="58">
        <f t="shared" si="3"/>
        <v>0</v>
      </c>
      <c r="AJ85" s="31" t="s">
        <v>312</v>
      </c>
      <c r="AQ85" s="47"/>
      <c r="AR85" s="47"/>
      <c r="AS85" s="47"/>
      <c r="AT85" s="47"/>
      <c r="AU85" s="47"/>
      <c r="AV85" s="47"/>
      <c r="AW85" s="47"/>
      <c r="AX85" s="47"/>
      <c r="BE85" s="112">
        <v>33500</v>
      </c>
    </row>
    <row r="86" spans="1:57" ht="21.75" customHeight="1">
      <c r="A86" s="39"/>
      <c r="B86" s="43" t="s">
        <v>112</v>
      </c>
      <c r="C86" s="43" t="s">
        <v>168</v>
      </c>
      <c r="D86" s="43" t="s">
        <v>180</v>
      </c>
      <c r="E86" s="40" t="s">
        <v>481</v>
      </c>
      <c r="F86" s="43" t="s">
        <v>63</v>
      </c>
      <c r="G86" s="43" t="s">
        <v>166</v>
      </c>
      <c r="H86" s="43" t="s">
        <v>255</v>
      </c>
      <c r="I86" s="45"/>
      <c r="J86" s="45"/>
      <c r="K86" s="43" t="s">
        <v>273</v>
      </c>
      <c r="L86" s="43" t="s">
        <v>35</v>
      </c>
      <c r="M86" s="43"/>
      <c r="N86" s="51"/>
      <c r="O86" s="63" t="s">
        <v>307</v>
      </c>
      <c r="P86" s="41">
        <v>0</v>
      </c>
      <c r="Q86" s="40" t="s">
        <v>482</v>
      </c>
      <c r="R86" s="52" t="s">
        <v>307</v>
      </c>
      <c r="S86" s="52" t="s">
        <v>307</v>
      </c>
      <c r="T86" s="52" t="s">
        <v>307</v>
      </c>
      <c r="U86" s="53">
        <v>0</v>
      </c>
      <c r="V86" s="53">
        <v>0</v>
      </c>
      <c r="W86" s="54">
        <v>0</v>
      </c>
      <c r="X86" s="38">
        <v>0</v>
      </c>
      <c r="Y86" s="38">
        <v>0</v>
      </c>
      <c r="Z86" s="55">
        <f t="shared" si="4"/>
        <v>0</v>
      </c>
      <c r="AA86" s="38">
        <v>0</v>
      </c>
      <c r="AB86" s="56"/>
      <c r="AC86" s="34">
        <v>0</v>
      </c>
      <c r="AD86" s="34">
        <v>0</v>
      </c>
      <c r="AE86" s="34">
        <v>0</v>
      </c>
      <c r="AF86" s="57">
        <v>0</v>
      </c>
      <c r="AG86" s="34">
        <v>0</v>
      </c>
      <c r="AH86" s="34">
        <v>0</v>
      </c>
      <c r="AI86" s="58">
        <f t="shared" si="3"/>
        <v>0</v>
      </c>
      <c r="AJ86" s="31"/>
      <c r="AQ86" s="47"/>
      <c r="AR86" s="47"/>
      <c r="AS86" s="47"/>
      <c r="AT86" s="47"/>
      <c r="AU86" s="47"/>
      <c r="AV86" s="47"/>
      <c r="AW86" s="47"/>
      <c r="AX86" s="47"/>
      <c r="BE86" s="112"/>
    </row>
    <row r="87" spans="1:57" ht="21.75" customHeight="1">
      <c r="A87" s="39"/>
      <c r="B87" s="43" t="s">
        <v>112</v>
      </c>
      <c r="C87" s="43" t="s">
        <v>169</v>
      </c>
      <c r="D87" s="43" t="s">
        <v>181</v>
      </c>
      <c r="E87" s="40" t="s">
        <v>483</v>
      </c>
      <c r="F87" s="43" t="s">
        <v>63</v>
      </c>
      <c r="G87" s="43" t="s">
        <v>166</v>
      </c>
      <c r="H87" s="43" t="s">
        <v>255</v>
      </c>
      <c r="I87" s="45"/>
      <c r="J87" s="45"/>
      <c r="K87" s="43" t="s">
        <v>273</v>
      </c>
      <c r="L87" s="43" t="s">
        <v>35</v>
      </c>
      <c r="M87" s="43"/>
      <c r="N87" s="51"/>
      <c r="O87" s="63" t="s">
        <v>307</v>
      </c>
      <c r="P87" s="41">
        <v>0</v>
      </c>
      <c r="Q87" s="40" t="s">
        <v>482</v>
      </c>
      <c r="R87" s="52" t="s">
        <v>307</v>
      </c>
      <c r="S87" s="52" t="s">
        <v>307</v>
      </c>
      <c r="T87" s="52" t="s">
        <v>307</v>
      </c>
      <c r="U87" s="53">
        <v>0</v>
      </c>
      <c r="V87" s="53">
        <v>0</v>
      </c>
      <c r="W87" s="54">
        <v>0</v>
      </c>
      <c r="X87" s="38">
        <v>0</v>
      </c>
      <c r="Y87" s="38">
        <v>0</v>
      </c>
      <c r="Z87" s="55">
        <f t="shared" si="4"/>
        <v>0</v>
      </c>
      <c r="AA87" s="38">
        <v>0</v>
      </c>
      <c r="AB87" s="56"/>
      <c r="AC87" s="34">
        <v>0</v>
      </c>
      <c r="AD87" s="34">
        <v>0</v>
      </c>
      <c r="AE87" s="34">
        <v>0</v>
      </c>
      <c r="AF87" s="57">
        <v>0</v>
      </c>
      <c r="AG87" s="34">
        <v>0</v>
      </c>
      <c r="AH87" s="34">
        <v>0</v>
      </c>
      <c r="AI87" s="58">
        <f t="shared" si="3"/>
        <v>0</v>
      </c>
      <c r="AJ87" s="31"/>
      <c r="AQ87" s="47"/>
      <c r="AR87" s="47"/>
      <c r="AS87" s="47"/>
      <c r="AT87" s="47"/>
      <c r="AU87" s="47"/>
      <c r="AV87" s="47"/>
      <c r="AW87" s="47"/>
      <c r="AX87" s="47"/>
      <c r="BE87" s="112"/>
    </row>
    <row r="88" spans="1:57" ht="21.75" customHeight="1">
      <c r="A88" s="39"/>
      <c r="B88" s="43" t="s">
        <v>112</v>
      </c>
      <c r="C88" s="43" t="s">
        <v>170</v>
      </c>
      <c r="D88" s="43" t="s">
        <v>182</v>
      </c>
      <c r="E88" s="40" t="s">
        <v>484</v>
      </c>
      <c r="F88" s="43" t="s">
        <v>63</v>
      </c>
      <c r="G88" s="43" t="s">
        <v>166</v>
      </c>
      <c r="H88" s="43" t="s">
        <v>256</v>
      </c>
      <c r="I88" s="45"/>
      <c r="J88" s="45"/>
      <c r="K88" s="43" t="s">
        <v>273</v>
      </c>
      <c r="L88" s="43" t="s">
        <v>35</v>
      </c>
      <c r="M88" s="43"/>
      <c r="N88" s="51"/>
      <c r="O88" s="63" t="s">
        <v>307</v>
      </c>
      <c r="P88" s="41">
        <v>0</v>
      </c>
      <c r="Q88" s="40" t="s">
        <v>482</v>
      </c>
      <c r="R88" s="52" t="s">
        <v>307</v>
      </c>
      <c r="S88" s="52" t="s">
        <v>307</v>
      </c>
      <c r="T88" s="52" t="s">
        <v>307</v>
      </c>
      <c r="U88" s="53">
        <v>0</v>
      </c>
      <c r="V88" s="53">
        <v>0</v>
      </c>
      <c r="W88" s="54">
        <v>0</v>
      </c>
      <c r="X88" s="38">
        <v>0</v>
      </c>
      <c r="Y88" s="38">
        <v>0</v>
      </c>
      <c r="Z88" s="55">
        <f t="shared" si="4"/>
        <v>0</v>
      </c>
      <c r="AA88" s="38">
        <v>0</v>
      </c>
      <c r="AB88" s="56"/>
      <c r="AC88" s="34">
        <v>0</v>
      </c>
      <c r="AD88" s="34">
        <v>0</v>
      </c>
      <c r="AE88" s="34">
        <v>0</v>
      </c>
      <c r="AF88" s="57">
        <v>0</v>
      </c>
      <c r="AG88" s="34">
        <v>0</v>
      </c>
      <c r="AH88" s="34">
        <v>0</v>
      </c>
      <c r="AI88" s="58">
        <f t="shared" si="3"/>
        <v>0</v>
      </c>
      <c r="AJ88" s="31"/>
      <c r="AQ88" s="47"/>
      <c r="AR88" s="47"/>
      <c r="AS88" s="47"/>
      <c r="AT88" s="47"/>
      <c r="AU88" s="47"/>
      <c r="AV88" s="47"/>
      <c r="AW88" s="47"/>
      <c r="AX88" s="47"/>
      <c r="BE88" s="112"/>
    </row>
    <row r="89" spans="1:57" ht="21.75" customHeight="1">
      <c r="A89" s="39"/>
      <c r="B89" s="43" t="s">
        <v>112</v>
      </c>
      <c r="C89" s="43" t="s">
        <v>486</v>
      </c>
      <c r="D89" s="43" t="s">
        <v>183</v>
      </c>
      <c r="E89" s="40" t="s">
        <v>485</v>
      </c>
      <c r="F89" s="43" t="s">
        <v>63</v>
      </c>
      <c r="G89" s="43" t="s">
        <v>34</v>
      </c>
      <c r="H89" s="46" t="s">
        <v>487</v>
      </c>
      <c r="I89" s="45"/>
      <c r="J89" s="45"/>
      <c r="K89" s="43" t="s">
        <v>183</v>
      </c>
      <c r="L89" s="43" t="s">
        <v>35</v>
      </c>
      <c r="M89" s="43"/>
      <c r="N89" s="51"/>
      <c r="O89" s="63" t="s">
        <v>307</v>
      </c>
      <c r="P89" s="41">
        <v>0</v>
      </c>
      <c r="Q89" s="40" t="s">
        <v>488</v>
      </c>
      <c r="R89" s="52" t="s">
        <v>307</v>
      </c>
      <c r="S89" s="52" t="s">
        <v>307</v>
      </c>
      <c r="T89" s="52" t="s">
        <v>307</v>
      </c>
      <c r="U89" s="53">
        <v>0</v>
      </c>
      <c r="V89" s="53">
        <v>0</v>
      </c>
      <c r="W89" s="54">
        <v>0</v>
      </c>
      <c r="X89" s="38">
        <v>0</v>
      </c>
      <c r="Y89" s="38">
        <v>0</v>
      </c>
      <c r="Z89" s="55">
        <f t="shared" si="4"/>
        <v>0</v>
      </c>
      <c r="AA89" s="38">
        <v>0</v>
      </c>
      <c r="AB89" s="56"/>
      <c r="AC89" s="34">
        <v>0</v>
      </c>
      <c r="AD89" s="34">
        <v>0</v>
      </c>
      <c r="AE89" s="34">
        <v>0</v>
      </c>
      <c r="AF89" s="57">
        <v>0</v>
      </c>
      <c r="AG89" s="34">
        <v>0</v>
      </c>
      <c r="AH89" s="34">
        <v>0</v>
      </c>
      <c r="AI89" s="58">
        <f t="shared" si="3"/>
        <v>0</v>
      </c>
      <c r="AJ89" s="31"/>
      <c r="AQ89" s="47"/>
      <c r="AR89" s="47"/>
      <c r="AS89" s="47"/>
      <c r="AT89" s="47"/>
      <c r="AU89" s="47"/>
      <c r="AV89" s="47"/>
      <c r="AW89" s="47"/>
      <c r="AX89" s="47"/>
      <c r="BE89" s="112"/>
    </row>
    <row r="90" spans="1:57" ht="21.75" customHeight="1">
      <c r="A90" s="39"/>
      <c r="B90" s="43" t="s">
        <v>112</v>
      </c>
      <c r="C90" s="43" t="s">
        <v>486</v>
      </c>
      <c r="D90" s="43" t="s">
        <v>183</v>
      </c>
      <c r="E90" s="40" t="s">
        <v>489</v>
      </c>
      <c r="F90" s="43" t="s">
        <v>63</v>
      </c>
      <c r="G90" s="43" t="s">
        <v>34</v>
      </c>
      <c r="H90" s="46" t="s">
        <v>487</v>
      </c>
      <c r="I90" s="45"/>
      <c r="J90" s="45"/>
      <c r="K90" s="43" t="s">
        <v>183</v>
      </c>
      <c r="L90" s="43" t="s">
        <v>35</v>
      </c>
      <c r="M90" s="43"/>
      <c r="N90" s="51"/>
      <c r="O90" s="63" t="s">
        <v>307</v>
      </c>
      <c r="P90" s="41">
        <v>0</v>
      </c>
      <c r="Q90" s="40" t="s">
        <v>488</v>
      </c>
      <c r="R90" s="52" t="s">
        <v>307</v>
      </c>
      <c r="S90" s="52" t="s">
        <v>307</v>
      </c>
      <c r="T90" s="52" t="s">
        <v>307</v>
      </c>
      <c r="U90" s="53">
        <v>0</v>
      </c>
      <c r="V90" s="53">
        <v>0</v>
      </c>
      <c r="W90" s="54">
        <v>0</v>
      </c>
      <c r="X90" s="38">
        <v>0</v>
      </c>
      <c r="Y90" s="38">
        <v>0</v>
      </c>
      <c r="Z90" s="55">
        <f t="shared" si="4"/>
        <v>0</v>
      </c>
      <c r="AA90" s="38">
        <v>0</v>
      </c>
      <c r="AB90" s="56"/>
      <c r="AC90" s="34">
        <v>0</v>
      </c>
      <c r="AD90" s="34">
        <v>0</v>
      </c>
      <c r="AE90" s="34">
        <v>0</v>
      </c>
      <c r="AF90" s="57">
        <v>0</v>
      </c>
      <c r="AG90" s="34">
        <v>0</v>
      </c>
      <c r="AH90" s="34">
        <v>0</v>
      </c>
      <c r="AI90" s="58">
        <f t="shared" si="3"/>
        <v>0</v>
      </c>
      <c r="AJ90" s="31"/>
      <c r="AQ90" s="47"/>
      <c r="AR90" s="47"/>
      <c r="AS90" s="47"/>
      <c r="AT90" s="47"/>
      <c r="AU90" s="47"/>
      <c r="AV90" s="47"/>
      <c r="AW90" s="47"/>
      <c r="AX90" s="47"/>
      <c r="BE90" s="112"/>
    </row>
    <row r="91" spans="1:57" ht="21.75" customHeight="1">
      <c r="A91" s="39"/>
      <c r="B91" s="43" t="s">
        <v>112</v>
      </c>
      <c r="C91" s="43" t="s">
        <v>486</v>
      </c>
      <c r="D91" s="43" t="s">
        <v>183</v>
      </c>
      <c r="E91" s="40" t="s">
        <v>490</v>
      </c>
      <c r="F91" s="43" t="s">
        <v>63</v>
      </c>
      <c r="G91" s="43" t="s">
        <v>34</v>
      </c>
      <c r="H91" s="46" t="s">
        <v>487</v>
      </c>
      <c r="I91" s="45"/>
      <c r="J91" s="45"/>
      <c r="K91" s="43" t="s">
        <v>183</v>
      </c>
      <c r="L91" s="43" t="s">
        <v>35</v>
      </c>
      <c r="M91" s="43"/>
      <c r="N91" s="51"/>
      <c r="O91" s="63" t="s">
        <v>307</v>
      </c>
      <c r="P91" s="41">
        <v>0</v>
      </c>
      <c r="Q91" s="40" t="s">
        <v>488</v>
      </c>
      <c r="R91" s="52" t="s">
        <v>307</v>
      </c>
      <c r="S91" s="52" t="s">
        <v>307</v>
      </c>
      <c r="T91" s="52" t="s">
        <v>307</v>
      </c>
      <c r="U91" s="53">
        <v>0</v>
      </c>
      <c r="V91" s="53">
        <v>0</v>
      </c>
      <c r="W91" s="54">
        <v>0</v>
      </c>
      <c r="X91" s="38">
        <v>0</v>
      </c>
      <c r="Y91" s="38">
        <v>0</v>
      </c>
      <c r="Z91" s="55">
        <f t="shared" si="4"/>
        <v>0</v>
      </c>
      <c r="AA91" s="38">
        <v>0</v>
      </c>
      <c r="AB91" s="56"/>
      <c r="AC91" s="34">
        <v>0</v>
      </c>
      <c r="AD91" s="34">
        <v>0</v>
      </c>
      <c r="AE91" s="34">
        <v>0</v>
      </c>
      <c r="AF91" s="57">
        <v>0</v>
      </c>
      <c r="AG91" s="34">
        <v>0</v>
      </c>
      <c r="AH91" s="34">
        <v>0</v>
      </c>
      <c r="AI91" s="58">
        <f t="shared" si="3"/>
        <v>0</v>
      </c>
      <c r="AJ91" s="31"/>
      <c r="AQ91" s="47"/>
      <c r="AR91" s="47"/>
      <c r="AS91" s="47"/>
      <c r="AT91" s="47"/>
      <c r="AU91" s="47"/>
      <c r="AV91" s="47"/>
      <c r="AW91" s="47"/>
      <c r="AX91" s="47"/>
      <c r="BE91" s="112"/>
    </row>
    <row r="92" spans="1:57" ht="21.75" customHeight="1">
      <c r="A92" s="39"/>
      <c r="B92" s="43" t="s">
        <v>112</v>
      </c>
      <c r="C92" s="43" t="s">
        <v>171</v>
      </c>
      <c r="D92" s="43" t="s">
        <v>183</v>
      </c>
      <c r="E92" s="40" t="s">
        <v>491</v>
      </c>
      <c r="F92" s="43" t="s">
        <v>63</v>
      </c>
      <c r="G92" s="43" t="s">
        <v>34</v>
      </c>
      <c r="H92" s="46" t="s">
        <v>262</v>
      </c>
      <c r="I92" s="45"/>
      <c r="J92" s="45"/>
      <c r="K92" s="43" t="s">
        <v>273</v>
      </c>
      <c r="L92" s="43" t="s">
        <v>35</v>
      </c>
      <c r="M92" s="43"/>
      <c r="N92" s="51"/>
      <c r="O92" s="63" t="s">
        <v>307</v>
      </c>
      <c r="P92" s="41">
        <v>0</v>
      </c>
      <c r="Q92" s="40" t="s">
        <v>492</v>
      </c>
      <c r="R92" s="52" t="s">
        <v>307</v>
      </c>
      <c r="S92" s="52" t="s">
        <v>307</v>
      </c>
      <c r="T92" s="52" t="s">
        <v>307</v>
      </c>
      <c r="U92" s="53">
        <v>0</v>
      </c>
      <c r="V92" s="53">
        <v>0</v>
      </c>
      <c r="W92" s="54">
        <v>0</v>
      </c>
      <c r="X92" s="38">
        <v>0</v>
      </c>
      <c r="Y92" s="38">
        <v>0</v>
      </c>
      <c r="Z92" s="55">
        <f t="shared" si="4"/>
        <v>0</v>
      </c>
      <c r="AA92" s="38">
        <v>0</v>
      </c>
      <c r="AB92" s="56"/>
      <c r="AC92" s="34">
        <v>0</v>
      </c>
      <c r="AD92" s="34">
        <v>0</v>
      </c>
      <c r="AE92" s="34">
        <v>0</v>
      </c>
      <c r="AF92" s="57">
        <v>0</v>
      </c>
      <c r="AG92" s="34">
        <v>0</v>
      </c>
      <c r="AH92" s="34">
        <v>0</v>
      </c>
      <c r="AI92" s="58">
        <f t="shared" si="3"/>
        <v>0</v>
      </c>
      <c r="AJ92" s="31"/>
      <c r="AQ92" s="47"/>
      <c r="AR92" s="47"/>
      <c r="AS92" s="47"/>
      <c r="AT92" s="47"/>
      <c r="AU92" s="47"/>
      <c r="AV92" s="47"/>
      <c r="AW92" s="47"/>
      <c r="AX92" s="47"/>
      <c r="BE92" s="112"/>
    </row>
    <row r="93" spans="1:57" ht="21.75" customHeight="1">
      <c r="A93" s="39"/>
      <c r="B93" s="43" t="s">
        <v>112</v>
      </c>
      <c r="C93" s="43" t="s">
        <v>172</v>
      </c>
      <c r="D93" s="43" t="s">
        <v>184</v>
      </c>
      <c r="E93" s="40" t="s">
        <v>493</v>
      </c>
      <c r="F93" s="43" t="s">
        <v>63</v>
      </c>
      <c r="G93" s="43" t="s">
        <v>34</v>
      </c>
      <c r="H93" s="46" t="s">
        <v>262</v>
      </c>
      <c r="I93" s="45"/>
      <c r="J93" s="45"/>
      <c r="K93" s="43" t="s">
        <v>273</v>
      </c>
      <c r="L93" s="43" t="s">
        <v>35</v>
      </c>
      <c r="M93" s="43"/>
      <c r="N93" s="51"/>
      <c r="O93" s="63" t="s">
        <v>307</v>
      </c>
      <c r="P93" s="41">
        <v>0</v>
      </c>
      <c r="Q93" s="40" t="s">
        <v>494</v>
      </c>
      <c r="R93" s="52" t="s">
        <v>307</v>
      </c>
      <c r="S93" s="52" t="s">
        <v>307</v>
      </c>
      <c r="T93" s="52" t="s">
        <v>307</v>
      </c>
      <c r="U93" s="53">
        <v>0</v>
      </c>
      <c r="V93" s="53">
        <v>0</v>
      </c>
      <c r="W93" s="54">
        <v>0</v>
      </c>
      <c r="X93" s="38">
        <v>0</v>
      </c>
      <c r="Y93" s="38">
        <v>0</v>
      </c>
      <c r="Z93" s="55">
        <f t="shared" si="4"/>
        <v>0</v>
      </c>
      <c r="AA93" s="38">
        <v>0</v>
      </c>
      <c r="AB93" s="56"/>
      <c r="AC93" s="34">
        <v>0</v>
      </c>
      <c r="AD93" s="34">
        <v>0</v>
      </c>
      <c r="AE93" s="34">
        <v>0</v>
      </c>
      <c r="AF93" s="57">
        <v>0</v>
      </c>
      <c r="AG93" s="34">
        <v>0</v>
      </c>
      <c r="AH93" s="34">
        <v>0</v>
      </c>
      <c r="AI93" s="58">
        <f t="shared" si="3"/>
        <v>0</v>
      </c>
      <c r="AJ93" s="31"/>
      <c r="AQ93" s="47"/>
      <c r="AR93" s="47"/>
      <c r="AS93" s="47"/>
      <c r="AT93" s="47"/>
      <c r="AU93" s="47"/>
      <c r="AV93" s="47"/>
      <c r="AW93" s="47"/>
      <c r="AX93" s="47"/>
      <c r="BE93" s="112"/>
    </row>
    <row r="94" spans="1:57" ht="21.75" customHeight="1">
      <c r="A94" s="39"/>
      <c r="B94" s="43" t="s">
        <v>112</v>
      </c>
      <c r="C94" s="43" t="s">
        <v>173</v>
      </c>
      <c r="D94" s="43" t="s">
        <v>184</v>
      </c>
      <c r="E94" s="40" t="s">
        <v>495</v>
      </c>
      <c r="F94" s="43"/>
      <c r="G94" s="43" t="s">
        <v>34</v>
      </c>
      <c r="H94" s="46" t="s">
        <v>262</v>
      </c>
      <c r="I94" s="45"/>
      <c r="J94" s="45"/>
      <c r="K94" s="43" t="s">
        <v>273</v>
      </c>
      <c r="L94" s="43" t="s">
        <v>35</v>
      </c>
      <c r="M94" s="43"/>
      <c r="N94" s="51"/>
      <c r="O94" s="63" t="s">
        <v>307</v>
      </c>
      <c r="P94" s="41">
        <v>0</v>
      </c>
      <c r="Q94" s="40" t="s">
        <v>494</v>
      </c>
      <c r="R94" s="52" t="s">
        <v>307</v>
      </c>
      <c r="S94" s="52" t="s">
        <v>307</v>
      </c>
      <c r="T94" s="52" t="s">
        <v>307</v>
      </c>
      <c r="U94" s="53">
        <v>0</v>
      </c>
      <c r="V94" s="53">
        <v>0</v>
      </c>
      <c r="W94" s="54">
        <v>0</v>
      </c>
      <c r="X94" s="38">
        <v>0</v>
      </c>
      <c r="Y94" s="38">
        <v>0</v>
      </c>
      <c r="Z94" s="55">
        <f t="shared" si="4"/>
        <v>0</v>
      </c>
      <c r="AA94" s="38">
        <v>0</v>
      </c>
      <c r="AB94" s="56"/>
      <c r="AC94" s="34">
        <v>0</v>
      </c>
      <c r="AD94" s="34">
        <v>0</v>
      </c>
      <c r="AE94" s="34">
        <v>0</v>
      </c>
      <c r="AF94" s="57">
        <v>0</v>
      </c>
      <c r="AG94" s="34">
        <v>0</v>
      </c>
      <c r="AH94" s="34">
        <v>0</v>
      </c>
      <c r="AI94" s="58">
        <f t="shared" si="3"/>
        <v>0</v>
      </c>
      <c r="AJ94" s="31"/>
      <c r="AQ94" s="47"/>
      <c r="AR94" s="47"/>
      <c r="AS94" s="47"/>
      <c r="AT94" s="47"/>
      <c r="AU94" s="47"/>
      <c r="AV94" s="47"/>
      <c r="AW94" s="47"/>
      <c r="AX94" s="47"/>
      <c r="BE94" s="112"/>
    </row>
    <row r="95" spans="1:57" ht="21.75" customHeight="1">
      <c r="A95" s="39"/>
      <c r="B95" s="43" t="s">
        <v>112</v>
      </c>
      <c r="C95" s="43" t="s">
        <v>174</v>
      </c>
      <c r="D95" s="43" t="s">
        <v>184</v>
      </c>
      <c r="E95" s="40" t="s">
        <v>496</v>
      </c>
      <c r="F95" s="43"/>
      <c r="G95" s="43" t="s">
        <v>34</v>
      </c>
      <c r="H95" s="46" t="s">
        <v>262</v>
      </c>
      <c r="I95" s="45"/>
      <c r="J95" s="45"/>
      <c r="K95" s="43" t="s">
        <v>273</v>
      </c>
      <c r="L95" s="43" t="s">
        <v>35</v>
      </c>
      <c r="M95" s="43"/>
      <c r="N95" s="51"/>
      <c r="O95" s="63" t="s">
        <v>307</v>
      </c>
      <c r="P95" s="41">
        <v>0</v>
      </c>
      <c r="Q95" s="40" t="s">
        <v>497</v>
      </c>
      <c r="R95" s="52" t="s">
        <v>307</v>
      </c>
      <c r="S95" s="52" t="s">
        <v>307</v>
      </c>
      <c r="T95" s="52" t="s">
        <v>307</v>
      </c>
      <c r="U95" s="53">
        <v>0</v>
      </c>
      <c r="V95" s="53">
        <v>0</v>
      </c>
      <c r="W95" s="54">
        <v>0</v>
      </c>
      <c r="X95" s="38">
        <v>0</v>
      </c>
      <c r="Y95" s="38">
        <v>0</v>
      </c>
      <c r="Z95" s="55">
        <f t="shared" si="4"/>
        <v>0</v>
      </c>
      <c r="AA95" s="38">
        <v>0</v>
      </c>
      <c r="AB95" s="56"/>
      <c r="AC95" s="34">
        <v>0</v>
      </c>
      <c r="AD95" s="34">
        <v>0</v>
      </c>
      <c r="AE95" s="34">
        <v>0</v>
      </c>
      <c r="AF95" s="57">
        <v>0</v>
      </c>
      <c r="AG95" s="34">
        <v>0</v>
      </c>
      <c r="AH95" s="34">
        <v>0</v>
      </c>
      <c r="AI95" s="58">
        <f t="shared" si="3"/>
        <v>0</v>
      </c>
      <c r="AJ95" s="31"/>
      <c r="AQ95" s="47"/>
      <c r="AR95" s="47"/>
      <c r="AS95" s="47"/>
      <c r="AT95" s="47"/>
      <c r="AU95" s="47"/>
      <c r="AV95" s="47"/>
      <c r="AW95" s="47"/>
      <c r="AX95" s="47"/>
      <c r="BE95" s="112"/>
    </row>
    <row r="96" spans="1:57" ht="21.75" customHeight="1">
      <c r="A96" s="39"/>
      <c r="B96" s="43" t="s">
        <v>112</v>
      </c>
      <c r="C96" s="43" t="s">
        <v>174</v>
      </c>
      <c r="D96" s="43" t="s">
        <v>184</v>
      </c>
      <c r="E96" s="40" t="s">
        <v>498</v>
      </c>
      <c r="F96" s="43"/>
      <c r="G96" s="43" t="s">
        <v>34</v>
      </c>
      <c r="H96" s="46" t="s">
        <v>262</v>
      </c>
      <c r="I96" s="45"/>
      <c r="J96" s="45"/>
      <c r="K96" s="43" t="s">
        <v>273</v>
      </c>
      <c r="L96" s="43" t="s">
        <v>35</v>
      </c>
      <c r="M96" s="43"/>
      <c r="N96" s="51"/>
      <c r="O96" s="63" t="s">
        <v>307</v>
      </c>
      <c r="P96" s="41">
        <v>0</v>
      </c>
      <c r="Q96" s="40" t="s">
        <v>488</v>
      </c>
      <c r="R96" s="52" t="s">
        <v>307</v>
      </c>
      <c r="S96" s="52" t="s">
        <v>307</v>
      </c>
      <c r="T96" s="52" t="s">
        <v>307</v>
      </c>
      <c r="U96" s="53">
        <v>0</v>
      </c>
      <c r="V96" s="53">
        <v>0</v>
      </c>
      <c r="W96" s="54">
        <v>0</v>
      </c>
      <c r="X96" s="38">
        <v>0</v>
      </c>
      <c r="Y96" s="38">
        <v>0</v>
      </c>
      <c r="Z96" s="55">
        <f t="shared" si="4"/>
        <v>0</v>
      </c>
      <c r="AA96" s="38">
        <v>0</v>
      </c>
      <c r="AB96" s="56"/>
      <c r="AC96" s="34">
        <v>0</v>
      </c>
      <c r="AD96" s="34">
        <v>0</v>
      </c>
      <c r="AE96" s="34">
        <v>0</v>
      </c>
      <c r="AF96" s="57">
        <v>0</v>
      </c>
      <c r="AG96" s="34">
        <v>0</v>
      </c>
      <c r="AH96" s="34">
        <v>0</v>
      </c>
      <c r="AI96" s="58">
        <f t="shared" si="3"/>
        <v>0</v>
      </c>
      <c r="AJ96" s="31"/>
      <c r="AQ96" s="47"/>
      <c r="AR96" s="47"/>
      <c r="AS96" s="47"/>
      <c r="AT96" s="47"/>
      <c r="AU96" s="47"/>
      <c r="AV96" s="47"/>
      <c r="AW96" s="47"/>
      <c r="AX96" s="47"/>
      <c r="BE96" s="112"/>
    </row>
    <row r="97" spans="1:57" ht="21.75" customHeight="1">
      <c r="A97" s="39"/>
      <c r="B97" s="43" t="s">
        <v>112</v>
      </c>
      <c r="C97" s="43" t="s">
        <v>175</v>
      </c>
      <c r="D97" s="43" t="s">
        <v>184</v>
      </c>
      <c r="E97" s="40" t="s">
        <v>499</v>
      </c>
      <c r="F97" s="43"/>
      <c r="G97" s="43" t="s">
        <v>34</v>
      </c>
      <c r="H97" s="46" t="s">
        <v>262</v>
      </c>
      <c r="I97" s="45"/>
      <c r="J97" s="45"/>
      <c r="K97" s="43" t="s">
        <v>273</v>
      </c>
      <c r="L97" s="43" t="s">
        <v>35</v>
      </c>
      <c r="M97" s="43"/>
      <c r="N97" s="51"/>
      <c r="O97" s="63" t="s">
        <v>307</v>
      </c>
      <c r="P97" s="41">
        <v>0</v>
      </c>
      <c r="Q97" s="40" t="s">
        <v>500</v>
      </c>
      <c r="R97" s="52" t="s">
        <v>307</v>
      </c>
      <c r="S97" s="52" t="s">
        <v>307</v>
      </c>
      <c r="T97" s="52" t="s">
        <v>307</v>
      </c>
      <c r="U97" s="53">
        <v>0</v>
      </c>
      <c r="V97" s="53">
        <v>0</v>
      </c>
      <c r="W97" s="54">
        <v>0</v>
      </c>
      <c r="X97" s="38">
        <v>0</v>
      </c>
      <c r="Y97" s="38">
        <v>0</v>
      </c>
      <c r="Z97" s="55">
        <f t="shared" si="4"/>
        <v>0</v>
      </c>
      <c r="AA97" s="38">
        <v>0</v>
      </c>
      <c r="AB97" s="56"/>
      <c r="AC97" s="34">
        <v>0</v>
      </c>
      <c r="AD97" s="34">
        <v>0</v>
      </c>
      <c r="AE97" s="34">
        <v>0</v>
      </c>
      <c r="AF97" s="57">
        <v>0</v>
      </c>
      <c r="AG97" s="34">
        <v>0</v>
      </c>
      <c r="AH97" s="34">
        <v>0</v>
      </c>
      <c r="AI97" s="58">
        <f t="shared" si="3"/>
        <v>0</v>
      </c>
      <c r="AJ97" s="31"/>
      <c r="AQ97" s="47"/>
      <c r="AR97" s="47"/>
      <c r="AS97" s="47"/>
      <c r="AT97" s="47"/>
      <c r="AU97" s="47"/>
      <c r="AV97" s="47"/>
      <c r="AW97" s="47"/>
      <c r="AX97" s="47"/>
      <c r="BE97" s="112"/>
    </row>
    <row r="98" spans="1:57" ht="21.75" customHeight="1">
      <c r="A98" s="39"/>
      <c r="B98" s="43" t="s">
        <v>112</v>
      </c>
      <c r="C98" s="43" t="s">
        <v>176</v>
      </c>
      <c r="D98" s="43" t="s">
        <v>183</v>
      </c>
      <c r="E98" s="40" t="s">
        <v>501</v>
      </c>
      <c r="F98" s="43"/>
      <c r="G98" s="43" t="s">
        <v>34</v>
      </c>
      <c r="H98" s="46" t="s">
        <v>262</v>
      </c>
      <c r="I98" s="45"/>
      <c r="J98" s="45"/>
      <c r="K98" s="43" t="s">
        <v>273</v>
      </c>
      <c r="L98" s="43" t="s">
        <v>35</v>
      </c>
      <c r="M98" s="43" t="s">
        <v>315</v>
      </c>
      <c r="N98" s="51"/>
      <c r="O98" s="143" t="s">
        <v>502</v>
      </c>
      <c r="P98" s="42">
        <f>1750000/465.88</f>
        <v>3756.3321026873873</v>
      </c>
      <c r="Q98" s="40" t="s">
        <v>503</v>
      </c>
      <c r="R98" s="52" t="s">
        <v>307</v>
      </c>
      <c r="S98" s="52" t="s">
        <v>307</v>
      </c>
      <c r="T98" s="52" t="s">
        <v>307</v>
      </c>
      <c r="U98" s="53">
        <v>0</v>
      </c>
      <c r="V98" s="53">
        <v>0</v>
      </c>
      <c r="W98" s="54">
        <v>0</v>
      </c>
      <c r="X98" s="38">
        <v>0</v>
      </c>
      <c r="Y98" s="38">
        <v>0</v>
      </c>
      <c r="Z98" s="55">
        <f t="shared" si="4"/>
        <v>0</v>
      </c>
      <c r="AA98" s="38">
        <v>0</v>
      </c>
      <c r="AB98" s="56"/>
      <c r="AC98" s="34">
        <v>0</v>
      </c>
      <c r="AD98" s="34">
        <v>0</v>
      </c>
      <c r="AE98" s="34">
        <v>0</v>
      </c>
      <c r="AF98" s="57">
        <v>0</v>
      </c>
      <c r="AG98" s="34">
        <v>0</v>
      </c>
      <c r="AH98" s="34">
        <v>0</v>
      </c>
      <c r="AI98" s="58">
        <f t="shared" si="3"/>
        <v>0</v>
      </c>
      <c r="AJ98" s="31"/>
      <c r="AQ98" s="47"/>
      <c r="AR98" s="47"/>
      <c r="AS98" s="47"/>
      <c r="AT98" s="47"/>
      <c r="AU98" s="47"/>
      <c r="AV98" s="47"/>
      <c r="AW98" s="47"/>
      <c r="AX98" s="47"/>
      <c r="BE98" s="112"/>
    </row>
    <row r="99" spans="1:57" ht="21.75" customHeight="1">
      <c r="A99" s="39"/>
      <c r="B99" s="43" t="s">
        <v>112</v>
      </c>
      <c r="C99" s="43" t="s">
        <v>505</v>
      </c>
      <c r="D99" s="43" t="s">
        <v>506</v>
      </c>
      <c r="E99" s="40" t="s">
        <v>504</v>
      </c>
      <c r="F99" s="43" t="s">
        <v>63</v>
      </c>
      <c r="G99" s="43" t="s">
        <v>34</v>
      </c>
      <c r="H99" s="46" t="s">
        <v>256</v>
      </c>
      <c r="I99" s="45"/>
      <c r="J99" s="45">
        <f>17959500/B153</f>
        <v>38549.62651326522</v>
      </c>
      <c r="K99" s="43" t="s">
        <v>273</v>
      </c>
      <c r="L99" s="43" t="s">
        <v>35</v>
      </c>
      <c r="M99" s="43"/>
      <c r="N99" s="51"/>
      <c r="O99" s="63" t="s">
        <v>307</v>
      </c>
      <c r="P99" s="41">
        <v>0</v>
      </c>
      <c r="Q99" s="40" t="s">
        <v>507</v>
      </c>
      <c r="R99" s="52" t="s">
        <v>508</v>
      </c>
      <c r="S99" s="86">
        <v>40801</v>
      </c>
      <c r="T99" s="86">
        <v>40787</v>
      </c>
      <c r="U99" s="53">
        <f>17959500/B153</f>
        <v>38549.62651326522</v>
      </c>
      <c r="V99" s="53">
        <f>U99</f>
        <v>38549.62651326522</v>
      </c>
      <c r="W99" s="54">
        <v>0</v>
      </c>
      <c r="X99" s="38">
        <v>0</v>
      </c>
      <c r="Y99" s="38">
        <v>0</v>
      </c>
      <c r="Z99" s="55">
        <f t="shared" si="4"/>
        <v>0</v>
      </c>
      <c r="AA99" s="38">
        <v>0</v>
      </c>
      <c r="AB99" s="56"/>
      <c r="AC99" s="34">
        <v>0</v>
      </c>
      <c r="AD99" s="34">
        <v>0</v>
      </c>
      <c r="AE99" s="34">
        <v>0</v>
      </c>
      <c r="AF99" s="57">
        <v>0</v>
      </c>
      <c r="AG99" s="34">
        <v>0</v>
      </c>
      <c r="AH99" s="34">
        <v>0</v>
      </c>
      <c r="AI99" s="58">
        <f t="shared" si="3"/>
        <v>0</v>
      </c>
      <c r="AJ99" s="31"/>
      <c r="AQ99" s="47"/>
      <c r="AR99" s="47"/>
      <c r="AS99" s="47"/>
      <c r="AT99" s="47"/>
      <c r="AU99" s="47"/>
      <c r="AV99" s="47"/>
      <c r="AW99" s="47"/>
      <c r="AX99" s="47"/>
      <c r="BE99" s="112"/>
    </row>
    <row r="100" spans="1:57" ht="21.75" customHeight="1">
      <c r="A100" s="39"/>
      <c r="B100" s="43" t="s">
        <v>112</v>
      </c>
      <c r="C100" s="43" t="s">
        <v>177</v>
      </c>
      <c r="D100" s="43" t="s">
        <v>184</v>
      </c>
      <c r="E100" s="40" t="s">
        <v>509</v>
      </c>
      <c r="F100" s="43"/>
      <c r="G100" s="43" t="s">
        <v>34</v>
      </c>
      <c r="H100" s="46" t="s">
        <v>262</v>
      </c>
      <c r="I100" s="45"/>
      <c r="J100" s="45"/>
      <c r="K100" s="43" t="s">
        <v>273</v>
      </c>
      <c r="L100" s="43" t="s">
        <v>35</v>
      </c>
      <c r="M100" s="43"/>
      <c r="N100" s="51"/>
      <c r="O100" s="63" t="s">
        <v>307</v>
      </c>
      <c r="P100" s="41">
        <v>0</v>
      </c>
      <c r="Q100" s="40" t="s">
        <v>510</v>
      </c>
      <c r="R100" s="52" t="s">
        <v>307</v>
      </c>
      <c r="S100" s="52" t="s">
        <v>307</v>
      </c>
      <c r="T100" s="52" t="s">
        <v>307</v>
      </c>
      <c r="U100" s="53">
        <v>0</v>
      </c>
      <c r="V100" s="53">
        <v>0</v>
      </c>
      <c r="W100" s="54">
        <v>0</v>
      </c>
      <c r="X100" s="38">
        <v>0</v>
      </c>
      <c r="Y100" s="38">
        <v>0</v>
      </c>
      <c r="Z100" s="55">
        <f t="shared" si="4"/>
        <v>0</v>
      </c>
      <c r="AA100" s="38">
        <v>0</v>
      </c>
      <c r="AB100" s="56"/>
      <c r="AC100" s="34">
        <v>0</v>
      </c>
      <c r="AD100" s="34">
        <v>0</v>
      </c>
      <c r="AE100" s="34">
        <v>0</v>
      </c>
      <c r="AF100" s="57">
        <v>0</v>
      </c>
      <c r="AG100" s="34">
        <v>0</v>
      </c>
      <c r="AH100" s="34">
        <v>0</v>
      </c>
      <c r="AI100" s="58">
        <f t="shared" si="3"/>
        <v>0</v>
      </c>
      <c r="AJ100" s="31"/>
      <c r="AQ100" s="47"/>
      <c r="AR100" s="47"/>
      <c r="AS100" s="47"/>
      <c r="AT100" s="47"/>
      <c r="AU100" s="47"/>
      <c r="AV100" s="47"/>
      <c r="AW100" s="47"/>
      <c r="AX100" s="47"/>
      <c r="BE100" s="112"/>
    </row>
    <row r="101" spans="1:57" ht="21.75" customHeight="1">
      <c r="A101" s="39"/>
      <c r="B101" s="43" t="s">
        <v>112</v>
      </c>
      <c r="C101" s="43" t="s">
        <v>178</v>
      </c>
      <c r="D101" s="43" t="s">
        <v>185</v>
      </c>
      <c r="E101" s="40" t="s">
        <v>511</v>
      </c>
      <c r="F101" s="43"/>
      <c r="G101" s="43" t="s">
        <v>34</v>
      </c>
      <c r="H101" s="46" t="s">
        <v>262</v>
      </c>
      <c r="I101" s="45"/>
      <c r="J101" s="45"/>
      <c r="K101" s="43" t="s">
        <v>273</v>
      </c>
      <c r="L101" s="43" t="s">
        <v>35</v>
      </c>
      <c r="M101" s="43"/>
      <c r="N101" s="51"/>
      <c r="O101" s="63" t="s">
        <v>307</v>
      </c>
      <c r="P101" s="41">
        <v>0</v>
      </c>
      <c r="Q101" s="40" t="s">
        <v>512</v>
      </c>
      <c r="R101" s="52" t="s">
        <v>307</v>
      </c>
      <c r="S101" s="52" t="s">
        <v>307</v>
      </c>
      <c r="T101" s="52" t="s">
        <v>307</v>
      </c>
      <c r="U101" s="53">
        <v>0</v>
      </c>
      <c r="V101" s="53">
        <v>0</v>
      </c>
      <c r="W101" s="54">
        <v>0</v>
      </c>
      <c r="X101" s="38">
        <v>0</v>
      </c>
      <c r="Y101" s="38">
        <v>0</v>
      </c>
      <c r="Z101" s="55">
        <f t="shared" si="4"/>
        <v>0</v>
      </c>
      <c r="AA101" s="38">
        <v>0</v>
      </c>
      <c r="AB101" s="56"/>
      <c r="AC101" s="34">
        <v>0</v>
      </c>
      <c r="AD101" s="34">
        <v>0</v>
      </c>
      <c r="AE101" s="34">
        <v>0</v>
      </c>
      <c r="AF101" s="57">
        <v>0</v>
      </c>
      <c r="AG101" s="34">
        <v>0</v>
      </c>
      <c r="AH101" s="34">
        <v>0</v>
      </c>
      <c r="AI101" s="58">
        <f t="shared" si="3"/>
        <v>0</v>
      </c>
      <c r="AJ101" s="31"/>
      <c r="AQ101" s="47"/>
      <c r="AR101" s="47"/>
      <c r="AS101" s="47"/>
      <c r="AT101" s="47"/>
      <c r="AU101" s="47"/>
      <c r="AV101" s="47"/>
      <c r="AW101" s="47"/>
      <c r="AX101" s="47"/>
      <c r="BE101" s="112"/>
    </row>
    <row r="102" spans="1:57" ht="21.75" customHeight="1">
      <c r="A102" s="39"/>
      <c r="B102" s="43" t="s">
        <v>112</v>
      </c>
      <c r="C102" s="43" t="s">
        <v>253</v>
      </c>
      <c r="D102" s="43" t="s">
        <v>183</v>
      </c>
      <c r="E102" s="40" t="s">
        <v>513</v>
      </c>
      <c r="F102" s="43"/>
      <c r="G102" s="43" t="s">
        <v>34</v>
      </c>
      <c r="H102" s="46" t="s">
        <v>262</v>
      </c>
      <c r="I102" s="45"/>
      <c r="J102" s="45"/>
      <c r="K102" s="43" t="s">
        <v>273</v>
      </c>
      <c r="L102" s="43" t="s">
        <v>35</v>
      </c>
      <c r="M102" s="43"/>
      <c r="N102" s="51"/>
      <c r="O102" s="63" t="s">
        <v>307</v>
      </c>
      <c r="P102" s="41">
        <v>0</v>
      </c>
      <c r="Q102" s="40" t="s">
        <v>512</v>
      </c>
      <c r="R102" s="52" t="s">
        <v>307</v>
      </c>
      <c r="S102" s="52" t="s">
        <v>307</v>
      </c>
      <c r="T102" s="52" t="s">
        <v>307</v>
      </c>
      <c r="U102" s="53">
        <v>0</v>
      </c>
      <c r="V102" s="53">
        <v>0</v>
      </c>
      <c r="W102" s="54">
        <v>0</v>
      </c>
      <c r="X102" s="38">
        <v>0</v>
      </c>
      <c r="Y102" s="38">
        <v>0</v>
      </c>
      <c r="Z102" s="55">
        <f t="shared" si="4"/>
        <v>0</v>
      </c>
      <c r="AA102" s="38">
        <v>0</v>
      </c>
      <c r="AB102" s="56"/>
      <c r="AC102" s="34">
        <v>0</v>
      </c>
      <c r="AD102" s="34">
        <v>0</v>
      </c>
      <c r="AE102" s="34">
        <v>0</v>
      </c>
      <c r="AF102" s="57">
        <v>0</v>
      </c>
      <c r="AG102" s="34">
        <v>0</v>
      </c>
      <c r="AH102" s="34">
        <v>0</v>
      </c>
      <c r="AI102" s="58">
        <f t="shared" si="3"/>
        <v>0</v>
      </c>
      <c r="AJ102" s="31"/>
      <c r="AQ102" s="47"/>
      <c r="AR102" s="47"/>
      <c r="AS102" s="47"/>
      <c r="AT102" s="47"/>
      <c r="AU102" s="47"/>
      <c r="AV102" s="47"/>
      <c r="AW102" s="47"/>
      <c r="AX102" s="47"/>
      <c r="BE102" s="112"/>
    </row>
    <row r="103" spans="1:57" ht="21.75" customHeight="1">
      <c r="A103" s="39"/>
      <c r="B103" s="43" t="s">
        <v>112</v>
      </c>
      <c r="C103" s="43" t="s">
        <v>515</v>
      </c>
      <c r="D103" s="43" t="s">
        <v>184</v>
      </c>
      <c r="E103" s="40" t="s">
        <v>514</v>
      </c>
      <c r="F103" s="43"/>
      <c r="G103" s="43" t="s">
        <v>34</v>
      </c>
      <c r="H103" s="46" t="s">
        <v>262</v>
      </c>
      <c r="I103" s="45"/>
      <c r="J103" s="45"/>
      <c r="K103" s="43" t="s">
        <v>273</v>
      </c>
      <c r="L103" s="43" t="s">
        <v>35</v>
      </c>
      <c r="M103" s="43"/>
      <c r="N103" s="51">
        <v>57075</v>
      </c>
      <c r="O103" s="63" t="s">
        <v>307</v>
      </c>
      <c r="P103" s="42">
        <v>0</v>
      </c>
      <c r="Q103" s="40" t="s">
        <v>516</v>
      </c>
      <c r="R103" s="52" t="s">
        <v>307</v>
      </c>
      <c r="S103" s="52" t="s">
        <v>307</v>
      </c>
      <c r="T103" s="52" t="s">
        <v>307</v>
      </c>
      <c r="U103" s="53">
        <v>0</v>
      </c>
      <c r="V103" s="53">
        <v>0</v>
      </c>
      <c r="W103" s="54">
        <v>0</v>
      </c>
      <c r="X103" s="38">
        <v>0</v>
      </c>
      <c r="Y103" s="38">
        <v>0</v>
      </c>
      <c r="Z103" s="55">
        <f t="shared" si="4"/>
        <v>0</v>
      </c>
      <c r="AA103" s="38">
        <v>0</v>
      </c>
      <c r="AB103" s="56"/>
      <c r="AC103" s="34">
        <v>0</v>
      </c>
      <c r="AD103" s="34">
        <v>0</v>
      </c>
      <c r="AE103" s="34">
        <v>0</v>
      </c>
      <c r="AF103" s="57">
        <v>0</v>
      </c>
      <c r="AG103" s="34">
        <v>0</v>
      </c>
      <c r="AH103" s="34">
        <v>0</v>
      </c>
      <c r="AI103" s="58">
        <f t="shared" si="3"/>
        <v>0</v>
      </c>
      <c r="AJ103" s="31"/>
      <c r="AQ103" s="47"/>
      <c r="AR103" s="47"/>
      <c r="AS103" s="47"/>
      <c r="AT103" s="47"/>
      <c r="AU103" s="47"/>
      <c r="AV103" s="47"/>
      <c r="AW103" s="47"/>
      <c r="AX103" s="47"/>
      <c r="BE103" s="112"/>
    </row>
    <row r="104" spans="1:57" ht="21.75" customHeight="1">
      <c r="A104" s="39"/>
      <c r="B104" s="43" t="s">
        <v>112</v>
      </c>
      <c r="C104" s="43" t="s">
        <v>486</v>
      </c>
      <c r="D104" s="43" t="s">
        <v>184</v>
      </c>
      <c r="E104" s="40" t="s">
        <v>517</v>
      </c>
      <c r="F104" s="43"/>
      <c r="G104" s="43" t="s">
        <v>34</v>
      </c>
      <c r="H104" s="46" t="s">
        <v>262</v>
      </c>
      <c r="I104" s="45"/>
      <c r="J104" s="45"/>
      <c r="K104" s="43" t="s">
        <v>273</v>
      </c>
      <c r="L104" s="43" t="s">
        <v>35</v>
      </c>
      <c r="M104" s="43"/>
      <c r="N104" s="51">
        <v>131671.58</v>
      </c>
      <c r="O104" s="63" t="s">
        <v>307</v>
      </c>
      <c r="P104" s="42">
        <v>0</v>
      </c>
      <c r="Q104" s="40" t="s">
        <v>518</v>
      </c>
      <c r="R104" s="52" t="s">
        <v>307</v>
      </c>
      <c r="S104" s="52" t="s">
        <v>307</v>
      </c>
      <c r="T104" s="52" t="s">
        <v>307</v>
      </c>
      <c r="U104" s="53">
        <v>0</v>
      </c>
      <c r="V104" s="53">
        <v>0</v>
      </c>
      <c r="W104" s="54">
        <v>0</v>
      </c>
      <c r="X104" s="38">
        <v>0</v>
      </c>
      <c r="Y104" s="38">
        <v>0</v>
      </c>
      <c r="Z104" s="55">
        <f t="shared" si="4"/>
        <v>0</v>
      </c>
      <c r="AA104" s="38">
        <v>0</v>
      </c>
      <c r="AB104" s="56"/>
      <c r="AC104" s="34">
        <v>0</v>
      </c>
      <c r="AD104" s="34">
        <v>0</v>
      </c>
      <c r="AE104" s="34">
        <v>0</v>
      </c>
      <c r="AF104" s="57">
        <v>0</v>
      </c>
      <c r="AG104" s="34">
        <v>0</v>
      </c>
      <c r="AH104" s="34">
        <v>0</v>
      </c>
      <c r="AI104" s="58">
        <f t="shared" si="3"/>
        <v>0</v>
      </c>
      <c r="AJ104" s="31"/>
      <c r="AQ104" s="47"/>
      <c r="AR104" s="47"/>
      <c r="AS104" s="47"/>
      <c r="AT104" s="47"/>
      <c r="AU104" s="47"/>
      <c r="AV104" s="47"/>
      <c r="AW104" s="47"/>
      <c r="AX104" s="47"/>
      <c r="BE104" s="112"/>
    </row>
    <row r="105" spans="1:57" ht="21.75" customHeight="1">
      <c r="A105" s="39"/>
      <c r="B105" s="43" t="s">
        <v>112</v>
      </c>
      <c r="C105" s="43" t="s">
        <v>179</v>
      </c>
      <c r="D105" s="43" t="s">
        <v>183</v>
      </c>
      <c r="E105" s="40" t="s">
        <v>519</v>
      </c>
      <c r="F105" s="43"/>
      <c r="G105" s="43" t="s">
        <v>34</v>
      </c>
      <c r="H105" s="46" t="s">
        <v>262</v>
      </c>
      <c r="I105" s="45"/>
      <c r="J105" s="45"/>
      <c r="K105" s="43" t="s">
        <v>273</v>
      </c>
      <c r="L105" s="43" t="s">
        <v>35</v>
      </c>
      <c r="M105" s="43"/>
      <c r="N105" s="51">
        <v>2295.72</v>
      </c>
      <c r="O105" s="63" t="s">
        <v>307</v>
      </c>
      <c r="P105" s="41">
        <v>0</v>
      </c>
      <c r="Q105" s="40" t="s">
        <v>512</v>
      </c>
      <c r="R105" s="52" t="s">
        <v>307</v>
      </c>
      <c r="S105" s="52" t="s">
        <v>307</v>
      </c>
      <c r="T105" s="52" t="s">
        <v>307</v>
      </c>
      <c r="U105" s="53">
        <v>0</v>
      </c>
      <c r="V105" s="53">
        <v>0</v>
      </c>
      <c r="W105" s="54">
        <v>0</v>
      </c>
      <c r="X105" s="38">
        <v>0</v>
      </c>
      <c r="Y105" s="38">
        <v>0</v>
      </c>
      <c r="Z105" s="55">
        <f t="shared" si="4"/>
        <v>0</v>
      </c>
      <c r="AA105" s="38">
        <v>0</v>
      </c>
      <c r="AB105" s="56"/>
      <c r="AC105" s="34">
        <v>0</v>
      </c>
      <c r="AD105" s="34">
        <v>0</v>
      </c>
      <c r="AE105" s="34">
        <v>0</v>
      </c>
      <c r="AF105" s="57">
        <v>0</v>
      </c>
      <c r="AG105" s="34">
        <v>0</v>
      </c>
      <c r="AH105" s="34">
        <v>0</v>
      </c>
      <c r="AI105" s="58">
        <f t="shared" si="3"/>
        <v>0</v>
      </c>
      <c r="AJ105" s="31"/>
      <c r="AQ105" s="47"/>
      <c r="AR105" s="47"/>
      <c r="AS105" s="47"/>
      <c r="AT105" s="47"/>
      <c r="AU105" s="47"/>
      <c r="AV105" s="47"/>
      <c r="AW105" s="47"/>
      <c r="AX105" s="47"/>
      <c r="BE105" s="112"/>
    </row>
    <row r="106" spans="1:57" ht="21.75" customHeight="1">
      <c r="A106" s="39"/>
      <c r="B106" s="43" t="s">
        <v>112</v>
      </c>
      <c r="C106" s="43" t="s">
        <v>171</v>
      </c>
      <c r="D106" s="43" t="s">
        <v>183</v>
      </c>
      <c r="E106" s="40" t="s">
        <v>520</v>
      </c>
      <c r="F106" s="43"/>
      <c r="G106" s="43" t="s">
        <v>34</v>
      </c>
      <c r="H106" s="46" t="s">
        <v>262</v>
      </c>
      <c r="I106" s="45"/>
      <c r="J106" s="45"/>
      <c r="K106" s="43" t="s">
        <v>273</v>
      </c>
      <c r="L106" s="43" t="s">
        <v>35</v>
      </c>
      <c r="M106" s="43"/>
      <c r="N106" s="51">
        <v>2575.770584699923</v>
      </c>
      <c r="O106" s="63" t="s">
        <v>307</v>
      </c>
      <c r="P106" s="41">
        <v>0</v>
      </c>
      <c r="Q106" s="40" t="s">
        <v>512</v>
      </c>
      <c r="R106" s="52" t="s">
        <v>307</v>
      </c>
      <c r="S106" s="52" t="s">
        <v>307</v>
      </c>
      <c r="T106" s="52" t="s">
        <v>307</v>
      </c>
      <c r="U106" s="53">
        <v>0</v>
      </c>
      <c r="V106" s="53">
        <v>0</v>
      </c>
      <c r="W106" s="54">
        <v>0</v>
      </c>
      <c r="X106" s="38">
        <v>0</v>
      </c>
      <c r="Y106" s="38">
        <v>0</v>
      </c>
      <c r="Z106" s="55">
        <f t="shared" si="4"/>
        <v>0</v>
      </c>
      <c r="AA106" s="38">
        <v>0</v>
      </c>
      <c r="AB106" s="56"/>
      <c r="AC106" s="34">
        <v>0</v>
      </c>
      <c r="AD106" s="34">
        <v>0</v>
      </c>
      <c r="AE106" s="34">
        <v>0</v>
      </c>
      <c r="AF106" s="57">
        <v>0</v>
      </c>
      <c r="AG106" s="34">
        <v>0</v>
      </c>
      <c r="AH106" s="34">
        <v>0</v>
      </c>
      <c r="AI106" s="58">
        <f t="shared" si="3"/>
        <v>0</v>
      </c>
      <c r="AJ106" s="31"/>
      <c r="AQ106" s="47"/>
      <c r="AR106" s="47"/>
      <c r="AS106" s="47"/>
      <c r="AT106" s="47"/>
      <c r="AU106" s="47"/>
      <c r="AV106" s="47"/>
      <c r="AW106" s="47"/>
      <c r="AX106" s="47"/>
      <c r="BE106" s="112"/>
    </row>
    <row r="107" spans="1:57" ht="21.75" customHeight="1">
      <c r="A107" s="39"/>
      <c r="B107" s="43" t="s">
        <v>112</v>
      </c>
      <c r="C107" s="43" t="s">
        <v>522</v>
      </c>
      <c r="D107" s="43" t="s">
        <v>523</v>
      </c>
      <c r="E107" s="40" t="s">
        <v>521</v>
      </c>
      <c r="F107" s="43" t="s">
        <v>61</v>
      </c>
      <c r="G107" s="43" t="s">
        <v>166</v>
      </c>
      <c r="H107" s="46" t="s">
        <v>258</v>
      </c>
      <c r="I107" s="64">
        <v>34758328</v>
      </c>
      <c r="J107" s="45"/>
      <c r="K107" s="43" t="s">
        <v>273</v>
      </c>
      <c r="L107" s="43" t="s">
        <v>35</v>
      </c>
      <c r="M107" s="43"/>
      <c r="N107" s="51"/>
      <c r="O107" s="63" t="s">
        <v>307</v>
      </c>
      <c r="P107" s="42">
        <v>0</v>
      </c>
      <c r="Q107" s="40"/>
      <c r="R107" s="52" t="s">
        <v>307</v>
      </c>
      <c r="S107" s="52" t="s">
        <v>307</v>
      </c>
      <c r="T107" s="52" t="s">
        <v>307</v>
      </c>
      <c r="U107" s="53">
        <v>0</v>
      </c>
      <c r="V107" s="53">
        <v>0</v>
      </c>
      <c r="W107" s="54">
        <v>2038810.58</v>
      </c>
      <c r="X107" s="38">
        <v>0</v>
      </c>
      <c r="Y107" s="38">
        <v>2039030.45</v>
      </c>
      <c r="Z107" s="55">
        <f aca="true" t="shared" si="5" ref="Z107:Z113">+AA107-W107-X107+Y107</f>
        <v>219.86999999987893</v>
      </c>
      <c r="AA107" s="38">
        <v>0</v>
      </c>
      <c r="AB107" s="56">
        <v>39806</v>
      </c>
      <c r="AC107" s="34">
        <v>3475833</v>
      </c>
      <c r="AD107" s="34">
        <v>0</v>
      </c>
      <c r="AE107" s="34">
        <v>3509441.08</v>
      </c>
      <c r="AF107" s="57">
        <f>+AC107-AE107</f>
        <v>-33608.080000000075</v>
      </c>
      <c r="AG107" s="57">
        <f>-AF107</f>
        <v>33608.080000000075</v>
      </c>
      <c r="AH107" s="34">
        <v>0</v>
      </c>
      <c r="AI107" s="58">
        <f aca="true" t="shared" si="6" ref="AI107:AI113">+AF107+AG107-AH107</f>
        <v>0</v>
      </c>
      <c r="AJ107" s="31" t="s">
        <v>524</v>
      </c>
      <c r="AQ107" s="47"/>
      <c r="AR107" s="47"/>
      <c r="AS107" s="47"/>
      <c r="AT107" s="47"/>
      <c r="AU107" s="47"/>
      <c r="AV107" s="47"/>
      <c r="AW107" s="47"/>
      <c r="AX107" s="47"/>
      <c r="BE107" s="112"/>
    </row>
    <row r="108" spans="1:57" ht="21.75" customHeight="1">
      <c r="A108" s="39"/>
      <c r="B108" s="43" t="s">
        <v>112</v>
      </c>
      <c r="C108" s="43" t="s">
        <v>187</v>
      </c>
      <c r="D108" s="43" t="s">
        <v>186</v>
      </c>
      <c r="E108" s="40" t="s">
        <v>525</v>
      </c>
      <c r="F108" s="43" t="s">
        <v>63</v>
      </c>
      <c r="G108" s="43" t="s">
        <v>166</v>
      </c>
      <c r="H108" s="46" t="s">
        <v>256</v>
      </c>
      <c r="I108" s="64">
        <v>199445.59</v>
      </c>
      <c r="J108" s="45"/>
      <c r="K108" s="43" t="s">
        <v>273</v>
      </c>
      <c r="L108" s="43" t="s">
        <v>35</v>
      </c>
      <c r="M108" s="43" t="s">
        <v>324</v>
      </c>
      <c r="N108" s="51"/>
      <c r="O108" s="63" t="s">
        <v>307</v>
      </c>
      <c r="P108" s="42">
        <v>0</v>
      </c>
      <c r="Q108" s="40" t="s">
        <v>526</v>
      </c>
      <c r="R108" s="52" t="s">
        <v>307</v>
      </c>
      <c r="S108" s="52" t="s">
        <v>307</v>
      </c>
      <c r="T108" s="52" t="s">
        <v>307</v>
      </c>
      <c r="U108" s="53">
        <v>0</v>
      </c>
      <c r="V108" s="53">
        <v>0</v>
      </c>
      <c r="W108" s="90">
        <f>9822280/469.39</f>
        <v>20925.626877436673</v>
      </c>
      <c r="X108" s="38">
        <v>0</v>
      </c>
      <c r="Y108" s="38">
        <f>9972279/495.55</f>
        <v>20123.658561194632</v>
      </c>
      <c r="Z108" s="55">
        <f t="shared" si="5"/>
        <v>-1123.937492854042</v>
      </c>
      <c r="AA108" s="38">
        <f>-149999/B153</f>
        <v>-321.9691766120031</v>
      </c>
      <c r="AB108" s="56">
        <v>40297</v>
      </c>
      <c r="AC108" s="34">
        <f>9972279/505.05</f>
        <v>19745.132165132163</v>
      </c>
      <c r="AD108" s="34">
        <v>505.05</v>
      </c>
      <c r="AE108" s="34">
        <f>9972279/AD108</f>
        <v>19745.132165132163</v>
      </c>
      <c r="AF108" s="110">
        <f>+AC108-AE108</f>
        <v>0</v>
      </c>
      <c r="AG108" s="34">
        <v>0</v>
      </c>
      <c r="AH108" s="34">
        <v>0</v>
      </c>
      <c r="AI108" s="58">
        <f t="shared" si="6"/>
        <v>0</v>
      </c>
      <c r="AJ108" s="31" t="s">
        <v>527</v>
      </c>
      <c r="AQ108" s="47"/>
      <c r="AR108" s="47"/>
      <c r="AS108" s="47"/>
      <c r="AT108" s="47"/>
      <c r="AU108" s="47"/>
      <c r="AV108" s="47"/>
      <c r="AW108" s="47"/>
      <c r="AX108" s="47"/>
      <c r="BE108" s="112"/>
    </row>
    <row r="109" spans="1:57" ht="21.75" customHeight="1">
      <c r="A109" s="39"/>
      <c r="B109" s="43" t="s">
        <v>112</v>
      </c>
      <c r="C109" s="43" t="s">
        <v>289</v>
      </c>
      <c r="D109" s="43" t="s">
        <v>529</v>
      </c>
      <c r="E109" s="40" t="s">
        <v>528</v>
      </c>
      <c r="F109" s="43" t="s">
        <v>60</v>
      </c>
      <c r="G109" s="43" t="s">
        <v>166</v>
      </c>
      <c r="H109" s="43" t="s">
        <v>255</v>
      </c>
      <c r="I109" s="168"/>
      <c r="J109" s="45"/>
      <c r="K109" s="43" t="s">
        <v>183</v>
      </c>
      <c r="L109" s="43" t="s">
        <v>35</v>
      </c>
      <c r="M109" s="43"/>
      <c r="N109" s="51">
        <v>4632814.3</v>
      </c>
      <c r="O109" s="63" t="s">
        <v>307</v>
      </c>
      <c r="P109" s="41">
        <v>0</v>
      </c>
      <c r="Q109" s="40"/>
      <c r="R109" s="52" t="s">
        <v>307</v>
      </c>
      <c r="S109" s="52" t="s">
        <v>307</v>
      </c>
      <c r="T109" s="52" t="s">
        <v>307</v>
      </c>
      <c r="U109" s="53">
        <v>0</v>
      </c>
      <c r="V109" s="53">
        <v>0</v>
      </c>
      <c r="W109" s="54"/>
      <c r="X109" s="38">
        <v>0</v>
      </c>
      <c r="Y109" s="38">
        <v>0</v>
      </c>
      <c r="Z109" s="55">
        <f t="shared" si="5"/>
        <v>0</v>
      </c>
      <c r="AA109" s="38">
        <v>0</v>
      </c>
      <c r="AB109" s="56"/>
      <c r="AC109" s="34">
        <v>0</v>
      </c>
      <c r="AD109" s="34">
        <v>0</v>
      </c>
      <c r="AE109" s="34">
        <v>0</v>
      </c>
      <c r="AF109" s="57">
        <v>0</v>
      </c>
      <c r="AG109" s="34">
        <v>0</v>
      </c>
      <c r="AH109" s="34">
        <v>0</v>
      </c>
      <c r="AI109" s="58">
        <f t="shared" si="6"/>
        <v>0</v>
      </c>
      <c r="AJ109" s="31" t="s">
        <v>530</v>
      </c>
      <c r="AQ109" s="47"/>
      <c r="AR109" s="47"/>
      <c r="AS109" s="47"/>
      <c r="AT109" s="47"/>
      <c r="AU109" s="47"/>
      <c r="AV109" s="47"/>
      <c r="AW109" s="47"/>
      <c r="AX109" s="47"/>
      <c r="BE109" s="112"/>
    </row>
    <row r="110" spans="1:57" ht="21.75" customHeight="1">
      <c r="A110" s="39"/>
      <c r="B110" s="43" t="s">
        <v>112</v>
      </c>
      <c r="C110" s="43" t="s">
        <v>189</v>
      </c>
      <c r="D110" s="43" t="s">
        <v>188</v>
      </c>
      <c r="E110" s="40" t="s">
        <v>531</v>
      </c>
      <c r="F110" s="43" t="s">
        <v>63</v>
      </c>
      <c r="G110" s="43" t="s">
        <v>166</v>
      </c>
      <c r="H110" s="43" t="s">
        <v>255</v>
      </c>
      <c r="I110" s="64">
        <v>923506</v>
      </c>
      <c r="J110" s="45">
        <v>1011640.81</v>
      </c>
      <c r="K110" s="43" t="s">
        <v>273</v>
      </c>
      <c r="L110" s="43" t="s">
        <v>35</v>
      </c>
      <c r="M110" s="43" t="s">
        <v>324</v>
      </c>
      <c r="N110" s="51">
        <v>45220.352699999996</v>
      </c>
      <c r="O110" s="143" t="s">
        <v>316</v>
      </c>
      <c r="P110" s="42">
        <v>93920.45161844252</v>
      </c>
      <c r="Q110" s="40" t="s">
        <v>335</v>
      </c>
      <c r="R110" s="52" t="s">
        <v>307</v>
      </c>
      <c r="S110" s="52" t="s">
        <v>307</v>
      </c>
      <c r="T110" s="52" t="s">
        <v>307</v>
      </c>
      <c r="U110" s="53">
        <v>0</v>
      </c>
      <c r="V110" s="53">
        <v>0</v>
      </c>
      <c r="W110" s="89">
        <f>34510946/469.39</f>
        <v>73522.96810754384</v>
      </c>
      <c r="X110" s="38">
        <v>0</v>
      </c>
      <c r="Y110" s="38">
        <v>0</v>
      </c>
      <c r="Z110" s="55">
        <f t="shared" si="5"/>
        <v>553.9315232623776</v>
      </c>
      <c r="AA110" s="38">
        <f>34510946/B153</f>
        <v>74076.89963080622</v>
      </c>
      <c r="AB110" s="56"/>
      <c r="AC110" s="34">
        <v>0</v>
      </c>
      <c r="AD110" s="34">
        <v>0</v>
      </c>
      <c r="AE110" s="34">
        <v>0</v>
      </c>
      <c r="AF110" s="57">
        <v>0</v>
      </c>
      <c r="AG110" s="34">
        <v>0</v>
      </c>
      <c r="AH110" s="34">
        <v>0</v>
      </c>
      <c r="AI110" s="58">
        <f t="shared" si="6"/>
        <v>0</v>
      </c>
      <c r="AJ110" s="31" t="s">
        <v>532</v>
      </c>
      <c r="AQ110" s="47"/>
      <c r="AR110" s="47"/>
      <c r="AS110" s="47"/>
      <c r="AT110" s="47"/>
      <c r="AU110" s="47"/>
      <c r="AV110" s="47"/>
      <c r="AW110" s="47"/>
      <c r="AX110" s="47"/>
      <c r="BE110" s="112"/>
    </row>
    <row r="111" spans="1:57" ht="21.75" customHeight="1">
      <c r="A111" s="39"/>
      <c r="B111" s="43" t="s">
        <v>112</v>
      </c>
      <c r="C111" s="43" t="s">
        <v>534</v>
      </c>
      <c r="D111" s="43" t="s">
        <v>535</v>
      </c>
      <c r="E111" s="40" t="s">
        <v>533</v>
      </c>
      <c r="F111" s="43" t="s">
        <v>59</v>
      </c>
      <c r="G111" s="43" t="s">
        <v>34</v>
      </c>
      <c r="H111" s="46" t="s">
        <v>262</v>
      </c>
      <c r="I111" s="64">
        <v>100000</v>
      </c>
      <c r="J111" s="45">
        <v>49645</v>
      </c>
      <c r="K111" s="43" t="s">
        <v>273</v>
      </c>
      <c r="L111" s="43" t="s">
        <v>35</v>
      </c>
      <c r="M111" s="43"/>
      <c r="N111" s="51">
        <v>16634.916716751093</v>
      </c>
      <c r="O111" s="63" t="s">
        <v>307</v>
      </c>
      <c r="P111" s="41">
        <v>0</v>
      </c>
      <c r="Q111" s="40"/>
      <c r="R111" s="52" t="s">
        <v>307</v>
      </c>
      <c r="S111" s="52" t="s">
        <v>307</v>
      </c>
      <c r="T111" s="52" t="s">
        <v>307</v>
      </c>
      <c r="U111" s="53">
        <v>0</v>
      </c>
      <c r="V111" s="53">
        <v>0</v>
      </c>
      <c r="W111" s="54"/>
      <c r="X111" s="38">
        <v>0</v>
      </c>
      <c r="Y111" s="38">
        <v>0</v>
      </c>
      <c r="Z111" s="55">
        <f t="shared" si="5"/>
        <v>0</v>
      </c>
      <c r="AA111" s="38">
        <v>0</v>
      </c>
      <c r="AB111" s="56"/>
      <c r="AC111" s="34">
        <v>0</v>
      </c>
      <c r="AD111" s="34">
        <v>0</v>
      </c>
      <c r="AE111" s="34">
        <v>0</v>
      </c>
      <c r="AF111" s="57">
        <v>0</v>
      </c>
      <c r="AG111" s="34">
        <v>0</v>
      </c>
      <c r="AH111" s="34">
        <v>0</v>
      </c>
      <c r="AI111" s="58">
        <f t="shared" si="6"/>
        <v>0</v>
      </c>
      <c r="AJ111" s="31" t="s">
        <v>312</v>
      </c>
      <c r="AQ111" s="47"/>
      <c r="AR111" s="47"/>
      <c r="AS111" s="47"/>
      <c r="AT111" s="47"/>
      <c r="AU111" s="47"/>
      <c r="AV111" s="47"/>
      <c r="AW111" s="47"/>
      <c r="AX111" s="47"/>
      <c r="BE111" s="112"/>
    </row>
    <row r="112" spans="2:57" s="47" customFormat="1" ht="37.5">
      <c r="B112" s="43" t="s">
        <v>112</v>
      </c>
      <c r="C112" s="43" t="s">
        <v>288</v>
      </c>
      <c r="D112" s="43" t="s">
        <v>251</v>
      </c>
      <c r="E112" s="40" t="s">
        <v>536</v>
      </c>
      <c r="F112" s="43" t="s">
        <v>63</v>
      </c>
      <c r="G112" s="43" t="s">
        <v>167</v>
      </c>
      <c r="H112" s="46" t="s">
        <v>260</v>
      </c>
      <c r="I112" s="44">
        <v>574511</v>
      </c>
      <c r="J112" s="45">
        <v>588260.79</v>
      </c>
      <c r="K112" s="45" t="s">
        <v>271</v>
      </c>
      <c r="L112" s="45" t="s">
        <v>35</v>
      </c>
      <c r="M112" s="45" t="s">
        <v>41</v>
      </c>
      <c r="N112" s="41"/>
      <c r="O112" s="63" t="s">
        <v>307</v>
      </c>
      <c r="P112" s="42">
        <v>0</v>
      </c>
      <c r="Q112" s="40"/>
      <c r="R112" s="52">
        <v>4</v>
      </c>
      <c r="S112" s="86">
        <v>40807</v>
      </c>
      <c r="T112" s="88">
        <v>40787</v>
      </c>
      <c r="U112" s="53">
        <f>V112</f>
        <v>68941.29</v>
      </c>
      <c r="V112" s="53">
        <v>68941.29</v>
      </c>
      <c r="W112" s="54">
        <v>0</v>
      </c>
      <c r="X112" s="38">
        <v>0</v>
      </c>
      <c r="Y112" s="38">
        <v>0</v>
      </c>
      <c r="Z112" s="55">
        <f t="shared" si="5"/>
        <v>0</v>
      </c>
      <c r="AA112" s="38">
        <v>0</v>
      </c>
      <c r="AB112" s="32"/>
      <c r="AC112" s="34">
        <v>0</v>
      </c>
      <c r="AD112" s="34">
        <v>0</v>
      </c>
      <c r="AE112" s="34">
        <v>0</v>
      </c>
      <c r="AF112" s="57">
        <v>0</v>
      </c>
      <c r="AG112" s="34">
        <v>0</v>
      </c>
      <c r="AH112" s="34">
        <v>0</v>
      </c>
      <c r="AI112" s="58">
        <f t="shared" si="6"/>
        <v>0</v>
      </c>
      <c r="AJ112" s="31" t="s">
        <v>537</v>
      </c>
      <c r="BE112" s="113"/>
    </row>
    <row r="113" spans="2:57" s="47" customFormat="1" ht="37.5">
      <c r="B113" s="43" t="s">
        <v>112</v>
      </c>
      <c r="C113" s="43" t="s">
        <v>278</v>
      </c>
      <c r="D113" s="43" t="s">
        <v>252</v>
      </c>
      <c r="E113" s="40" t="s">
        <v>538</v>
      </c>
      <c r="F113" s="43" t="s">
        <v>63</v>
      </c>
      <c r="G113" s="43" t="s">
        <v>167</v>
      </c>
      <c r="H113" s="46" t="s">
        <v>259</v>
      </c>
      <c r="I113" s="44">
        <v>1416296.91</v>
      </c>
      <c r="J113" s="45"/>
      <c r="K113" s="43" t="s">
        <v>273</v>
      </c>
      <c r="L113" s="45" t="s">
        <v>35</v>
      </c>
      <c r="M113" s="45" t="s">
        <v>324</v>
      </c>
      <c r="N113" s="41"/>
      <c r="O113" s="63" t="s">
        <v>307</v>
      </c>
      <c r="P113" s="42">
        <v>0</v>
      </c>
      <c r="Q113" s="40" t="s">
        <v>539</v>
      </c>
      <c r="R113" s="52" t="s">
        <v>307</v>
      </c>
      <c r="S113" s="52" t="s">
        <v>307</v>
      </c>
      <c r="T113" s="52" t="s">
        <v>307</v>
      </c>
      <c r="U113" s="53">
        <v>0</v>
      </c>
      <c r="V113" s="53">
        <v>0</v>
      </c>
      <c r="W113" s="38">
        <f>65150049/469.39</f>
        <v>138797.2666652464</v>
      </c>
      <c r="X113" s="38">
        <v>0</v>
      </c>
      <c r="Y113" s="38">
        <v>0</v>
      </c>
      <c r="Z113" s="99">
        <f t="shared" si="5"/>
        <v>1045.7165063857974</v>
      </c>
      <c r="AA113" s="38">
        <f>65150049/465.88</f>
        <v>139842.9831716322</v>
      </c>
      <c r="AB113" s="56">
        <v>40294</v>
      </c>
      <c r="AC113" s="34">
        <f>65150049/496.13</f>
        <v>131316.4876141334</v>
      </c>
      <c r="AD113" s="34">
        <v>496.13</v>
      </c>
      <c r="AE113" s="34">
        <v>131316.44</v>
      </c>
      <c r="AF113" s="57">
        <v>0</v>
      </c>
      <c r="AG113" s="34">
        <v>0</v>
      </c>
      <c r="AH113" s="34">
        <v>0</v>
      </c>
      <c r="AI113" s="34">
        <f t="shared" si="6"/>
        <v>0</v>
      </c>
      <c r="AJ113" s="31"/>
      <c r="BE113" s="113"/>
    </row>
    <row r="114" spans="2:57" s="47" customFormat="1" ht="13">
      <c r="B114" s="33" t="s">
        <v>112</v>
      </c>
      <c r="C114" s="33" t="s">
        <v>174</v>
      </c>
      <c r="D114" s="43" t="s">
        <v>184</v>
      </c>
      <c r="E114" s="40" t="s">
        <v>540</v>
      </c>
      <c r="F114" s="33" t="s">
        <v>63</v>
      </c>
      <c r="G114" s="33" t="s">
        <v>34</v>
      </c>
      <c r="H114" s="46" t="s">
        <v>262</v>
      </c>
      <c r="I114" s="33"/>
      <c r="J114" s="103"/>
      <c r="K114" s="33" t="s">
        <v>273</v>
      </c>
      <c r="L114" s="33"/>
      <c r="M114" s="103" t="s">
        <v>315</v>
      </c>
      <c r="N114" s="41"/>
      <c r="O114" s="143" t="s">
        <v>388</v>
      </c>
      <c r="P114" s="42">
        <v>14088.04</v>
      </c>
      <c r="Q114" s="40" t="s">
        <v>319</v>
      </c>
      <c r="R114" s="52" t="s">
        <v>307</v>
      </c>
      <c r="S114" s="52" t="s">
        <v>307</v>
      </c>
      <c r="T114" s="52" t="s">
        <v>307</v>
      </c>
      <c r="U114" s="53">
        <v>0</v>
      </c>
      <c r="V114" s="53">
        <v>0</v>
      </c>
      <c r="W114" s="54">
        <v>0</v>
      </c>
      <c r="X114" s="38">
        <v>0</v>
      </c>
      <c r="Y114" s="38">
        <v>0</v>
      </c>
      <c r="Z114" s="55">
        <f aca="true" t="shared" si="7" ref="Z114:Z145">+AA114-W114-X114+Y114</f>
        <v>0</v>
      </c>
      <c r="AA114" s="38">
        <v>0</v>
      </c>
      <c r="AB114" s="32"/>
      <c r="AC114" s="34">
        <v>0</v>
      </c>
      <c r="AD114" s="34">
        <v>0</v>
      </c>
      <c r="AE114" s="34">
        <v>0</v>
      </c>
      <c r="AF114" s="57">
        <v>0</v>
      </c>
      <c r="AG114" s="34">
        <v>0</v>
      </c>
      <c r="AH114" s="34">
        <v>0</v>
      </c>
      <c r="AI114" s="58">
        <f aca="true" t="shared" si="8" ref="AI114:AI145">+AF114+AG114-AH114</f>
        <v>0</v>
      </c>
      <c r="AJ114" s="31"/>
      <c r="BE114" s="113"/>
    </row>
    <row r="115" spans="2:57" s="47" customFormat="1" ht="37.5">
      <c r="B115" s="43" t="s">
        <v>112</v>
      </c>
      <c r="C115" s="43" t="s">
        <v>266</v>
      </c>
      <c r="D115" s="43" t="s">
        <v>265</v>
      </c>
      <c r="E115" s="40" t="s">
        <v>541</v>
      </c>
      <c r="F115" s="43" t="s">
        <v>63</v>
      </c>
      <c r="G115" s="43" t="s">
        <v>166</v>
      </c>
      <c r="H115" s="43" t="s">
        <v>254</v>
      </c>
      <c r="I115" s="44" t="s">
        <v>183</v>
      </c>
      <c r="J115" s="45">
        <v>179135</v>
      </c>
      <c r="K115" s="43" t="s">
        <v>273</v>
      </c>
      <c r="L115" s="45" t="s">
        <v>10</v>
      </c>
      <c r="M115" s="45" t="s">
        <v>41</v>
      </c>
      <c r="N115" s="41"/>
      <c r="O115" s="63" t="s">
        <v>307</v>
      </c>
      <c r="P115" s="42">
        <v>0</v>
      </c>
      <c r="Q115" s="40"/>
      <c r="R115" s="52" t="s">
        <v>542</v>
      </c>
      <c r="S115" s="86">
        <v>40814</v>
      </c>
      <c r="T115" s="52" t="s">
        <v>543</v>
      </c>
      <c r="U115" s="53">
        <v>16122</v>
      </c>
      <c r="V115" s="53">
        <v>16122</v>
      </c>
      <c r="W115" s="54">
        <v>0</v>
      </c>
      <c r="X115" s="38">
        <v>0</v>
      </c>
      <c r="Y115" s="38">
        <v>0</v>
      </c>
      <c r="Z115" s="55">
        <f t="shared" si="7"/>
        <v>0</v>
      </c>
      <c r="AA115" s="38">
        <v>0</v>
      </c>
      <c r="AB115" s="32"/>
      <c r="AC115" s="34">
        <v>0</v>
      </c>
      <c r="AD115" s="34">
        <v>0</v>
      </c>
      <c r="AE115" s="34">
        <v>0</v>
      </c>
      <c r="AF115" s="57">
        <v>0</v>
      </c>
      <c r="AG115" s="34">
        <v>0</v>
      </c>
      <c r="AH115" s="34">
        <v>0</v>
      </c>
      <c r="AI115" s="58">
        <f t="shared" si="8"/>
        <v>0</v>
      </c>
      <c r="AJ115" s="31"/>
      <c r="BE115" s="113"/>
    </row>
    <row r="116" spans="2:57" s="47" customFormat="1" ht="38">
      <c r="B116" s="43" t="s">
        <v>112</v>
      </c>
      <c r="C116" s="43" t="s">
        <v>267</v>
      </c>
      <c r="D116" s="43" t="s">
        <v>268</v>
      </c>
      <c r="E116" s="40" t="s">
        <v>544</v>
      </c>
      <c r="F116" s="43" t="s">
        <v>63</v>
      </c>
      <c r="G116" s="43" t="s">
        <v>166</v>
      </c>
      <c r="H116" s="43" t="s">
        <v>254</v>
      </c>
      <c r="I116" s="44" t="s">
        <v>183</v>
      </c>
      <c r="J116" s="45">
        <v>139140</v>
      </c>
      <c r="K116" s="43" t="s">
        <v>273</v>
      </c>
      <c r="L116" s="45" t="s">
        <v>10</v>
      </c>
      <c r="M116" s="45" t="s">
        <v>315</v>
      </c>
      <c r="N116" s="41"/>
      <c r="O116" s="143" t="s">
        <v>388</v>
      </c>
      <c r="P116" s="42">
        <f>10133950/B153</f>
        <v>21752.275264016484</v>
      </c>
      <c r="Q116" s="40" t="s">
        <v>545</v>
      </c>
      <c r="R116" s="52" t="s">
        <v>307</v>
      </c>
      <c r="S116" s="52" t="s">
        <v>307</v>
      </c>
      <c r="T116" s="52" t="s">
        <v>307</v>
      </c>
      <c r="U116" s="53">
        <v>0</v>
      </c>
      <c r="V116" s="53">
        <v>0</v>
      </c>
      <c r="W116" s="54">
        <v>0</v>
      </c>
      <c r="X116" s="38">
        <v>0</v>
      </c>
      <c r="Y116" s="38">
        <v>0</v>
      </c>
      <c r="Z116" s="55">
        <f t="shared" si="7"/>
        <v>0</v>
      </c>
      <c r="AA116" s="38">
        <v>0</v>
      </c>
      <c r="AB116" s="32"/>
      <c r="AC116" s="34">
        <v>0</v>
      </c>
      <c r="AD116" s="34">
        <v>0</v>
      </c>
      <c r="AE116" s="34">
        <v>0</v>
      </c>
      <c r="AF116" s="57">
        <v>0</v>
      </c>
      <c r="AG116" s="34">
        <v>0</v>
      </c>
      <c r="AH116" s="34">
        <v>0</v>
      </c>
      <c r="AI116" s="58">
        <f t="shared" si="8"/>
        <v>0</v>
      </c>
      <c r="AJ116" s="31"/>
      <c r="BE116" s="113"/>
    </row>
    <row r="117" spans="2:57" s="47" customFormat="1" ht="37.5">
      <c r="B117" s="43" t="s">
        <v>112</v>
      </c>
      <c r="C117" s="43" t="s">
        <v>269</v>
      </c>
      <c r="D117" s="43" t="s">
        <v>270</v>
      </c>
      <c r="E117" s="40" t="s">
        <v>546</v>
      </c>
      <c r="F117" s="43" t="s">
        <v>63</v>
      </c>
      <c r="G117" s="43" t="s">
        <v>166</v>
      </c>
      <c r="H117" s="43" t="s">
        <v>254</v>
      </c>
      <c r="I117" s="44" t="s">
        <v>183</v>
      </c>
      <c r="J117" s="45">
        <v>208656</v>
      </c>
      <c r="K117" s="43" t="s">
        <v>273</v>
      </c>
      <c r="L117" s="45" t="s">
        <v>10</v>
      </c>
      <c r="M117" s="45"/>
      <c r="N117" s="41"/>
      <c r="O117" s="63" t="s">
        <v>307</v>
      </c>
      <c r="P117" s="41">
        <v>0</v>
      </c>
      <c r="Q117" s="40" t="s">
        <v>545</v>
      </c>
      <c r="R117" s="52" t="s">
        <v>307</v>
      </c>
      <c r="S117" s="52" t="s">
        <v>307</v>
      </c>
      <c r="T117" s="52" t="s">
        <v>307</v>
      </c>
      <c r="U117" s="53">
        <v>0</v>
      </c>
      <c r="V117" s="53">
        <v>0</v>
      </c>
      <c r="W117" s="54">
        <v>0</v>
      </c>
      <c r="X117" s="38">
        <v>0</v>
      </c>
      <c r="Y117" s="38">
        <v>0</v>
      </c>
      <c r="Z117" s="55">
        <f t="shared" si="7"/>
        <v>0</v>
      </c>
      <c r="AA117" s="38">
        <v>0</v>
      </c>
      <c r="AB117" s="32"/>
      <c r="AC117" s="34">
        <v>0</v>
      </c>
      <c r="AD117" s="34">
        <v>0</v>
      </c>
      <c r="AE117" s="34">
        <v>0</v>
      </c>
      <c r="AF117" s="57">
        <v>0</v>
      </c>
      <c r="AG117" s="34">
        <v>0</v>
      </c>
      <c r="AH117" s="34">
        <v>0</v>
      </c>
      <c r="AI117" s="58">
        <f t="shared" si="8"/>
        <v>0</v>
      </c>
      <c r="AJ117" s="31"/>
      <c r="BE117" s="113"/>
    </row>
    <row r="118" spans="2:57" s="47" customFormat="1" ht="38">
      <c r="B118" s="43" t="s">
        <v>112</v>
      </c>
      <c r="C118" s="43" t="s">
        <v>276</v>
      </c>
      <c r="D118" s="43" t="s">
        <v>277</v>
      </c>
      <c r="E118" s="40" t="s">
        <v>547</v>
      </c>
      <c r="F118" s="43" t="s">
        <v>63</v>
      </c>
      <c r="G118" s="43" t="s">
        <v>167</v>
      </c>
      <c r="H118" s="46" t="s">
        <v>259</v>
      </c>
      <c r="I118" s="44">
        <v>322880</v>
      </c>
      <c r="J118" s="45">
        <v>354752.83</v>
      </c>
      <c r="K118" s="45" t="s">
        <v>273</v>
      </c>
      <c r="L118" s="45" t="s">
        <v>10</v>
      </c>
      <c r="M118" s="45" t="s">
        <v>315</v>
      </c>
      <c r="N118" s="41"/>
      <c r="O118" s="143" t="s">
        <v>388</v>
      </c>
      <c r="P118" s="42">
        <v>7813.170773589765</v>
      </c>
      <c r="Q118" s="40" t="s">
        <v>319</v>
      </c>
      <c r="R118" s="52" t="s">
        <v>307</v>
      </c>
      <c r="S118" s="52" t="s">
        <v>307</v>
      </c>
      <c r="T118" s="52" t="s">
        <v>307</v>
      </c>
      <c r="U118" s="53">
        <v>0</v>
      </c>
      <c r="V118" s="53">
        <v>0</v>
      </c>
      <c r="W118" s="54">
        <v>0</v>
      </c>
      <c r="X118" s="38">
        <v>0</v>
      </c>
      <c r="Y118" s="38">
        <v>0</v>
      </c>
      <c r="Z118" s="55">
        <f t="shared" si="7"/>
        <v>0</v>
      </c>
      <c r="AA118" s="38">
        <v>0</v>
      </c>
      <c r="AB118" s="32"/>
      <c r="AC118" s="34">
        <v>0</v>
      </c>
      <c r="AD118" s="34">
        <v>0</v>
      </c>
      <c r="AE118" s="34">
        <v>0</v>
      </c>
      <c r="AF118" s="57">
        <v>0</v>
      </c>
      <c r="AG118" s="34">
        <v>0</v>
      </c>
      <c r="AH118" s="34">
        <v>0</v>
      </c>
      <c r="AI118" s="58">
        <f t="shared" si="8"/>
        <v>0</v>
      </c>
      <c r="AJ118" s="31"/>
      <c r="BE118" s="113"/>
    </row>
    <row r="119" spans="2:57" s="47" customFormat="1" ht="25">
      <c r="B119" s="43" t="s">
        <v>112</v>
      </c>
      <c r="C119" s="43" t="s">
        <v>549</v>
      </c>
      <c r="D119" s="43" t="s">
        <v>550</v>
      </c>
      <c r="E119" s="40" t="s">
        <v>548</v>
      </c>
      <c r="F119" s="43" t="s">
        <v>59</v>
      </c>
      <c r="G119" s="43" t="s">
        <v>34</v>
      </c>
      <c r="H119" s="46" t="s">
        <v>262</v>
      </c>
      <c r="I119" s="44">
        <v>47554.35</v>
      </c>
      <c r="J119" s="45"/>
      <c r="K119" s="43" t="s">
        <v>273</v>
      </c>
      <c r="L119" s="43" t="s">
        <v>35</v>
      </c>
      <c r="M119" s="45"/>
      <c r="N119" s="41"/>
      <c r="O119" s="63" t="s">
        <v>307</v>
      </c>
      <c r="P119" s="41">
        <v>0</v>
      </c>
      <c r="Q119" s="40"/>
      <c r="R119" s="52" t="s">
        <v>307</v>
      </c>
      <c r="S119" s="52" t="s">
        <v>307</v>
      </c>
      <c r="T119" s="52" t="s">
        <v>307</v>
      </c>
      <c r="U119" s="53">
        <v>0</v>
      </c>
      <c r="V119" s="53">
        <v>0</v>
      </c>
      <c r="W119" s="54">
        <v>0</v>
      </c>
      <c r="X119" s="38">
        <v>0</v>
      </c>
      <c r="Y119" s="38">
        <v>0</v>
      </c>
      <c r="Z119" s="55">
        <f t="shared" si="7"/>
        <v>0</v>
      </c>
      <c r="AA119" s="38">
        <v>0</v>
      </c>
      <c r="AB119" s="32"/>
      <c r="AC119" s="34">
        <v>0</v>
      </c>
      <c r="AD119" s="34">
        <v>0</v>
      </c>
      <c r="AE119" s="34">
        <v>0</v>
      </c>
      <c r="AF119" s="57">
        <v>0</v>
      </c>
      <c r="AG119" s="34">
        <v>0</v>
      </c>
      <c r="AH119" s="34">
        <v>0</v>
      </c>
      <c r="AI119" s="58">
        <f t="shared" si="8"/>
        <v>0</v>
      </c>
      <c r="AJ119" s="31"/>
      <c r="BE119" s="113"/>
    </row>
    <row r="120" spans="2:57" s="47" customFormat="1" ht="25">
      <c r="B120" s="43" t="s">
        <v>112</v>
      </c>
      <c r="C120" s="43" t="s">
        <v>552</v>
      </c>
      <c r="D120" s="43" t="s">
        <v>553</v>
      </c>
      <c r="E120" s="40" t="s">
        <v>551</v>
      </c>
      <c r="F120" s="43" t="s">
        <v>59</v>
      </c>
      <c r="G120" s="43" t="s">
        <v>167</v>
      </c>
      <c r="H120" s="46" t="s">
        <v>259</v>
      </c>
      <c r="I120" s="44">
        <v>173887.51</v>
      </c>
      <c r="J120" s="45"/>
      <c r="K120" s="43" t="s">
        <v>273</v>
      </c>
      <c r="L120" s="43" t="s">
        <v>35</v>
      </c>
      <c r="M120" s="45"/>
      <c r="N120" s="41"/>
      <c r="O120" s="63" t="s">
        <v>307</v>
      </c>
      <c r="P120" s="41">
        <v>0</v>
      </c>
      <c r="Q120" s="40"/>
      <c r="R120" s="52" t="s">
        <v>307</v>
      </c>
      <c r="S120" s="52" t="s">
        <v>307</v>
      </c>
      <c r="T120" s="52" t="s">
        <v>307</v>
      </c>
      <c r="U120" s="53">
        <v>0</v>
      </c>
      <c r="V120" s="53">
        <v>0</v>
      </c>
      <c r="W120" s="54">
        <v>0</v>
      </c>
      <c r="X120" s="38">
        <v>0</v>
      </c>
      <c r="Y120" s="38">
        <v>0</v>
      </c>
      <c r="Z120" s="55">
        <f t="shared" si="7"/>
        <v>0</v>
      </c>
      <c r="AA120" s="38">
        <v>0</v>
      </c>
      <c r="AB120" s="32"/>
      <c r="AC120" s="34">
        <v>0</v>
      </c>
      <c r="AD120" s="34">
        <v>0</v>
      </c>
      <c r="AE120" s="34">
        <v>0</v>
      </c>
      <c r="AF120" s="57">
        <v>0</v>
      </c>
      <c r="AG120" s="34">
        <v>0</v>
      </c>
      <c r="AH120" s="34">
        <v>0</v>
      </c>
      <c r="AI120" s="58">
        <f t="shared" si="8"/>
        <v>0</v>
      </c>
      <c r="AJ120" s="31"/>
      <c r="BE120" s="113"/>
    </row>
    <row r="121" spans="2:57" s="47" customFormat="1" ht="25">
      <c r="B121" s="43" t="s">
        <v>112</v>
      </c>
      <c r="C121" s="43" t="s">
        <v>555</v>
      </c>
      <c r="D121" s="43" t="s">
        <v>556</v>
      </c>
      <c r="E121" s="40" t="s">
        <v>554</v>
      </c>
      <c r="F121" s="43" t="s">
        <v>59</v>
      </c>
      <c r="G121" s="43" t="s">
        <v>167</v>
      </c>
      <c r="H121" s="46" t="s">
        <v>260</v>
      </c>
      <c r="I121" s="44">
        <v>96766</v>
      </c>
      <c r="J121" s="45"/>
      <c r="K121" s="43" t="s">
        <v>273</v>
      </c>
      <c r="L121" s="43" t="s">
        <v>35</v>
      </c>
      <c r="M121" s="45"/>
      <c r="N121" s="41"/>
      <c r="O121" s="63" t="s">
        <v>307</v>
      </c>
      <c r="P121" s="41">
        <v>0</v>
      </c>
      <c r="Q121" s="40"/>
      <c r="R121" s="52" t="s">
        <v>307</v>
      </c>
      <c r="S121" s="52" t="s">
        <v>307</v>
      </c>
      <c r="T121" s="52" t="s">
        <v>307</v>
      </c>
      <c r="U121" s="53">
        <v>0</v>
      </c>
      <c r="V121" s="53">
        <v>0</v>
      </c>
      <c r="W121" s="54">
        <v>0</v>
      </c>
      <c r="X121" s="38">
        <v>0</v>
      </c>
      <c r="Y121" s="38">
        <v>0</v>
      </c>
      <c r="Z121" s="55">
        <f t="shared" si="7"/>
        <v>0</v>
      </c>
      <c r="AA121" s="38">
        <v>0</v>
      </c>
      <c r="AB121" s="32"/>
      <c r="AC121" s="34">
        <v>0</v>
      </c>
      <c r="AD121" s="34">
        <v>0</v>
      </c>
      <c r="AE121" s="34">
        <v>0</v>
      </c>
      <c r="AF121" s="57">
        <v>0</v>
      </c>
      <c r="AG121" s="34">
        <v>0</v>
      </c>
      <c r="AH121" s="34">
        <v>0</v>
      </c>
      <c r="AI121" s="58">
        <f t="shared" si="8"/>
        <v>0</v>
      </c>
      <c r="AJ121" s="31"/>
      <c r="BE121" s="113"/>
    </row>
    <row r="122" spans="2:57" s="47" customFormat="1" ht="25">
      <c r="B122" s="43" t="s">
        <v>112</v>
      </c>
      <c r="C122" s="43" t="s">
        <v>558</v>
      </c>
      <c r="D122" s="43" t="s">
        <v>559</v>
      </c>
      <c r="E122" s="40" t="s">
        <v>557</v>
      </c>
      <c r="F122" s="43" t="s">
        <v>59</v>
      </c>
      <c r="G122" s="43" t="s">
        <v>166</v>
      </c>
      <c r="H122" s="46" t="s">
        <v>254</v>
      </c>
      <c r="I122" s="44">
        <v>110862</v>
      </c>
      <c r="J122" s="45"/>
      <c r="K122" s="43" t="s">
        <v>273</v>
      </c>
      <c r="L122" s="43" t="s">
        <v>35</v>
      </c>
      <c r="M122" s="45"/>
      <c r="N122" s="41"/>
      <c r="O122" s="63" t="s">
        <v>307</v>
      </c>
      <c r="P122" s="41">
        <v>0</v>
      </c>
      <c r="Q122" s="40"/>
      <c r="R122" s="52" t="s">
        <v>307</v>
      </c>
      <c r="S122" s="52" t="s">
        <v>307</v>
      </c>
      <c r="T122" s="52" t="s">
        <v>307</v>
      </c>
      <c r="U122" s="53">
        <v>0</v>
      </c>
      <c r="V122" s="53">
        <v>0</v>
      </c>
      <c r="W122" s="54">
        <v>0</v>
      </c>
      <c r="X122" s="38">
        <v>0</v>
      </c>
      <c r="Y122" s="38">
        <v>0</v>
      </c>
      <c r="Z122" s="55">
        <f t="shared" si="7"/>
        <v>0</v>
      </c>
      <c r="AA122" s="38">
        <v>0</v>
      </c>
      <c r="AB122" s="32"/>
      <c r="AC122" s="34">
        <v>0</v>
      </c>
      <c r="AD122" s="34">
        <v>0</v>
      </c>
      <c r="AE122" s="34">
        <v>0</v>
      </c>
      <c r="AF122" s="57">
        <v>0</v>
      </c>
      <c r="AG122" s="34">
        <v>0</v>
      </c>
      <c r="AH122" s="34">
        <v>0</v>
      </c>
      <c r="AI122" s="58">
        <f t="shared" si="8"/>
        <v>0</v>
      </c>
      <c r="AJ122" s="31"/>
      <c r="BE122" s="113"/>
    </row>
    <row r="123" spans="2:57" s="47" customFormat="1" ht="25">
      <c r="B123" s="43" t="s">
        <v>112</v>
      </c>
      <c r="C123" s="43" t="s">
        <v>561</v>
      </c>
      <c r="D123" s="43" t="s">
        <v>562</v>
      </c>
      <c r="E123" s="40" t="s">
        <v>560</v>
      </c>
      <c r="F123" s="43" t="s">
        <v>59</v>
      </c>
      <c r="G123" s="43" t="s">
        <v>33</v>
      </c>
      <c r="H123" s="46" t="s">
        <v>261</v>
      </c>
      <c r="I123" s="44">
        <v>303520</v>
      </c>
      <c r="J123" s="45"/>
      <c r="K123" s="43" t="s">
        <v>273</v>
      </c>
      <c r="L123" s="43" t="s">
        <v>35</v>
      </c>
      <c r="M123" s="45"/>
      <c r="N123" s="41"/>
      <c r="O123" s="63" t="s">
        <v>307</v>
      </c>
      <c r="P123" s="41">
        <v>0</v>
      </c>
      <c r="Q123" s="40"/>
      <c r="R123" s="52" t="s">
        <v>307</v>
      </c>
      <c r="S123" s="52" t="s">
        <v>307</v>
      </c>
      <c r="T123" s="52" t="s">
        <v>307</v>
      </c>
      <c r="U123" s="53">
        <v>0</v>
      </c>
      <c r="V123" s="53">
        <v>0</v>
      </c>
      <c r="W123" s="54">
        <v>0</v>
      </c>
      <c r="X123" s="38">
        <v>0</v>
      </c>
      <c r="Y123" s="38">
        <v>0</v>
      </c>
      <c r="Z123" s="55">
        <f t="shared" si="7"/>
        <v>0</v>
      </c>
      <c r="AA123" s="38">
        <v>0</v>
      </c>
      <c r="AB123" s="32"/>
      <c r="AC123" s="34">
        <v>0</v>
      </c>
      <c r="AD123" s="34">
        <v>0</v>
      </c>
      <c r="AE123" s="34">
        <v>0</v>
      </c>
      <c r="AF123" s="57">
        <v>0</v>
      </c>
      <c r="AG123" s="34">
        <v>0</v>
      </c>
      <c r="AH123" s="34">
        <v>0</v>
      </c>
      <c r="AI123" s="58">
        <f t="shared" si="8"/>
        <v>0</v>
      </c>
      <c r="AJ123" s="31"/>
      <c r="BE123" s="113"/>
    </row>
    <row r="124" spans="2:57" s="47" customFormat="1" ht="25">
      <c r="B124" s="43" t="s">
        <v>112</v>
      </c>
      <c r="C124" s="43" t="s">
        <v>411</v>
      </c>
      <c r="D124" s="43" t="s">
        <v>564</v>
      </c>
      <c r="E124" s="40" t="s">
        <v>563</v>
      </c>
      <c r="F124" s="43" t="s">
        <v>59</v>
      </c>
      <c r="G124" s="43" t="s">
        <v>166</v>
      </c>
      <c r="H124" s="46" t="s">
        <v>256</v>
      </c>
      <c r="I124" s="44">
        <v>342754</v>
      </c>
      <c r="J124" s="45"/>
      <c r="K124" s="43" t="s">
        <v>273</v>
      </c>
      <c r="L124" s="43" t="s">
        <v>35</v>
      </c>
      <c r="M124" s="45"/>
      <c r="N124" s="41"/>
      <c r="O124" s="63" t="s">
        <v>307</v>
      </c>
      <c r="P124" s="41">
        <v>0</v>
      </c>
      <c r="Q124" s="40"/>
      <c r="R124" s="52" t="s">
        <v>307</v>
      </c>
      <c r="S124" s="52" t="s">
        <v>307</v>
      </c>
      <c r="T124" s="52" t="s">
        <v>307</v>
      </c>
      <c r="U124" s="53">
        <v>0</v>
      </c>
      <c r="V124" s="53">
        <v>0</v>
      </c>
      <c r="W124" s="54">
        <v>0</v>
      </c>
      <c r="X124" s="38">
        <v>0</v>
      </c>
      <c r="Y124" s="38">
        <v>0</v>
      </c>
      <c r="Z124" s="55">
        <f t="shared" si="7"/>
        <v>0</v>
      </c>
      <c r="AA124" s="38">
        <v>0</v>
      </c>
      <c r="AB124" s="32"/>
      <c r="AC124" s="34">
        <v>0</v>
      </c>
      <c r="AD124" s="34">
        <v>0</v>
      </c>
      <c r="AE124" s="34">
        <v>0</v>
      </c>
      <c r="AF124" s="57">
        <v>0</v>
      </c>
      <c r="AG124" s="34">
        <v>0</v>
      </c>
      <c r="AH124" s="34">
        <v>0</v>
      </c>
      <c r="AI124" s="58">
        <f t="shared" si="8"/>
        <v>0</v>
      </c>
      <c r="AJ124" s="31"/>
      <c r="BE124" s="113"/>
    </row>
    <row r="125" spans="2:57" s="47" customFormat="1" ht="25">
      <c r="B125" s="43" t="s">
        <v>112</v>
      </c>
      <c r="C125" s="43" t="s">
        <v>411</v>
      </c>
      <c r="D125" s="43" t="s">
        <v>566</v>
      </c>
      <c r="E125" s="40" t="s">
        <v>565</v>
      </c>
      <c r="F125" s="43" t="s">
        <v>59</v>
      </c>
      <c r="G125" s="43" t="s">
        <v>166</v>
      </c>
      <c r="H125" s="46" t="s">
        <v>256</v>
      </c>
      <c r="I125" s="44">
        <v>117755</v>
      </c>
      <c r="J125" s="45"/>
      <c r="K125" s="43" t="s">
        <v>273</v>
      </c>
      <c r="L125" s="43" t="s">
        <v>35</v>
      </c>
      <c r="M125" s="45"/>
      <c r="N125" s="41"/>
      <c r="O125" s="63" t="s">
        <v>307</v>
      </c>
      <c r="P125" s="41">
        <v>0</v>
      </c>
      <c r="Q125" s="40"/>
      <c r="R125" s="52" t="s">
        <v>307</v>
      </c>
      <c r="S125" s="52" t="s">
        <v>307</v>
      </c>
      <c r="T125" s="52" t="s">
        <v>307</v>
      </c>
      <c r="U125" s="53">
        <v>0</v>
      </c>
      <c r="V125" s="53">
        <v>0</v>
      </c>
      <c r="W125" s="54">
        <v>0</v>
      </c>
      <c r="X125" s="38">
        <v>0</v>
      </c>
      <c r="Y125" s="38">
        <v>0</v>
      </c>
      <c r="Z125" s="55">
        <f t="shared" si="7"/>
        <v>0</v>
      </c>
      <c r="AA125" s="38">
        <v>0</v>
      </c>
      <c r="AB125" s="32"/>
      <c r="AC125" s="34">
        <v>0</v>
      </c>
      <c r="AD125" s="34">
        <v>0</v>
      </c>
      <c r="AE125" s="34">
        <v>0</v>
      </c>
      <c r="AF125" s="57">
        <v>0</v>
      </c>
      <c r="AG125" s="34">
        <v>0</v>
      </c>
      <c r="AH125" s="34">
        <v>0</v>
      </c>
      <c r="AI125" s="58">
        <f t="shared" si="8"/>
        <v>0</v>
      </c>
      <c r="AJ125" s="31"/>
      <c r="BE125" s="113"/>
    </row>
    <row r="126" spans="2:57" s="47" customFormat="1" ht="25">
      <c r="B126" s="43" t="s">
        <v>112</v>
      </c>
      <c r="C126" s="43" t="s">
        <v>568</v>
      </c>
      <c r="D126" s="43" t="s">
        <v>569</v>
      </c>
      <c r="E126" s="40" t="s">
        <v>567</v>
      </c>
      <c r="F126" s="43" t="s">
        <v>59</v>
      </c>
      <c r="G126" s="43" t="s">
        <v>166</v>
      </c>
      <c r="H126" s="46" t="s">
        <v>256</v>
      </c>
      <c r="I126" s="44">
        <v>43504.44</v>
      </c>
      <c r="J126" s="45"/>
      <c r="K126" s="43" t="s">
        <v>273</v>
      </c>
      <c r="L126" s="43" t="s">
        <v>35</v>
      </c>
      <c r="M126" s="45"/>
      <c r="N126" s="41"/>
      <c r="O126" s="63" t="s">
        <v>307</v>
      </c>
      <c r="P126" s="41">
        <v>0</v>
      </c>
      <c r="Q126" s="40"/>
      <c r="R126" s="52" t="s">
        <v>307</v>
      </c>
      <c r="S126" s="52" t="s">
        <v>307</v>
      </c>
      <c r="T126" s="52" t="s">
        <v>307</v>
      </c>
      <c r="U126" s="53">
        <v>0</v>
      </c>
      <c r="V126" s="53">
        <v>0</v>
      </c>
      <c r="W126" s="54">
        <v>0</v>
      </c>
      <c r="X126" s="38">
        <v>0</v>
      </c>
      <c r="Y126" s="38">
        <v>0</v>
      </c>
      <c r="Z126" s="55">
        <f t="shared" si="7"/>
        <v>0</v>
      </c>
      <c r="AA126" s="38">
        <v>0</v>
      </c>
      <c r="AB126" s="32"/>
      <c r="AC126" s="34">
        <v>0</v>
      </c>
      <c r="AD126" s="34">
        <v>0</v>
      </c>
      <c r="AE126" s="34">
        <v>0</v>
      </c>
      <c r="AF126" s="57">
        <v>0</v>
      </c>
      <c r="AG126" s="34">
        <v>0</v>
      </c>
      <c r="AH126" s="34">
        <v>0</v>
      </c>
      <c r="AI126" s="58">
        <f t="shared" si="8"/>
        <v>0</v>
      </c>
      <c r="AJ126" s="31"/>
      <c r="BE126" s="113"/>
    </row>
    <row r="127" spans="2:57" s="47" customFormat="1" ht="25">
      <c r="B127" s="43" t="s">
        <v>112</v>
      </c>
      <c r="C127" s="43" t="s">
        <v>571</v>
      </c>
      <c r="D127" s="43" t="s">
        <v>572</v>
      </c>
      <c r="E127" s="40" t="s">
        <v>570</v>
      </c>
      <c r="F127" s="43" t="s">
        <v>59</v>
      </c>
      <c r="G127" s="33" t="s">
        <v>34</v>
      </c>
      <c r="H127" s="46" t="s">
        <v>262</v>
      </c>
      <c r="I127" s="44"/>
      <c r="J127" s="45">
        <v>15111</v>
      </c>
      <c r="K127" s="43" t="s">
        <v>273</v>
      </c>
      <c r="L127" s="43" t="s">
        <v>35</v>
      </c>
      <c r="M127" s="45"/>
      <c r="N127" s="41"/>
      <c r="O127" s="63" t="s">
        <v>307</v>
      </c>
      <c r="P127" s="41">
        <v>0</v>
      </c>
      <c r="Q127" s="40"/>
      <c r="R127" s="52" t="s">
        <v>307</v>
      </c>
      <c r="S127" s="52" t="s">
        <v>307</v>
      </c>
      <c r="T127" s="52" t="s">
        <v>307</v>
      </c>
      <c r="U127" s="53">
        <v>0</v>
      </c>
      <c r="V127" s="53">
        <v>0</v>
      </c>
      <c r="W127" s="54">
        <v>0</v>
      </c>
      <c r="X127" s="38">
        <v>0</v>
      </c>
      <c r="Y127" s="38">
        <v>0</v>
      </c>
      <c r="Z127" s="55">
        <f t="shared" si="7"/>
        <v>0</v>
      </c>
      <c r="AA127" s="38">
        <v>0</v>
      </c>
      <c r="AB127" s="32"/>
      <c r="AC127" s="34">
        <v>0</v>
      </c>
      <c r="AD127" s="34">
        <v>0</v>
      </c>
      <c r="AE127" s="34">
        <v>0</v>
      </c>
      <c r="AF127" s="57">
        <v>0</v>
      </c>
      <c r="AG127" s="34">
        <v>0</v>
      </c>
      <c r="AH127" s="34">
        <v>0</v>
      </c>
      <c r="AI127" s="58">
        <f t="shared" si="8"/>
        <v>0</v>
      </c>
      <c r="AJ127" s="31"/>
      <c r="BE127" s="113"/>
    </row>
    <row r="128" spans="2:57" s="47" customFormat="1" ht="25">
      <c r="B128" s="43" t="s">
        <v>112</v>
      </c>
      <c r="C128" s="43" t="s">
        <v>574</v>
      </c>
      <c r="D128" s="43" t="s">
        <v>575</v>
      </c>
      <c r="E128" s="40" t="s">
        <v>573</v>
      </c>
      <c r="F128" s="43" t="s">
        <v>59</v>
      </c>
      <c r="G128" s="43" t="s">
        <v>166</v>
      </c>
      <c r="H128" s="46" t="s">
        <v>255</v>
      </c>
      <c r="I128" s="44">
        <v>62838.11</v>
      </c>
      <c r="J128" s="45"/>
      <c r="K128" s="43" t="s">
        <v>273</v>
      </c>
      <c r="L128" s="43" t="s">
        <v>35</v>
      </c>
      <c r="M128" s="45"/>
      <c r="N128" s="41"/>
      <c r="O128" s="63" t="s">
        <v>307</v>
      </c>
      <c r="P128" s="41">
        <v>0</v>
      </c>
      <c r="Q128" s="40"/>
      <c r="R128" s="52" t="s">
        <v>307</v>
      </c>
      <c r="S128" s="52" t="s">
        <v>307</v>
      </c>
      <c r="T128" s="52" t="s">
        <v>307</v>
      </c>
      <c r="U128" s="53">
        <v>0</v>
      </c>
      <c r="V128" s="53">
        <v>0</v>
      </c>
      <c r="W128" s="54">
        <v>0</v>
      </c>
      <c r="X128" s="38">
        <v>0</v>
      </c>
      <c r="Y128" s="38">
        <v>0</v>
      </c>
      <c r="Z128" s="55">
        <f t="shared" si="7"/>
        <v>0</v>
      </c>
      <c r="AA128" s="38">
        <v>0</v>
      </c>
      <c r="AB128" s="32"/>
      <c r="AC128" s="34">
        <v>0</v>
      </c>
      <c r="AD128" s="34">
        <v>0</v>
      </c>
      <c r="AE128" s="34">
        <v>0</v>
      </c>
      <c r="AF128" s="57">
        <v>0</v>
      </c>
      <c r="AG128" s="34">
        <v>0</v>
      </c>
      <c r="AH128" s="34">
        <v>0</v>
      </c>
      <c r="AI128" s="58">
        <f t="shared" si="8"/>
        <v>0</v>
      </c>
      <c r="AJ128" s="31"/>
      <c r="BE128" s="113"/>
    </row>
    <row r="129" spans="2:57" s="47" customFormat="1" ht="25">
      <c r="B129" s="43" t="s">
        <v>112</v>
      </c>
      <c r="C129" s="43" t="s">
        <v>577</v>
      </c>
      <c r="D129" s="43" t="s">
        <v>578</v>
      </c>
      <c r="E129" s="40" t="s">
        <v>576</v>
      </c>
      <c r="F129" s="43" t="s">
        <v>59</v>
      </c>
      <c r="G129" s="43" t="s">
        <v>166</v>
      </c>
      <c r="H129" s="46" t="s">
        <v>255</v>
      </c>
      <c r="I129" s="44">
        <v>104350</v>
      </c>
      <c r="J129" s="45"/>
      <c r="K129" s="43" t="s">
        <v>273</v>
      </c>
      <c r="L129" s="43" t="s">
        <v>35</v>
      </c>
      <c r="M129" s="45"/>
      <c r="N129" s="41"/>
      <c r="O129" s="63" t="s">
        <v>307</v>
      </c>
      <c r="P129" s="41">
        <v>0</v>
      </c>
      <c r="Q129" s="40"/>
      <c r="R129" s="52" t="s">
        <v>307</v>
      </c>
      <c r="S129" s="52" t="s">
        <v>307</v>
      </c>
      <c r="T129" s="52" t="s">
        <v>307</v>
      </c>
      <c r="U129" s="53">
        <v>0</v>
      </c>
      <c r="V129" s="53">
        <v>0</v>
      </c>
      <c r="W129" s="54">
        <v>0</v>
      </c>
      <c r="X129" s="38">
        <v>0</v>
      </c>
      <c r="Y129" s="38">
        <v>0</v>
      </c>
      <c r="Z129" s="55">
        <f t="shared" si="7"/>
        <v>0</v>
      </c>
      <c r="AA129" s="38">
        <v>0</v>
      </c>
      <c r="AB129" s="32"/>
      <c r="AC129" s="34">
        <v>0</v>
      </c>
      <c r="AD129" s="34">
        <v>0</v>
      </c>
      <c r="AE129" s="34">
        <v>0</v>
      </c>
      <c r="AF129" s="57">
        <v>0</v>
      </c>
      <c r="AG129" s="34">
        <v>0</v>
      </c>
      <c r="AH129" s="34">
        <v>0</v>
      </c>
      <c r="AI129" s="58">
        <f t="shared" si="8"/>
        <v>0</v>
      </c>
      <c r="AJ129" s="31"/>
      <c r="BE129" s="113"/>
    </row>
    <row r="130" spans="2:57" s="47" customFormat="1" ht="25">
      <c r="B130" s="43" t="s">
        <v>112</v>
      </c>
      <c r="C130" s="43" t="s">
        <v>580</v>
      </c>
      <c r="D130" s="43" t="s">
        <v>575</v>
      </c>
      <c r="E130" s="40" t="s">
        <v>579</v>
      </c>
      <c r="F130" s="43" t="s">
        <v>59</v>
      </c>
      <c r="G130" s="43" t="s">
        <v>166</v>
      </c>
      <c r="H130" s="46" t="s">
        <v>255</v>
      </c>
      <c r="I130" s="44">
        <v>30522</v>
      </c>
      <c r="J130" s="45"/>
      <c r="K130" s="43" t="s">
        <v>273</v>
      </c>
      <c r="L130" s="43" t="s">
        <v>35</v>
      </c>
      <c r="M130" s="45"/>
      <c r="N130" s="41"/>
      <c r="O130" s="63" t="s">
        <v>307</v>
      </c>
      <c r="P130" s="41">
        <v>0</v>
      </c>
      <c r="Q130" s="40"/>
      <c r="R130" s="52" t="s">
        <v>307</v>
      </c>
      <c r="S130" s="52" t="s">
        <v>307</v>
      </c>
      <c r="T130" s="52" t="s">
        <v>307</v>
      </c>
      <c r="U130" s="53">
        <v>0</v>
      </c>
      <c r="V130" s="53">
        <v>0</v>
      </c>
      <c r="W130" s="54">
        <v>0</v>
      </c>
      <c r="X130" s="38">
        <v>0</v>
      </c>
      <c r="Y130" s="38">
        <v>0</v>
      </c>
      <c r="Z130" s="55">
        <f t="shared" si="7"/>
        <v>0</v>
      </c>
      <c r="AA130" s="38">
        <v>0</v>
      </c>
      <c r="AB130" s="32"/>
      <c r="AC130" s="34">
        <v>0</v>
      </c>
      <c r="AD130" s="34">
        <v>0</v>
      </c>
      <c r="AE130" s="34">
        <v>0</v>
      </c>
      <c r="AF130" s="57">
        <v>0</v>
      </c>
      <c r="AG130" s="34">
        <v>0</v>
      </c>
      <c r="AH130" s="34">
        <v>0</v>
      </c>
      <c r="AI130" s="58">
        <f t="shared" si="8"/>
        <v>0</v>
      </c>
      <c r="AJ130" s="31"/>
      <c r="BE130" s="113"/>
    </row>
    <row r="131" spans="2:57" s="47" customFormat="1" ht="25">
      <c r="B131" s="43" t="s">
        <v>112</v>
      </c>
      <c r="C131" s="43" t="s">
        <v>581</v>
      </c>
      <c r="D131" s="43" t="s">
        <v>582</v>
      </c>
      <c r="E131" s="40" t="s">
        <v>573</v>
      </c>
      <c r="F131" s="43" t="s">
        <v>59</v>
      </c>
      <c r="G131" s="43" t="s">
        <v>166</v>
      </c>
      <c r="H131" s="46" t="s">
        <v>350</v>
      </c>
      <c r="I131" s="44"/>
      <c r="J131" s="45">
        <v>22278</v>
      </c>
      <c r="K131" s="43" t="s">
        <v>273</v>
      </c>
      <c r="L131" s="43" t="s">
        <v>35</v>
      </c>
      <c r="M131" s="45"/>
      <c r="N131" s="41"/>
      <c r="O131" s="63" t="s">
        <v>307</v>
      </c>
      <c r="P131" s="41">
        <v>0</v>
      </c>
      <c r="Q131" s="40"/>
      <c r="R131" s="52" t="s">
        <v>307</v>
      </c>
      <c r="S131" s="52" t="s">
        <v>307</v>
      </c>
      <c r="T131" s="52" t="s">
        <v>307</v>
      </c>
      <c r="U131" s="53">
        <v>0</v>
      </c>
      <c r="V131" s="53">
        <v>0</v>
      </c>
      <c r="W131" s="54">
        <v>0</v>
      </c>
      <c r="X131" s="38">
        <v>0</v>
      </c>
      <c r="Y131" s="38">
        <v>0</v>
      </c>
      <c r="Z131" s="55">
        <f t="shared" si="7"/>
        <v>0</v>
      </c>
      <c r="AA131" s="38">
        <v>0</v>
      </c>
      <c r="AB131" s="32"/>
      <c r="AC131" s="34">
        <v>0</v>
      </c>
      <c r="AD131" s="34">
        <v>0</v>
      </c>
      <c r="AE131" s="34">
        <v>0</v>
      </c>
      <c r="AF131" s="57">
        <v>0</v>
      </c>
      <c r="AG131" s="34">
        <v>0</v>
      </c>
      <c r="AH131" s="34">
        <v>0</v>
      </c>
      <c r="AI131" s="58">
        <f t="shared" si="8"/>
        <v>0</v>
      </c>
      <c r="AJ131" s="31" t="s">
        <v>312</v>
      </c>
      <c r="BE131" s="113"/>
    </row>
    <row r="132" spans="2:57" s="47" customFormat="1" ht="25">
      <c r="B132" s="43" t="s">
        <v>112</v>
      </c>
      <c r="C132" s="43" t="s">
        <v>584</v>
      </c>
      <c r="D132" s="43" t="s">
        <v>585</v>
      </c>
      <c r="E132" s="40" t="s">
        <v>583</v>
      </c>
      <c r="F132" s="43" t="s">
        <v>59</v>
      </c>
      <c r="G132" s="43" t="s">
        <v>166</v>
      </c>
      <c r="H132" s="46" t="s">
        <v>256</v>
      </c>
      <c r="I132" s="44"/>
      <c r="J132" s="45">
        <v>27042</v>
      </c>
      <c r="K132" s="43" t="s">
        <v>273</v>
      </c>
      <c r="L132" s="43" t="s">
        <v>35</v>
      </c>
      <c r="M132" s="45"/>
      <c r="N132" s="41"/>
      <c r="O132" s="63" t="s">
        <v>307</v>
      </c>
      <c r="P132" s="41">
        <v>0</v>
      </c>
      <c r="Q132" s="40"/>
      <c r="R132" s="52" t="s">
        <v>307</v>
      </c>
      <c r="S132" s="52" t="s">
        <v>307</v>
      </c>
      <c r="T132" s="52" t="s">
        <v>307</v>
      </c>
      <c r="U132" s="53">
        <v>0</v>
      </c>
      <c r="V132" s="53">
        <v>0</v>
      </c>
      <c r="W132" s="54">
        <v>0</v>
      </c>
      <c r="X132" s="38">
        <v>0</v>
      </c>
      <c r="Y132" s="38">
        <v>0</v>
      </c>
      <c r="Z132" s="55">
        <f t="shared" si="7"/>
        <v>0</v>
      </c>
      <c r="AA132" s="38">
        <v>0</v>
      </c>
      <c r="AB132" s="32"/>
      <c r="AC132" s="34">
        <v>0</v>
      </c>
      <c r="AD132" s="34">
        <v>0</v>
      </c>
      <c r="AE132" s="34">
        <v>0</v>
      </c>
      <c r="AF132" s="57">
        <v>0</v>
      </c>
      <c r="AG132" s="34">
        <v>0</v>
      </c>
      <c r="AH132" s="34">
        <v>0</v>
      </c>
      <c r="AI132" s="58">
        <f t="shared" si="8"/>
        <v>0</v>
      </c>
      <c r="AJ132" s="31" t="s">
        <v>312</v>
      </c>
      <c r="BE132" s="113"/>
    </row>
    <row r="133" spans="2:57" s="47" customFormat="1" ht="25">
      <c r="B133" s="43" t="s">
        <v>112</v>
      </c>
      <c r="C133" s="43" t="s">
        <v>568</v>
      </c>
      <c r="D133" s="43" t="s">
        <v>587</v>
      </c>
      <c r="E133" s="40" t="s">
        <v>586</v>
      </c>
      <c r="F133" s="43" t="s">
        <v>59</v>
      </c>
      <c r="G133" s="43" t="s">
        <v>166</v>
      </c>
      <c r="H133" s="46" t="s">
        <v>255</v>
      </c>
      <c r="I133" s="44">
        <v>30048</v>
      </c>
      <c r="J133" s="45"/>
      <c r="K133" s="43" t="s">
        <v>273</v>
      </c>
      <c r="L133" s="43" t="s">
        <v>35</v>
      </c>
      <c r="M133" s="45"/>
      <c r="N133" s="41"/>
      <c r="O133" s="63" t="s">
        <v>307</v>
      </c>
      <c r="P133" s="41">
        <v>0</v>
      </c>
      <c r="Q133" s="40"/>
      <c r="R133" s="52" t="s">
        <v>307</v>
      </c>
      <c r="S133" s="52" t="s">
        <v>307</v>
      </c>
      <c r="T133" s="52" t="s">
        <v>307</v>
      </c>
      <c r="U133" s="53">
        <v>0</v>
      </c>
      <c r="V133" s="53">
        <v>0</v>
      </c>
      <c r="W133" s="54">
        <v>0</v>
      </c>
      <c r="X133" s="38">
        <v>0</v>
      </c>
      <c r="Y133" s="38">
        <v>0</v>
      </c>
      <c r="Z133" s="55">
        <f t="shared" si="7"/>
        <v>0</v>
      </c>
      <c r="AA133" s="38">
        <v>0</v>
      </c>
      <c r="AB133" s="32"/>
      <c r="AC133" s="34">
        <v>0</v>
      </c>
      <c r="AD133" s="34">
        <v>0</v>
      </c>
      <c r="AE133" s="34">
        <v>0</v>
      </c>
      <c r="AF133" s="57">
        <v>0</v>
      </c>
      <c r="AG133" s="34">
        <v>0</v>
      </c>
      <c r="AH133" s="34">
        <v>0</v>
      </c>
      <c r="AI133" s="58">
        <f t="shared" si="8"/>
        <v>0</v>
      </c>
      <c r="AJ133" s="31"/>
      <c r="BE133" s="113"/>
    </row>
    <row r="134" spans="2:57" s="47" customFormat="1" ht="25">
      <c r="B134" s="43" t="s">
        <v>112</v>
      </c>
      <c r="C134" s="43" t="s">
        <v>505</v>
      </c>
      <c r="D134" s="43" t="s">
        <v>589</v>
      </c>
      <c r="E134" s="40" t="s">
        <v>588</v>
      </c>
      <c r="F134" s="43" t="s">
        <v>59</v>
      </c>
      <c r="G134" s="43" t="s">
        <v>166</v>
      </c>
      <c r="H134" s="46" t="s">
        <v>322</v>
      </c>
      <c r="I134" s="44">
        <v>67626.67</v>
      </c>
      <c r="J134" s="45"/>
      <c r="K134" s="43" t="s">
        <v>273</v>
      </c>
      <c r="L134" s="43" t="s">
        <v>35</v>
      </c>
      <c r="M134" s="45"/>
      <c r="N134" s="41"/>
      <c r="O134" s="63" t="s">
        <v>307</v>
      </c>
      <c r="P134" s="41">
        <v>0</v>
      </c>
      <c r="Q134" s="40"/>
      <c r="R134" s="52" t="s">
        <v>307</v>
      </c>
      <c r="S134" s="52" t="s">
        <v>307</v>
      </c>
      <c r="T134" s="52" t="s">
        <v>307</v>
      </c>
      <c r="U134" s="53">
        <v>0</v>
      </c>
      <c r="V134" s="53">
        <v>0</v>
      </c>
      <c r="W134" s="54">
        <v>0</v>
      </c>
      <c r="X134" s="38">
        <v>0</v>
      </c>
      <c r="Y134" s="38">
        <v>0</v>
      </c>
      <c r="Z134" s="55">
        <f t="shared" si="7"/>
        <v>0</v>
      </c>
      <c r="AA134" s="38">
        <v>0</v>
      </c>
      <c r="AB134" s="32"/>
      <c r="AC134" s="34">
        <v>0</v>
      </c>
      <c r="AD134" s="34">
        <v>0</v>
      </c>
      <c r="AE134" s="34">
        <v>0</v>
      </c>
      <c r="AF134" s="57">
        <v>0</v>
      </c>
      <c r="AG134" s="34">
        <v>0</v>
      </c>
      <c r="AH134" s="34">
        <v>0</v>
      </c>
      <c r="AI134" s="58">
        <f t="shared" si="8"/>
        <v>0</v>
      </c>
      <c r="AJ134" s="31" t="s">
        <v>312</v>
      </c>
      <c r="BE134" s="113"/>
    </row>
    <row r="135" spans="2:57" s="47" customFormat="1" ht="25">
      <c r="B135" s="43" t="s">
        <v>112</v>
      </c>
      <c r="C135" s="43" t="s">
        <v>591</v>
      </c>
      <c r="D135" s="43" t="s">
        <v>592</v>
      </c>
      <c r="E135" s="40" t="s">
        <v>590</v>
      </c>
      <c r="F135" s="43" t="s">
        <v>59</v>
      </c>
      <c r="G135" s="43" t="s">
        <v>166</v>
      </c>
      <c r="H135" s="46" t="s">
        <v>322</v>
      </c>
      <c r="I135" s="44">
        <v>48829.5</v>
      </c>
      <c r="J135" s="45"/>
      <c r="K135" s="43" t="s">
        <v>273</v>
      </c>
      <c r="L135" s="43" t="s">
        <v>35</v>
      </c>
      <c r="M135" s="45"/>
      <c r="N135" s="41"/>
      <c r="O135" s="63" t="s">
        <v>307</v>
      </c>
      <c r="P135" s="41">
        <v>0</v>
      </c>
      <c r="Q135" s="40"/>
      <c r="R135" s="52" t="s">
        <v>307</v>
      </c>
      <c r="S135" s="52" t="s">
        <v>307</v>
      </c>
      <c r="T135" s="52" t="s">
        <v>307</v>
      </c>
      <c r="U135" s="53">
        <v>0</v>
      </c>
      <c r="V135" s="53">
        <v>0</v>
      </c>
      <c r="W135" s="54">
        <v>0</v>
      </c>
      <c r="X135" s="38">
        <v>0</v>
      </c>
      <c r="Y135" s="38">
        <v>0</v>
      </c>
      <c r="Z135" s="55">
        <f t="shared" si="7"/>
        <v>0</v>
      </c>
      <c r="AA135" s="38">
        <v>0</v>
      </c>
      <c r="AB135" s="32"/>
      <c r="AC135" s="34">
        <v>0</v>
      </c>
      <c r="AD135" s="34">
        <v>0</v>
      </c>
      <c r="AE135" s="34">
        <v>0</v>
      </c>
      <c r="AF135" s="57">
        <v>0</v>
      </c>
      <c r="AG135" s="34">
        <v>0</v>
      </c>
      <c r="AH135" s="34">
        <v>0</v>
      </c>
      <c r="AI135" s="58">
        <f t="shared" si="8"/>
        <v>0</v>
      </c>
      <c r="AJ135" s="31" t="s">
        <v>312</v>
      </c>
      <c r="BE135" s="113"/>
    </row>
    <row r="136" spans="2:57" s="47" customFormat="1" ht="25">
      <c r="B136" s="43" t="s">
        <v>112</v>
      </c>
      <c r="C136" s="43" t="s">
        <v>594</v>
      </c>
      <c r="D136" s="43" t="s">
        <v>595</v>
      </c>
      <c r="E136" s="40" t="s">
        <v>593</v>
      </c>
      <c r="F136" s="43" t="s">
        <v>59</v>
      </c>
      <c r="G136" s="43" t="s">
        <v>166</v>
      </c>
      <c r="H136" s="46" t="s">
        <v>255</v>
      </c>
      <c r="J136" s="45">
        <v>33998</v>
      </c>
      <c r="K136" s="43" t="s">
        <v>273</v>
      </c>
      <c r="L136" s="43" t="s">
        <v>35</v>
      </c>
      <c r="M136" s="45"/>
      <c r="N136" s="41"/>
      <c r="O136" s="63" t="s">
        <v>307</v>
      </c>
      <c r="P136" s="41">
        <v>0</v>
      </c>
      <c r="Q136" s="40"/>
      <c r="R136" s="52" t="s">
        <v>307</v>
      </c>
      <c r="S136" s="52" t="s">
        <v>307</v>
      </c>
      <c r="T136" s="52" t="s">
        <v>307</v>
      </c>
      <c r="U136" s="53">
        <v>0</v>
      </c>
      <c r="V136" s="53">
        <v>0</v>
      </c>
      <c r="W136" s="54">
        <v>0</v>
      </c>
      <c r="X136" s="38">
        <v>0</v>
      </c>
      <c r="Y136" s="38">
        <v>0</v>
      </c>
      <c r="Z136" s="55">
        <f t="shared" si="7"/>
        <v>0</v>
      </c>
      <c r="AA136" s="38">
        <v>0</v>
      </c>
      <c r="AB136" s="32"/>
      <c r="AC136" s="34">
        <v>0</v>
      </c>
      <c r="AD136" s="34">
        <v>0</v>
      </c>
      <c r="AE136" s="34">
        <v>0</v>
      </c>
      <c r="AF136" s="57">
        <v>0</v>
      </c>
      <c r="AG136" s="34">
        <v>0</v>
      </c>
      <c r="AH136" s="34">
        <v>0</v>
      </c>
      <c r="AI136" s="58">
        <f t="shared" si="8"/>
        <v>0</v>
      </c>
      <c r="AJ136" s="31" t="s">
        <v>312</v>
      </c>
      <c r="BE136" s="113"/>
    </row>
    <row r="137" spans="2:57" s="47" customFormat="1" ht="25">
      <c r="B137" s="43" t="s">
        <v>112</v>
      </c>
      <c r="C137" s="43" t="s">
        <v>597</v>
      </c>
      <c r="D137" s="43" t="s">
        <v>598</v>
      </c>
      <c r="E137" s="40" t="s">
        <v>596</v>
      </c>
      <c r="F137" s="43" t="s">
        <v>59</v>
      </c>
      <c r="G137" s="43" t="s">
        <v>166</v>
      </c>
      <c r="H137" s="46" t="s">
        <v>256</v>
      </c>
      <c r="J137" s="45">
        <v>21574</v>
      </c>
      <c r="K137" s="43" t="s">
        <v>273</v>
      </c>
      <c r="L137" s="43" t="s">
        <v>35</v>
      </c>
      <c r="M137" s="45"/>
      <c r="N137" s="41"/>
      <c r="O137" s="63" t="s">
        <v>307</v>
      </c>
      <c r="P137" s="41">
        <v>0</v>
      </c>
      <c r="Q137" s="40"/>
      <c r="R137" s="52" t="s">
        <v>307</v>
      </c>
      <c r="S137" s="52" t="s">
        <v>307</v>
      </c>
      <c r="T137" s="52" t="s">
        <v>307</v>
      </c>
      <c r="U137" s="53">
        <v>0</v>
      </c>
      <c r="V137" s="53">
        <v>0</v>
      </c>
      <c r="W137" s="54">
        <v>0</v>
      </c>
      <c r="X137" s="38">
        <v>0</v>
      </c>
      <c r="Y137" s="38">
        <v>0</v>
      </c>
      <c r="Z137" s="55">
        <f t="shared" si="7"/>
        <v>0</v>
      </c>
      <c r="AA137" s="38">
        <v>0</v>
      </c>
      <c r="AB137" s="32"/>
      <c r="AC137" s="34">
        <v>0</v>
      </c>
      <c r="AD137" s="34">
        <v>0</v>
      </c>
      <c r="AE137" s="34">
        <v>0</v>
      </c>
      <c r="AF137" s="57">
        <v>0</v>
      </c>
      <c r="AG137" s="34">
        <v>0</v>
      </c>
      <c r="AH137" s="34">
        <v>0</v>
      </c>
      <c r="AI137" s="58">
        <f t="shared" si="8"/>
        <v>0</v>
      </c>
      <c r="AJ137" s="31" t="s">
        <v>312</v>
      </c>
      <c r="BE137" s="113"/>
    </row>
    <row r="138" spans="2:57" s="47" customFormat="1" ht="25">
      <c r="B138" s="43" t="s">
        <v>112</v>
      </c>
      <c r="C138" s="43" t="s">
        <v>600</v>
      </c>
      <c r="D138" s="43" t="s">
        <v>601</v>
      </c>
      <c r="E138" s="40" t="s">
        <v>599</v>
      </c>
      <c r="F138" s="43" t="s">
        <v>59</v>
      </c>
      <c r="G138" s="43" t="s">
        <v>33</v>
      </c>
      <c r="H138" s="46" t="s">
        <v>261</v>
      </c>
      <c r="I138" s="47">
        <v>29043.33</v>
      </c>
      <c r="J138" s="45"/>
      <c r="K138" s="43" t="s">
        <v>273</v>
      </c>
      <c r="L138" s="43" t="s">
        <v>35</v>
      </c>
      <c r="M138" s="45"/>
      <c r="N138" s="41"/>
      <c r="O138" s="63" t="s">
        <v>307</v>
      </c>
      <c r="P138" s="41">
        <v>0</v>
      </c>
      <c r="Q138" s="40"/>
      <c r="R138" s="52" t="s">
        <v>307</v>
      </c>
      <c r="S138" s="52" t="s">
        <v>307</v>
      </c>
      <c r="T138" s="52" t="s">
        <v>307</v>
      </c>
      <c r="U138" s="53">
        <v>0</v>
      </c>
      <c r="V138" s="53">
        <v>0</v>
      </c>
      <c r="W138" s="54">
        <v>0</v>
      </c>
      <c r="X138" s="38">
        <v>0</v>
      </c>
      <c r="Y138" s="38">
        <v>0</v>
      </c>
      <c r="Z138" s="55">
        <f t="shared" si="7"/>
        <v>0</v>
      </c>
      <c r="AA138" s="38">
        <v>0</v>
      </c>
      <c r="AB138" s="32"/>
      <c r="AC138" s="34">
        <v>0</v>
      </c>
      <c r="AD138" s="34">
        <v>0</v>
      </c>
      <c r="AE138" s="34">
        <v>0</v>
      </c>
      <c r="AF138" s="57">
        <v>0</v>
      </c>
      <c r="AG138" s="34">
        <v>0</v>
      </c>
      <c r="AH138" s="34">
        <v>0</v>
      </c>
      <c r="AI138" s="58">
        <f t="shared" si="8"/>
        <v>0</v>
      </c>
      <c r="AJ138" s="31" t="s">
        <v>312</v>
      </c>
      <c r="BE138" s="113"/>
    </row>
    <row r="139" spans="2:57" s="47" customFormat="1" ht="25">
      <c r="B139" s="43" t="s">
        <v>112</v>
      </c>
      <c r="C139" s="43" t="s">
        <v>603</v>
      </c>
      <c r="D139" s="43" t="s">
        <v>604</v>
      </c>
      <c r="E139" s="40" t="s">
        <v>602</v>
      </c>
      <c r="F139" s="43" t="s">
        <v>59</v>
      </c>
      <c r="G139" s="43" t="s">
        <v>33</v>
      </c>
      <c r="H139" s="46" t="s">
        <v>261</v>
      </c>
      <c r="I139" s="44">
        <v>98914</v>
      </c>
      <c r="J139" s="45">
        <v>52844</v>
      </c>
      <c r="K139" s="43" t="s">
        <v>273</v>
      </c>
      <c r="L139" s="45" t="s">
        <v>35</v>
      </c>
      <c r="M139" s="45"/>
      <c r="N139" s="41"/>
      <c r="O139" s="63" t="s">
        <v>307</v>
      </c>
      <c r="P139" s="41">
        <v>0</v>
      </c>
      <c r="Q139" s="40"/>
      <c r="R139" s="52" t="s">
        <v>307</v>
      </c>
      <c r="S139" s="52" t="s">
        <v>307</v>
      </c>
      <c r="T139" s="52" t="s">
        <v>307</v>
      </c>
      <c r="U139" s="53">
        <v>0</v>
      </c>
      <c r="V139" s="53">
        <v>0</v>
      </c>
      <c r="W139" s="54">
        <v>0</v>
      </c>
      <c r="X139" s="38">
        <v>0</v>
      </c>
      <c r="Y139" s="38">
        <v>0</v>
      </c>
      <c r="Z139" s="55">
        <f t="shared" si="7"/>
        <v>0</v>
      </c>
      <c r="AA139" s="38">
        <v>0</v>
      </c>
      <c r="AB139" s="32"/>
      <c r="AC139" s="34">
        <v>0</v>
      </c>
      <c r="AD139" s="34">
        <v>0</v>
      </c>
      <c r="AE139" s="34">
        <v>0</v>
      </c>
      <c r="AF139" s="57">
        <v>0</v>
      </c>
      <c r="AG139" s="34">
        <v>0</v>
      </c>
      <c r="AH139" s="34">
        <v>0</v>
      </c>
      <c r="AI139" s="58">
        <f t="shared" si="8"/>
        <v>0</v>
      </c>
      <c r="AJ139" s="31" t="s">
        <v>312</v>
      </c>
      <c r="BE139" s="113"/>
    </row>
    <row r="140" spans="2:57" s="47" customFormat="1" ht="25">
      <c r="B140" s="43" t="s">
        <v>112</v>
      </c>
      <c r="C140" s="43" t="s">
        <v>606</v>
      </c>
      <c r="D140" s="43" t="s">
        <v>607</v>
      </c>
      <c r="E140" s="40" t="s">
        <v>605</v>
      </c>
      <c r="F140" s="43" t="s">
        <v>59</v>
      </c>
      <c r="G140" s="43" t="s">
        <v>167</v>
      </c>
      <c r="H140" s="46" t="s">
        <v>257</v>
      </c>
      <c r="I140" s="44">
        <v>202500</v>
      </c>
      <c r="J140" s="45">
        <v>281250</v>
      </c>
      <c r="K140" s="43" t="s">
        <v>273</v>
      </c>
      <c r="L140" s="45" t="s">
        <v>35</v>
      </c>
      <c r="M140" s="45"/>
      <c r="N140" s="41"/>
      <c r="O140" s="63" t="s">
        <v>307</v>
      </c>
      <c r="P140" s="41">
        <v>0</v>
      </c>
      <c r="Q140" s="40"/>
      <c r="R140" s="52" t="s">
        <v>307</v>
      </c>
      <c r="S140" s="52" t="s">
        <v>307</v>
      </c>
      <c r="T140" s="52" t="s">
        <v>307</v>
      </c>
      <c r="U140" s="53">
        <v>0</v>
      </c>
      <c r="V140" s="53">
        <v>0</v>
      </c>
      <c r="W140" s="54">
        <v>0</v>
      </c>
      <c r="X140" s="38">
        <v>0</v>
      </c>
      <c r="Y140" s="38">
        <v>0</v>
      </c>
      <c r="Z140" s="55">
        <f t="shared" si="7"/>
        <v>0</v>
      </c>
      <c r="AA140" s="38">
        <v>0</v>
      </c>
      <c r="AB140" s="32"/>
      <c r="AC140" s="34">
        <v>0</v>
      </c>
      <c r="AD140" s="34">
        <v>0</v>
      </c>
      <c r="AE140" s="34">
        <v>0</v>
      </c>
      <c r="AF140" s="57">
        <v>0</v>
      </c>
      <c r="AG140" s="34">
        <v>0</v>
      </c>
      <c r="AH140" s="34">
        <v>0</v>
      </c>
      <c r="AI140" s="58">
        <f t="shared" si="8"/>
        <v>0</v>
      </c>
      <c r="AJ140" s="31" t="s">
        <v>312</v>
      </c>
      <c r="BE140" s="113"/>
    </row>
    <row r="141" spans="2:57" s="47" customFormat="1" ht="25">
      <c r="B141" s="43" t="s">
        <v>112</v>
      </c>
      <c r="C141" s="43" t="s">
        <v>609</v>
      </c>
      <c r="D141" s="43" t="s">
        <v>610</v>
      </c>
      <c r="E141" s="40" t="s">
        <v>608</v>
      </c>
      <c r="F141" s="43" t="s">
        <v>59</v>
      </c>
      <c r="G141" s="43" t="s">
        <v>34</v>
      </c>
      <c r="H141" s="46" t="s">
        <v>263</v>
      </c>
      <c r="I141" s="44">
        <v>208941</v>
      </c>
      <c r="J141" s="45"/>
      <c r="K141" s="43" t="s">
        <v>273</v>
      </c>
      <c r="L141" s="45" t="s">
        <v>35</v>
      </c>
      <c r="M141" s="45"/>
      <c r="N141" s="41"/>
      <c r="O141" s="63" t="s">
        <v>307</v>
      </c>
      <c r="P141" s="41">
        <v>0</v>
      </c>
      <c r="Q141" s="40"/>
      <c r="R141" s="52" t="s">
        <v>307</v>
      </c>
      <c r="S141" s="52" t="s">
        <v>307</v>
      </c>
      <c r="T141" s="52" t="s">
        <v>307</v>
      </c>
      <c r="U141" s="53">
        <v>0</v>
      </c>
      <c r="V141" s="53">
        <v>0</v>
      </c>
      <c r="W141" s="54">
        <v>0</v>
      </c>
      <c r="X141" s="38">
        <v>0</v>
      </c>
      <c r="Y141" s="38">
        <v>0</v>
      </c>
      <c r="Z141" s="55">
        <f t="shared" si="7"/>
        <v>0</v>
      </c>
      <c r="AA141" s="38">
        <v>0</v>
      </c>
      <c r="AB141" s="32"/>
      <c r="AC141" s="34">
        <v>0</v>
      </c>
      <c r="AD141" s="34">
        <v>0</v>
      </c>
      <c r="AE141" s="34">
        <v>0</v>
      </c>
      <c r="AF141" s="57">
        <v>0</v>
      </c>
      <c r="AG141" s="34">
        <v>0</v>
      </c>
      <c r="AH141" s="34">
        <v>0</v>
      </c>
      <c r="AI141" s="58">
        <f t="shared" si="8"/>
        <v>0</v>
      </c>
      <c r="AJ141" s="31" t="s">
        <v>312</v>
      </c>
      <c r="BE141" s="113"/>
    </row>
    <row r="142" spans="2:57" s="47" customFormat="1" ht="25">
      <c r="B142" s="43" t="s">
        <v>112</v>
      </c>
      <c r="C142" s="43" t="s">
        <v>612</v>
      </c>
      <c r="D142" s="43" t="s">
        <v>613</v>
      </c>
      <c r="E142" s="40" t="s">
        <v>611</v>
      </c>
      <c r="F142" s="43" t="s">
        <v>59</v>
      </c>
      <c r="G142" s="43" t="s">
        <v>34</v>
      </c>
      <c r="H142" s="46" t="s">
        <v>262</v>
      </c>
      <c r="I142" s="44">
        <v>32510</v>
      </c>
      <c r="J142" s="45"/>
      <c r="K142" s="43" t="s">
        <v>273</v>
      </c>
      <c r="L142" s="45" t="s">
        <v>35</v>
      </c>
      <c r="M142" s="45"/>
      <c r="N142" s="41"/>
      <c r="O142" s="63" t="s">
        <v>307</v>
      </c>
      <c r="P142" s="41">
        <v>0</v>
      </c>
      <c r="Q142" s="40"/>
      <c r="R142" s="52" t="s">
        <v>307</v>
      </c>
      <c r="S142" s="52" t="s">
        <v>307</v>
      </c>
      <c r="T142" s="52" t="s">
        <v>307</v>
      </c>
      <c r="U142" s="53">
        <v>0</v>
      </c>
      <c r="V142" s="53">
        <v>0</v>
      </c>
      <c r="W142" s="54">
        <v>0</v>
      </c>
      <c r="X142" s="38">
        <v>0</v>
      </c>
      <c r="Y142" s="38">
        <v>0</v>
      </c>
      <c r="Z142" s="55">
        <f t="shared" si="7"/>
        <v>0</v>
      </c>
      <c r="AA142" s="38">
        <v>0</v>
      </c>
      <c r="AB142" s="32"/>
      <c r="AC142" s="34">
        <v>0</v>
      </c>
      <c r="AD142" s="34">
        <v>0</v>
      </c>
      <c r="AE142" s="34">
        <v>0</v>
      </c>
      <c r="AF142" s="57">
        <v>0</v>
      </c>
      <c r="AG142" s="34">
        <v>0</v>
      </c>
      <c r="AH142" s="34">
        <v>0</v>
      </c>
      <c r="AI142" s="58">
        <f t="shared" si="8"/>
        <v>0</v>
      </c>
      <c r="AJ142" s="31" t="s">
        <v>312</v>
      </c>
      <c r="BE142" s="113"/>
    </row>
    <row r="143" spans="2:57" s="47" customFormat="1" ht="25">
      <c r="B143" s="43" t="s">
        <v>112</v>
      </c>
      <c r="C143" s="43" t="s">
        <v>615</v>
      </c>
      <c r="D143" s="43" t="s">
        <v>616</v>
      </c>
      <c r="E143" s="40" t="s">
        <v>614</v>
      </c>
      <c r="F143" s="43" t="s">
        <v>59</v>
      </c>
      <c r="G143" s="43" t="s">
        <v>34</v>
      </c>
      <c r="H143" s="46" t="s">
        <v>262</v>
      </c>
      <c r="I143" s="44">
        <v>37702</v>
      </c>
      <c r="J143" s="45"/>
      <c r="K143" s="43" t="s">
        <v>273</v>
      </c>
      <c r="L143" s="45" t="s">
        <v>35</v>
      </c>
      <c r="M143" s="45"/>
      <c r="N143" s="41"/>
      <c r="O143" s="63" t="s">
        <v>307</v>
      </c>
      <c r="P143" s="41">
        <v>0</v>
      </c>
      <c r="Q143" s="40"/>
      <c r="R143" s="52" t="s">
        <v>307</v>
      </c>
      <c r="S143" s="52" t="s">
        <v>307</v>
      </c>
      <c r="T143" s="52" t="s">
        <v>307</v>
      </c>
      <c r="U143" s="53">
        <v>0</v>
      </c>
      <c r="V143" s="53">
        <v>0</v>
      </c>
      <c r="W143" s="54">
        <v>0</v>
      </c>
      <c r="X143" s="38">
        <v>0</v>
      </c>
      <c r="Y143" s="38">
        <v>0</v>
      </c>
      <c r="Z143" s="55">
        <f t="shared" si="7"/>
        <v>0</v>
      </c>
      <c r="AA143" s="38">
        <v>0</v>
      </c>
      <c r="AB143" s="32"/>
      <c r="AC143" s="34">
        <v>0</v>
      </c>
      <c r="AD143" s="34">
        <v>0</v>
      </c>
      <c r="AE143" s="34">
        <v>0</v>
      </c>
      <c r="AF143" s="57">
        <v>0</v>
      </c>
      <c r="AG143" s="34">
        <v>0</v>
      </c>
      <c r="AH143" s="34">
        <v>0</v>
      </c>
      <c r="AI143" s="58">
        <f t="shared" si="8"/>
        <v>0</v>
      </c>
      <c r="AJ143" s="31" t="s">
        <v>312</v>
      </c>
      <c r="BE143" s="113"/>
    </row>
    <row r="144" spans="2:57" s="47" customFormat="1" ht="25">
      <c r="B144" s="43" t="s">
        <v>112</v>
      </c>
      <c r="C144" s="43" t="s">
        <v>618</v>
      </c>
      <c r="D144" s="43" t="s">
        <v>425</v>
      </c>
      <c r="E144" s="40" t="s">
        <v>617</v>
      </c>
      <c r="F144" s="43" t="s">
        <v>59</v>
      </c>
      <c r="G144" s="43" t="s">
        <v>34</v>
      </c>
      <c r="H144" s="46" t="s">
        <v>262</v>
      </c>
      <c r="I144" s="44"/>
      <c r="J144" s="45">
        <v>15000</v>
      </c>
      <c r="K144" s="43" t="s">
        <v>273</v>
      </c>
      <c r="L144" s="45" t="s">
        <v>35</v>
      </c>
      <c r="M144" s="45"/>
      <c r="N144" s="41"/>
      <c r="O144" s="63" t="s">
        <v>307</v>
      </c>
      <c r="P144" s="41">
        <v>0</v>
      </c>
      <c r="Q144" s="40"/>
      <c r="R144" s="52" t="s">
        <v>307</v>
      </c>
      <c r="S144" s="52" t="s">
        <v>307</v>
      </c>
      <c r="T144" s="52" t="s">
        <v>307</v>
      </c>
      <c r="U144" s="53">
        <v>0</v>
      </c>
      <c r="V144" s="53">
        <v>0</v>
      </c>
      <c r="W144" s="54">
        <v>0</v>
      </c>
      <c r="X144" s="38">
        <v>0</v>
      </c>
      <c r="Y144" s="38">
        <v>0</v>
      </c>
      <c r="Z144" s="55">
        <f t="shared" si="7"/>
        <v>0</v>
      </c>
      <c r="AA144" s="38">
        <v>0</v>
      </c>
      <c r="AB144" s="32"/>
      <c r="AC144" s="34">
        <v>0</v>
      </c>
      <c r="AD144" s="34">
        <v>0</v>
      </c>
      <c r="AE144" s="34">
        <v>0</v>
      </c>
      <c r="AF144" s="57">
        <v>0</v>
      </c>
      <c r="AG144" s="34">
        <v>0</v>
      </c>
      <c r="AH144" s="34">
        <v>0</v>
      </c>
      <c r="AI144" s="58">
        <f t="shared" si="8"/>
        <v>0</v>
      </c>
      <c r="AJ144" s="31" t="s">
        <v>312</v>
      </c>
      <c r="BE144" s="113"/>
    </row>
    <row r="145" spans="2:57" s="47" customFormat="1" ht="25">
      <c r="B145" s="43" t="s">
        <v>112</v>
      </c>
      <c r="C145" s="43" t="s">
        <v>472</v>
      </c>
      <c r="D145" s="43" t="s">
        <v>620</v>
      </c>
      <c r="E145" s="40" t="s">
        <v>619</v>
      </c>
      <c r="F145" s="43" t="s">
        <v>59</v>
      </c>
      <c r="G145" s="43" t="s">
        <v>34</v>
      </c>
      <c r="H145" s="46" t="s">
        <v>262</v>
      </c>
      <c r="I145" s="44"/>
      <c r="J145" s="45">
        <v>15000</v>
      </c>
      <c r="K145" s="43" t="s">
        <v>273</v>
      </c>
      <c r="L145" s="45" t="s">
        <v>35</v>
      </c>
      <c r="M145" s="45"/>
      <c r="N145" s="41"/>
      <c r="O145" s="63" t="s">
        <v>307</v>
      </c>
      <c r="P145" s="41">
        <v>0</v>
      </c>
      <c r="Q145" s="40"/>
      <c r="R145" s="52" t="s">
        <v>307</v>
      </c>
      <c r="S145" s="52" t="s">
        <v>307</v>
      </c>
      <c r="T145" s="52" t="s">
        <v>307</v>
      </c>
      <c r="U145" s="53">
        <v>0</v>
      </c>
      <c r="V145" s="53">
        <v>0</v>
      </c>
      <c r="W145" s="54">
        <v>0</v>
      </c>
      <c r="X145" s="38">
        <v>0</v>
      </c>
      <c r="Y145" s="38">
        <v>0</v>
      </c>
      <c r="Z145" s="55">
        <f t="shared" si="7"/>
        <v>0</v>
      </c>
      <c r="AA145" s="38">
        <v>0</v>
      </c>
      <c r="AB145" s="32"/>
      <c r="AC145" s="34">
        <v>0</v>
      </c>
      <c r="AD145" s="34">
        <v>0</v>
      </c>
      <c r="AE145" s="34">
        <v>0</v>
      </c>
      <c r="AF145" s="57">
        <v>0</v>
      </c>
      <c r="AG145" s="34">
        <v>0</v>
      </c>
      <c r="AH145" s="34">
        <v>0</v>
      </c>
      <c r="AI145" s="58">
        <f t="shared" si="8"/>
        <v>0</v>
      </c>
      <c r="AJ145" s="31" t="s">
        <v>312</v>
      </c>
      <c r="BE145" s="113"/>
    </row>
    <row r="146" spans="2:238" s="33" customFormat="1" ht="29.25" customHeight="1">
      <c r="B146" s="43" t="s">
        <v>112</v>
      </c>
      <c r="C146" s="43" t="s">
        <v>414</v>
      </c>
      <c r="D146" s="43" t="s">
        <v>622</v>
      </c>
      <c r="E146" s="40" t="s">
        <v>621</v>
      </c>
      <c r="F146" s="43" t="s">
        <v>58</v>
      </c>
      <c r="G146" s="43" t="s">
        <v>34</v>
      </c>
      <c r="H146" s="46" t="s">
        <v>262</v>
      </c>
      <c r="I146" s="45">
        <v>0</v>
      </c>
      <c r="J146" s="45">
        <v>15000</v>
      </c>
      <c r="K146" s="43" t="s">
        <v>273</v>
      </c>
      <c r="L146" s="45" t="s">
        <v>35</v>
      </c>
      <c r="M146" s="43"/>
      <c r="N146" s="51"/>
      <c r="O146" s="63" t="s">
        <v>307</v>
      </c>
      <c r="P146" s="41">
        <v>0</v>
      </c>
      <c r="Q146" s="40" t="s">
        <v>308</v>
      </c>
      <c r="R146" s="52" t="s">
        <v>307</v>
      </c>
      <c r="S146" s="52" t="s">
        <v>307</v>
      </c>
      <c r="T146" s="52" t="s">
        <v>307</v>
      </c>
      <c r="U146" s="53">
        <v>0</v>
      </c>
      <c r="V146" s="53">
        <v>0</v>
      </c>
      <c r="W146" s="54">
        <v>0</v>
      </c>
      <c r="X146" s="38">
        <v>0</v>
      </c>
      <c r="Y146" s="38">
        <v>0</v>
      </c>
      <c r="Z146" s="55">
        <f>+AA146-W146-X146+Y146</f>
        <v>0</v>
      </c>
      <c r="AA146" s="38">
        <v>0</v>
      </c>
      <c r="AB146" s="32"/>
      <c r="AC146" s="34">
        <v>0</v>
      </c>
      <c r="AD146" s="34">
        <v>0</v>
      </c>
      <c r="AE146" s="34">
        <v>0</v>
      </c>
      <c r="AF146" s="57">
        <v>0</v>
      </c>
      <c r="AG146" s="34">
        <v>0</v>
      </c>
      <c r="AH146" s="34">
        <v>0</v>
      </c>
      <c r="AI146" s="58">
        <f>+AF146+AG146-AH146</f>
        <v>0</v>
      </c>
      <c r="AJ146" s="31" t="s">
        <v>309</v>
      </c>
      <c r="AK146" s="39"/>
      <c r="AL146" s="43"/>
      <c r="AM146" s="39"/>
      <c r="AN146" s="39"/>
      <c r="AO146" s="39"/>
      <c r="AP146" s="39"/>
      <c r="AQ146" s="39"/>
      <c r="AR146" s="39"/>
      <c r="AS146" s="39"/>
      <c r="AT146" s="39"/>
      <c r="AU146" s="39"/>
      <c r="AV146" s="39"/>
      <c r="AW146" s="39"/>
      <c r="AX146" s="39"/>
      <c r="AY146" s="39"/>
      <c r="AZ146" s="39"/>
      <c r="BA146" s="39"/>
      <c r="BB146" s="39"/>
      <c r="BC146" s="39"/>
      <c r="BD146" s="39"/>
      <c r="BE146" s="113"/>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row>
    <row r="147" spans="2:238" s="102" customFormat="1" ht="29.25" customHeight="1">
      <c r="B147" s="43" t="s">
        <v>112</v>
      </c>
      <c r="C147" s="104" t="s">
        <v>287</v>
      </c>
      <c r="D147" s="43" t="s">
        <v>286</v>
      </c>
      <c r="E147" s="40" t="s">
        <v>623</v>
      </c>
      <c r="F147" s="43" t="s">
        <v>63</v>
      </c>
      <c r="G147" s="43" t="s">
        <v>34</v>
      </c>
      <c r="H147" s="46" t="s">
        <v>262</v>
      </c>
      <c r="I147" s="45">
        <v>0</v>
      </c>
      <c r="J147" s="45">
        <f>48784272/B153</f>
        <v>104714.24401133339</v>
      </c>
      <c r="K147" s="43" t="s">
        <v>273</v>
      </c>
      <c r="L147" s="45" t="s">
        <v>35</v>
      </c>
      <c r="M147" s="43"/>
      <c r="N147" s="51"/>
      <c r="O147" s="63" t="s">
        <v>307</v>
      </c>
      <c r="P147" s="42">
        <v>0</v>
      </c>
      <c r="Q147" s="40" t="s">
        <v>624</v>
      </c>
      <c r="R147" s="52" t="s">
        <v>307</v>
      </c>
      <c r="S147" s="52" t="s">
        <v>307</v>
      </c>
      <c r="T147" s="52" t="s">
        <v>307</v>
      </c>
      <c r="U147" s="53">
        <v>0</v>
      </c>
      <c r="V147" s="53">
        <v>0</v>
      </c>
      <c r="W147" s="54">
        <v>0</v>
      </c>
      <c r="X147" s="38">
        <v>0</v>
      </c>
      <c r="Y147" s="38">
        <v>0</v>
      </c>
      <c r="Z147" s="55">
        <f>+AA147-W147-X147+Y147</f>
        <v>0</v>
      </c>
      <c r="AA147" s="38">
        <v>0</v>
      </c>
      <c r="AB147" s="32"/>
      <c r="AC147" s="34">
        <v>0</v>
      </c>
      <c r="AD147" s="34">
        <v>0</v>
      </c>
      <c r="AE147" s="34">
        <v>0</v>
      </c>
      <c r="AF147" s="57">
        <v>0</v>
      </c>
      <c r="AG147" s="34">
        <v>0</v>
      </c>
      <c r="AH147" s="34">
        <v>0</v>
      </c>
      <c r="AI147" s="58">
        <f>+AF147+AG147-AH147</f>
        <v>0</v>
      </c>
      <c r="AJ147" s="31" t="s">
        <v>309</v>
      </c>
      <c r="AK147" s="101"/>
      <c r="AL147" s="100"/>
      <c r="AM147" s="101"/>
      <c r="AN147" s="101"/>
      <c r="AO147" s="101"/>
      <c r="AP147" s="101"/>
      <c r="AQ147" s="101"/>
      <c r="AR147" s="101"/>
      <c r="AS147" s="101"/>
      <c r="AT147" s="101"/>
      <c r="AU147" s="101"/>
      <c r="AV147" s="101"/>
      <c r="AW147" s="101"/>
      <c r="AX147" s="101"/>
      <c r="AY147" s="101"/>
      <c r="AZ147" s="101"/>
      <c r="BA147" s="101"/>
      <c r="BB147" s="101"/>
      <c r="BC147" s="101"/>
      <c r="BD147" s="101"/>
      <c r="BE147" s="114"/>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row>
    <row r="148" spans="2:238" s="102" customFormat="1" ht="29.25" customHeight="1">
      <c r="B148" s="43" t="s">
        <v>112</v>
      </c>
      <c r="C148" s="43" t="s">
        <v>571</v>
      </c>
      <c r="D148" s="43" t="s">
        <v>507</v>
      </c>
      <c r="E148" s="40" t="s">
        <v>579</v>
      </c>
      <c r="F148" s="43" t="s">
        <v>63</v>
      </c>
      <c r="G148" s="43" t="s">
        <v>34</v>
      </c>
      <c r="H148" s="46" t="s">
        <v>262</v>
      </c>
      <c r="I148" s="45">
        <v>0</v>
      </c>
      <c r="J148" s="45">
        <v>15000</v>
      </c>
      <c r="K148" s="43" t="s">
        <v>273</v>
      </c>
      <c r="L148" s="45" t="s">
        <v>35</v>
      </c>
      <c r="M148" s="43" t="s">
        <v>41</v>
      </c>
      <c r="N148" s="41"/>
      <c r="O148" s="63" t="s">
        <v>307</v>
      </c>
      <c r="P148" s="41">
        <v>0</v>
      </c>
      <c r="Q148" s="40"/>
      <c r="R148" s="52">
        <v>705023</v>
      </c>
      <c r="S148" s="86">
        <v>40802</v>
      </c>
      <c r="T148" s="52" t="s">
        <v>625</v>
      </c>
      <c r="U148" s="53">
        <f>6402000/B153</f>
        <v>13741.736069374088</v>
      </c>
      <c r="V148" s="53">
        <f>U148*10/365</f>
        <v>376.4859197088792</v>
      </c>
      <c r="W148" s="54">
        <v>0</v>
      </c>
      <c r="X148" s="38">
        <v>0</v>
      </c>
      <c r="Y148" s="38">
        <v>0</v>
      </c>
      <c r="Z148" s="55">
        <f>+AA148-W148-X148+Y148</f>
        <v>0</v>
      </c>
      <c r="AA148" s="38">
        <v>0</v>
      </c>
      <c r="AB148" s="32"/>
      <c r="AC148" s="34">
        <v>0</v>
      </c>
      <c r="AD148" s="34">
        <v>0</v>
      </c>
      <c r="AE148" s="34">
        <v>0</v>
      </c>
      <c r="AF148" s="57">
        <v>0</v>
      </c>
      <c r="AG148" s="34">
        <v>0</v>
      </c>
      <c r="AH148" s="34">
        <v>0</v>
      </c>
      <c r="AI148" s="58">
        <f>+AF148+AG148-AH148</f>
        <v>0</v>
      </c>
      <c r="AJ148" s="31" t="s">
        <v>626</v>
      </c>
      <c r="AK148" s="101"/>
      <c r="AL148" s="100"/>
      <c r="AM148" s="101"/>
      <c r="AN148" s="101"/>
      <c r="AO148" s="101"/>
      <c r="AP148" s="101"/>
      <c r="AQ148" s="101"/>
      <c r="AR148" s="101"/>
      <c r="AS148" s="101"/>
      <c r="AT148" s="101"/>
      <c r="AU148" s="101"/>
      <c r="AV148" s="101"/>
      <c r="AW148" s="101"/>
      <c r="AX148" s="101"/>
      <c r="AY148" s="101"/>
      <c r="AZ148" s="101"/>
      <c r="BA148" s="101"/>
      <c r="BB148" s="101"/>
      <c r="BC148" s="101"/>
      <c r="BD148" s="101"/>
      <c r="BE148" s="114"/>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row>
    <row r="149" spans="1:57" s="36" customFormat="1" ht="18">
      <c r="A149" s="278" t="s">
        <v>290</v>
      </c>
      <c r="B149" s="279"/>
      <c r="C149" s="279"/>
      <c r="D149" s="279"/>
      <c r="E149" s="279"/>
      <c r="F149" s="279"/>
      <c r="G149" s="279"/>
      <c r="H149" s="279"/>
      <c r="I149" s="279"/>
      <c r="J149" s="279"/>
      <c r="K149" s="279"/>
      <c r="L149" s="279"/>
      <c r="M149" s="280"/>
      <c r="N149" s="105">
        <f>SUM(N112:N148)</f>
        <v>0</v>
      </c>
      <c r="O149" s="96"/>
      <c r="P149" s="105">
        <f>SUM(P112:P148)</f>
        <v>43653.48603760625</v>
      </c>
      <c r="Q149" s="96"/>
      <c r="R149" s="96"/>
      <c r="S149" s="96"/>
      <c r="T149" s="96"/>
      <c r="U149" s="105">
        <f>SUM(U112:U148)</f>
        <v>98805.02606937409</v>
      </c>
      <c r="V149" s="105">
        <f>SUM(V112:V148)</f>
        <v>85439.77591970887</v>
      </c>
      <c r="W149" s="105">
        <f>SUM(W112:W148)</f>
        <v>138797.2666652464</v>
      </c>
      <c r="X149" s="105">
        <f>SUM(X112:X147)</f>
        <v>0</v>
      </c>
      <c r="Y149" s="105">
        <f>SUM(Y112:Y147)</f>
        <v>0</v>
      </c>
      <c r="Z149" s="105">
        <f>SUM(Z112:Z148)</f>
        <v>1045.7165063857974</v>
      </c>
      <c r="AA149" s="105">
        <f>SUM(AA112:AA148)</f>
        <v>139842.9831716322</v>
      </c>
      <c r="AB149" s="96"/>
      <c r="AC149" s="105">
        <f>SUM(AC112:AC148)</f>
        <v>131316.4876141334</v>
      </c>
      <c r="AD149" s="97"/>
      <c r="AE149" s="105">
        <f>SUM(AE112:AE148)</f>
        <v>131316.44</v>
      </c>
      <c r="AF149" s="105">
        <f>SUM(AF112:AF148)</f>
        <v>0</v>
      </c>
      <c r="AG149" s="105">
        <f>SUM(AG112:AG148)</f>
        <v>0</v>
      </c>
      <c r="AH149" s="105">
        <f>SUM(AH112:AH148)</f>
        <v>0</v>
      </c>
      <c r="AI149" s="105">
        <f>SUM(AI112:AI148)</f>
        <v>0</v>
      </c>
      <c r="AJ149" s="98"/>
      <c r="BE149" s="113"/>
    </row>
    <row r="150" spans="1:57" s="36" customFormat="1" ht="18">
      <c r="A150" s="281" t="s">
        <v>291</v>
      </c>
      <c r="B150" s="282"/>
      <c r="C150" s="282"/>
      <c r="D150" s="282"/>
      <c r="E150" s="282"/>
      <c r="F150" s="282"/>
      <c r="G150" s="282"/>
      <c r="H150" s="282"/>
      <c r="I150" s="282"/>
      <c r="J150" s="282"/>
      <c r="K150" s="282"/>
      <c r="L150" s="282"/>
      <c r="M150" s="283"/>
      <c r="N150" s="106" t="e">
        <f>N149+#REF!</f>
        <v>#REF!</v>
      </c>
      <c r="O150" s="107"/>
      <c r="P150" s="106" t="e">
        <f>P149+#REF!</f>
        <v>#REF!</v>
      </c>
      <c r="Q150" s="107"/>
      <c r="R150" s="107"/>
      <c r="S150" s="107"/>
      <c r="T150" s="107"/>
      <c r="U150" s="106" t="e">
        <f>U149+#REF!</f>
        <v>#REF!</v>
      </c>
      <c r="V150" s="106" t="e">
        <f>V149+#REF!</f>
        <v>#REF!</v>
      </c>
      <c r="W150" s="106" t="e">
        <f>W149+#REF!</f>
        <v>#REF!</v>
      </c>
      <c r="X150" s="106" t="e">
        <f>X149+#REF!</f>
        <v>#REF!</v>
      </c>
      <c r="Y150" s="106" t="e">
        <f>Y149+#REF!</f>
        <v>#REF!</v>
      </c>
      <c r="Z150" s="106" t="e">
        <f>Z149+#REF!</f>
        <v>#REF!</v>
      </c>
      <c r="AA150" s="106" t="e">
        <f>AA149+#REF!</f>
        <v>#REF!</v>
      </c>
      <c r="AB150" s="107"/>
      <c r="AC150" s="106" t="e">
        <f>AC149+#REF!</f>
        <v>#REF!</v>
      </c>
      <c r="AD150" s="108"/>
      <c r="AE150" s="106" t="e">
        <f>AE149+#REF!</f>
        <v>#REF!</v>
      </c>
      <c r="AF150" s="106" t="e">
        <f>AF149+#REF!</f>
        <v>#REF!</v>
      </c>
      <c r="AG150" s="106" t="e">
        <f>AG149+#REF!</f>
        <v>#REF!</v>
      </c>
      <c r="AH150" s="106" t="e">
        <f>AH149+#REF!</f>
        <v>#REF!</v>
      </c>
      <c r="AI150" s="106" t="e">
        <f>AI149+#REF!</f>
        <v>#REF!</v>
      </c>
      <c r="AJ150" s="109"/>
      <c r="BE150" s="113"/>
    </row>
    <row r="151" spans="1:36" s="35" customFormat="1" ht="12.75">
      <c r="A151" s="73"/>
      <c r="B151" s="73"/>
      <c r="J151" s="74"/>
      <c r="M151" s="74"/>
      <c r="N151" s="74"/>
      <c r="V151" s="74"/>
      <c r="W151" s="74"/>
      <c r="X151" s="74"/>
      <c r="AA151" s="74"/>
      <c r="AD151" s="74"/>
      <c r="AE151" s="74"/>
      <c r="AF151" s="74"/>
      <c r="AG151" s="74"/>
      <c r="AJ151" s="75"/>
    </row>
    <row r="152" spans="1:36" s="35" customFormat="1" ht="12.75">
      <c r="A152" s="73"/>
      <c r="B152" s="73"/>
      <c r="J152" s="74"/>
      <c r="M152" s="74"/>
      <c r="N152" s="74"/>
      <c r="V152" s="74"/>
      <c r="W152" s="74"/>
      <c r="X152" s="74"/>
      <c r="AA152" s="74"/>
      <c r="AD152" s="74"/>
      <c r="AE152" s="74"/>
      <c r="AF152" s="74"/>
      <c r="AG152" s="74"/>
      <c r="AJ152" s="75"/>
    </row>
    <row r="153" spans="1:36" s="35" customFormat="1" ht="12.75">
      <c r="A153" s="73" t="s">
        <v>283</v>
      </c>
      <c r="B153" s="73">
        <v>465.88</v>
      </c>
      <c r="J153" s="74"/>
      <c r="M153" s="74"/>
      <c r="N153" s="74"/>
      <c r="V153" s="74"/>
      <c r="W153" s="74"/>
      <c r="X153" s="74"/>
      <c r="AA153" s="74"/>
      <c r="AD153" s="74"/>
      <c r="AE153" s="74"/>
      <c r="AF153" s="74"/>
      <c r="AG153" s="74"/>
      <c r="AJ153" s="75"/>
    </row>
    <row r="154" spans="1:36" s="35" customFormat="1" ht="12.75">
      <c r="A154" s="76"/>
      <c r="B154" s="73" t="s">
        <v>282</v>
      </c>
      <c r="J154" s="74"/>
      <c r="M154" s="74"/>
      <c r="N154" s="74"/>
      <c r="V154" s="74"/>
      <c r="W154" s="74"/>
      <c r="X154" s="74"/>
      <c r="AA154" s="74"/>
      <c r="AD154" s="74"/>
      <c r="AE154" s="74"/>
      <c r="AF154" s="74"/>
      <c r="AG154" s="74"/>
      <c r="AJ154" s="75"/>
    </row>
    <row r="155" spans="1:36" s="35" customFormat="1" ht="12.75">
      <c r="A155" s="73"/>
      <c r="B155" s="73"/>
      <c r="J155" s="74"/>
      <c r="M155" s="74"/>
      <c r="N155" s="74"/>
      <c r="V155" s="74"/>
      <c r="W155" s="74"/>
      <c r="X155" s="74"/>
      <c r="AA155" s="74"/>
      <c r="AD155" s="74"/>
      <c r="AE155" s="74"/>
      <c r="AF155" s="74"/>
      <c r="AG155" s="74"/>
      <c r="AJ155" s="75"/>
    </row>
    <row r="156" spans="1:36" s="35" customFormat="1" ht="12.75">
      <c r="A156" s="73"/>
      <c r="B156" s="73"/>
      <c r="J156" s="74"/>
      <c r="M156" s="74"/>
      <c r="N156" s="74"/>
      <c r="V156" s="74"/>
      <c r="W156" s="74"/>
      <c r="X156" s="74"/>
      <c r="AA156" s="74"/>
      <c r="AD156" s="74"/>
      <c r="AE156" s="74"/>
      <c r="AF156" s="74"/>
      <c r="AG156" s="74"/>
      <c r="AJ156" s="75"/>
    </row>
    <row r="157" spans="1:36" s="35" customFormat="1" ht="12.75">
      <c r="A157" s="73"/>
      <c r="B157" s="73"/>
      <c r="J157" s="74"/>
      <c r="M157" s="74"/>
      <c r="N157" s="74"/>
      <c r="V157" s="74"/>
      <c r="W157" s="74"/>
      <c r="X157" s="74"/>
      <c r="AA157" s="74"/>
      <c r="AD157" s="74"/>
      <c r="AE157" s="74"/>
      <c r="AF157" s="74"/>
      <c r="AG157" s="74"/>
      <c r="AJ157" s="75"/>
    </row>
    <row r="158" spans="1:36" s="35" customFormat="1" ht="12.75">
      <c r="A158" s="73"/>
      <c r="B158" s="73"/>
      <c r="J158" s="74"/>
      <c r="M158" s="74"/>
      <c r="N158" s="74"/>
      <c r="V158" s="74"/>
      <c r="W158" s="74"/>
      <c r="X158" s="74"/>
      <c r="AA158" s="74"/>
      <c r="AD158" s="74"/>
      <c r="AE158" s="74"/>
      <c r="AF158" s="74"/>
      <c r="AG158" s="74"/>
      <c r="AJ158" s="75"/>
    </row>
    <row r="159" spans="1:36" s="35" customFormat="1" ht="12.75">
      <c r="A159" s="73"/>
      <c r="B159" s="73"/>
      <c r="J159" s="74"/>
      <c r="M159" s="74"/>
      <c r="N159" s="74"/>
      <c r="V159" s="74"/>
      <c r="W159" s="74"/>
      <c r="X159" s="74"/>
      <c r="AA159" s="74"/>
      <c r="AD159" s="74"/>
      <c r="AE159" s="74"/>
      <c r="AF159" s="74"/>
      <c r="AG159" s="74"/>
      <c r="AJ159" s="75"/>
    </row>
    <row r="160" spans="1:36" s="35" customFormat="1" ht="12.75">
      <c r="A160" s="73"/>
      <c r="B160" s="73"/>
      <c r="J160" s="74"/>
      <c r="M160" s="74"/>
      <c r="N160" s="74"/>
      <c r="V160" s="74"/>
      <c r="W160" s="74"/>
      <c r="X160" s="74"/>
      <c r="AA160" s="74"/>
      <c r="AD160" s="74"/>
      <c r="AE160" s="74"/>
      <c r="AF160" s="74"/>
      <c r="AG160" s="74"/>
      <c r="AJ160" s="75"/>
    </row>
    <row r="161" spans="1:36" s="35" customFormat="1" ht="12.75">
      <c r="A161" s="73"/>
      <c r="B161" s="73"/>
      <c r="J161" s="74"/>
      <c r="M161" s="74"/>
      <c r="N161" s="74"/>
      <c r="V161" s="74"/>
      <c r="W161" s="74"/>
      <c r="X161" s="74"/>
      <c r="AA161" s="74"/>
      <c r="AD161" s="74"/>
      <c r="AE161" s="74"/>
      <c r="AF161" s="74"/>
      <c r="AG161" s="74"/>
      <c r="AJ161" s="75"/>
    </row>
    <row r="162" spans="1:36" s="35" customFormat="1" ht="12.75">
      <c r="A162" s="73"/>
      <c r="B162" s="73"/>
      <c r="J162" s="74"/>
      <c r="M162" s="74"/>
      <c r="N162" s="74"/>
      <c r="V162" s="74"/>
      <c r="W162" s="74"/>
      <c r="X162" s="74"/>
      <c r="AA162" s="74"/>
      <c r="AD162" s="74"/>
      <c r="AE162" s="74"/>
      <c r="AF162" s="74"/>
      <c r="AG162" s="74"/>
      <c r="AJ162" s="75"/>
    </row>
    <row r="163" spans="1:36" s="35" customFormat="1" ht="12.75">
      <c r="A163" s="73"/>
      <c r="B163" s="73"/>
      <c r="J163" s="74"/>
      <c r="M163" s="74"/>
      <c r="N163" s="74"/>
      <c r="V163" s="74"/>
      <c r="W163" s="74"/>
      <c r="X163" s="74"/>
      <c r="AA163" s="74"/>
      <c r="AD163" s="74"/>
      <c r="AE163" s="74"/>
      <c r="AF163" s="74"/>
      <c r="AG163" s="74"/>
      <c r="AJ163" s="75"/>
    </row>
    <row r="164" spans="1:36" s="35" customFormat="1" ht="12.75">
      <c r="A164" s="73"/>
      <c r="B164" s="73"/>
      <c r="J164" s="74"/>
      <c r="M164" s="74"/>
      <c r="N164" s="74"/>
      <c r="V164" s="74"/>
      <c r="W164" s="74"/>
      <c r="X164" s="74"/>
      <c r="AA164" s="74"/>
      <c r="AD164" s="74"/>
      <c r="AE164" s="74"/>
      <c r="AF164" s="74"/>
      <c r="AG164" s="74"/>
      <c r="AJ164" s="75"/>
    </row>
    <row r="165" spans="1:36" s="35" customFormat="1" ht="12.75">
      <c r="A165" s="73"/>
      <c r="B165" s="73"/>
      <c r="J165" s="74"/>
      <c r="M165" s="74"/>
      <c r="N165" s="74"/>
      <c r="V165" s="74"/>
      <c r="W165" s="74"/>
      <c r="X165" s="74"/>
      <c r="AA165" s="74"/>
      <c r="AD165" s="74"/>
      <c r="AE165" s="74"/>
      <c r="AF165" s="74"/>
      <c r="AG165" s="74"/>
      <c r="AJ165" s="75"/>
    </row>
    <row r="166" spans="1:36" s="35" customFormat="1" ht="12.75">
      <c r="A166" s="73"/>
      <c r="B166" s="73"/>
      <c r="J166" s="74"/>
      <c r="M166" s="74"/>
      <c r="N166" s="74"/>
      <c r="V166" s="74"/>
      <c r="W166" s="74"/>
      <c r="X166" s="74"/>
      <c r="AA166" s="74"/>
      <c r="AD166" s="74"/>
      <c r="AE166" s="74"/>
      <c r="AF166" s="74"/>
      <c r="AG166" s="74"/>
      <c r="AJ166" s="75"/>
    </row>
    <row r="167" spans="1:36" s="35" customFormat="1" ht="12.75">
      <c r="A167" s="73"/>
      <c r="B167" s="73"/>
      <c r="J167" s="74"/>
      <c r="M167" s="74"/>
      <c r="N167" s="74"/>
      <c r="V167" s="74"/>
      <c r="W167" s="74"/>
      <c r="X167" s="74"/>
      <c r="AA167" s="74"/>
      <c r="AD167" s="74"/>
      <c r="AE167" s="74"/>
      <c r="AF167" s="74"/>
      <c r="AG167" s="74"/>
      <c r="AJ167" s="75"/>
    </row>
    <row r="168" spans="1:36" s="35" customFormat="1" ht="12.75">
      <c r="A168" s="73"/>
      <c r="B168" s="73"/>
      <c r="J168" s="74"/>
      <c r="M168" s="74"/>
      <c r="N168" s="74"/>
      <c r="V168" s="74"/>
      <c r="W168" s="74"/>
      <c r="X168" s="74"/>
      <c r="AA168" s="74"/>
      <c r="AD168" s="74"/>
      <c r="AE168" s="74"/>
      <c r="AF168" s="74"/>
      <c r="AG168" s="74"/>
      <c r="AJ168" s="75"/>
    </row>
    <row r="169" spans="1:36" s="35" customFormat="1" ht="12.75">
      <c r="A169" s="73"/>
      <c r="B169" s="73"/>
      <c r="J169" s="74"/>
      <c r="M169" s="74"/>
      <c r="N169" s="74"/>
      <c r="V169" s="74"/>
      <c r="W169" s="74"/>
      <c r="X169" s="74"/>
      <c r="AA169" s="74"/>
      <c r="AD169" s="74"/>
      <c r="AE169" s="74"/>
      <c r="AF169" s="74"/>
      <c r="AG169" s="74"/>
      <c r="AJ169" s="75"/>
    </row>
    <row r="170" spans="1:36" s="35" customFormat="1" ht="12.75">
      <c r="A170" s="73"/>
      <c r="B170" s="73"/>
      <c r="J170" s="74"/>
      <c r="M170" s="74"/>
      <c r="N170" s="74"/>
      <c r="V170" s="74"/>
      <c r="W170" s="74"/>
      <c r="X170" s="74"/>
      <c r="AA170" s="74"/>
      <c r="AD170" s="74"/>
      <c r="AE170" s="74"/>
      <c r="AF170" s="74"/>
      <c r="AG170" s="74"/>
      <c r="AJ170" s="75"/>
    </row>
    <row r="171" spans="1:36" s="35" customFormat="1" ht="12.75">
      <c r="A171" s="73"/>
      <c r="B171" s="73"/>
      <c r="J171" s="74"/>
      <c r="M171" s="74"/>
      <c r="N171" s="74"/>
      <c r="V171" s="74"/>
      <c r="W171" s="74"/>
      <c r="X171" s="74"/>
      <c r="AA171" s="74"/>
      <c r="AD171" s="74"/>
      <c r="AE171" s="74"/>
      <c r="AF171" s="74"/>
      <c r="AG171" s="74"/>
      <c r="AJ171" s="75"/>
    </row>
    <row r="172" spans="1:36" s="35" customFormat="1" ht="12.75">
      <c r="A172" s="73"/>
      <c r="B172" s="73"/>
      <c r="J172" s="74"/>
      <c r="M172" s="74"/>
      <c r="N172" s="74"/>
      <c r="V172" s="74"/>
      <c r="W172" s="74"/>
      <c r="X172" s="74"/>
      <c r="AA172" s="74"/>
      <c r="AD172" s="74"/>
      <c r="AE172" s="74"/>
      <c r="AF172" s="74"/>
      <c r="AG172" s="74"/>
      <c r="AJ172" s="75"/>
    </row>
    <row r="173" spans="1:36" s="35" customFormat="1" ht="12.75">
      <c r="A173" s="73"/>
      <c r="B173" s="73"/>
      <c r="J173" s="74"/>
      <c r="M173" s="74"/>
      <c r="N173" s="74"/>
      <c r="V173" s="74"/>
      <c r="W173" s="74"/>
      <c r="X173" s="74"/>
      <c r="AA173" s="74"/>
      <c r="AD173" s="74"/>
      <c r="AE173" s="74"/>
      <c r="AF173" s="74"/>
      <c r="AG173" s="74"/>
      <c r="AJ173" s="75"/>
    </row>
    <row r="174" spans="1:36" s="35" customFormat="1" ht="12.75">
      <c r="A174" s="73"/>
      <c r="B174" s="73"/>
      <c r="J174" s="74"/>
      <c r="M174" s="74"/>
      <c r="N174" s="74"/>
      <c r="V174" s="74"/>
      <c r="W174" s="74"/>
      <c r="X174" s="74"/>
      <c r="AA174" s="74"/>
      <c r="AD174" s="74"/>
      <c r="AE174" s="74"/>
      <c r="AF174" s="74"/>
      <c r="AG174" s="74"/>
      <c r="AJ174" s="75"/>
    </row>
    <row r="175" spans="1:36" s="35" customFormat="1" ht="12.75">
      <c r="A175" s="73"/>
      <c r="B175" s="73"/>
      <c r="J175" s="74"/>
      <c r="M175" s="74"/>
      <c r="N175" s="74"/>
      <c r="V175" s="74"/>
      <c r="W175" s="74"/>
      <c r="X175" s="74"/>
      <c r="AA175" s="74"/>
      <c r="AD175" s="74"/>
      <c r="AE175" s="74"/>
      <c r="AF175" s="74"/>
      <c r="AG175" s="74"/>
      <c r="AJ175" s="75"/>
    </row>
    <row r="176" spans="1:36" s="35" customFormat="1" ht="12.75">
      <c r="A176" s="73"/>
      <c r="B176" s="73"/>
      <c r="J176" s="74"/>
      <c r="M176" s="74"/>
      <c r="N176" s="74"/>
      <c r="V176" s="74"/>
      <c r="W176" s="74"/>
      <c r="X176" s="74"/>
      <c r="AA176" s="74"/>
      <c r="AD176" s="74"/>
      <c r="AE176" s="74"/>
      <c r="AF176" s="74"/>
      <c r="AG176" s="74"/>
      <c r="AJ176" s="75"/>
    </row>
    <row r="177" spans="1:36" s="35" customFormat="1" ht="12.75">
      <c r="A177" s="73"/>
      <c r="B177" s="73"/>
      <c r="J177" s="74"/>
      <c r="M177" s="74"/>
      <c r="N177" s="74"/>
      <c r="V177" s="74"/>
      <c r="W177" s="74"/>
      <c r="X177" s="74"/>
      <c r="AA177" s="74"/>
      <c r="AD177" s="74"/>
      <c r="AE177" s="74"/>
      <c r="AF177" s="74"/>
      <c r="AG177" s="74"/>
      <c r="AJ177" s="75"/>
    </row>
    <row r="178" spans="1:36" s="35" customFormat="1" ht="12.75">
      <c r="A178" s="73"/>
      <c r="B178" s="73"/>
      <c r="J178" s="74"/>
      <c r="M178" s="74"/>
      <c r="N178" s="74"/>
      <c r="V178" s="74"/>
      <c r="W178" s="74"/>
      <c r="X178" s="74"/>
      <c r="AA178" s="74"/>
      <c r="AD178" s="74"/>
      <c r="AE178" s="74"/>
      <c r="AF178" s="74"/>
      <c r="AG178" s="74"/>
      <c r="AJ178" s="75"/>
    </row>
    <row r="179" spans="1:36" s="35" customFormat="1" ht="12.75">
      <c r="A179" s="73"/>
      <c r="B179" s="73"/>
      <c r="J179" s="74"/>
      <c r="M179" s="74"/>
      <c r="N179" s="74"/>
      <c r="V179" s="74"/>
      <c r="W179" s="74"/>
      <c r="X179" s="74"/>
      <c r="AA179" s="74"/>
      <c r="AD179" s="74"/>
      <c r="AE179" s="74"/>
      <c r="AF179" s="74"/>
      <c r="AG179" s="74"/>
      <c r="AJ179" s="75"/>
    </row>
    <row r="180" spans="1:36" s="35" customFormat="1" ht="12.75">
      <c r="A180" s="73"/>
      <c r="B180" s="73"/>
      <c r="J180" s="74"/>
      <c r="M180" s="74"/>
      <c r="N180" s="74"/>
      <c r="V180" s="74"/>
      <c r="W180" s="74"/>
      <c r="X180" s="74"/>
      <c r="AA180" s="74"/>
      <c r="AD180" s="74"/>
      <c r="AE180" s="74"/>
      <c r="AF180" s="74"/>
      <c r="AG180" s="74"/>
      <c r="AJ180" s="75"/>
    </row>
    <row r="181" spans="1:36" s="35" customFormat="1" ht="12.75">
      <c r="A181" s="73"/>
      <c r="B181" s="73"/>
      <c r="J181" s="74"/>
      <c r="M181" s="74"/>
      <c r="N181" s="74"/>
      <c r="V181" s="74"/>
      <c r="W181" s="74"/>
      <c r="X181" s="74"/>
      <c r="AA181" s="74"/>
      <c r="AD181" s="74"/>
      <c r="AE181" s="74"/>
      <c r="AF181" s="74"/>
      <c r="AG181" s="74"/>
      <c r="AJ181" s="75"/>
    </row>
    <row r="182" spans="1:36" s="35" customFormat="1" ht="12.75">
      <c r="A182" s="73"/>
      <c r="B182" s="73"/>
      <c r="J182" s="74"/>
      <c r="M182" s="74"/>
      <c r="N182" s="74"/>
      <c r="V182" s="74"/>
      <c r="W182" s="74"/>
      <c r="X182" s="74"/>
      <c r="AA182" s="74"/>
      <c r="AD182" s="74"/>
      <c r="AE182" s="74"/>
      <c r="AF182" s="74"/>
      <c r="AG182" s="74"/>
      <c r="AJ182" s="75"/>
    </row>
    <row r="183" spans="1:36" s="35" customFormat="1" ht="12.75">
      <c r="A183" s="73"/>
      <c r="B183" s="73"/>
      <c r="J183" s="74"/>
      <c r="M183" s="74"/>
      <c r="N183" s="74"/>
      <c r="V183" s="74"/>
      <c r="W183" s="74"/>
      <c r="X183" s="74"/>
      <c r="AA183" s="74"/>
      <c r="AD183" s="74"/>
      <c r="AE183" s="74"/>
      <c r="AF183" s="74"/>
      <c r="AG183" s="74"/>
      <c r="AJ183" s="75"/>
    </row>
    <row r="184" spans="1:36" s="35" customFormat="1" ht="12.75">
      <c r="A184" s="73"/>
      <c r="B184" s="73"/>
      <c r="J184" s="74"/>
      <c r="M184" s="74"/>
      <c r="N184" s="74"/>
      <c r="V184" s="74"/>
      <c r="W184" s="74"/>
      <c r="X184" s="74"/>
      <c r="AA184" s="74"/>
      <c r="AD184" s="74"/>
      <c r="AE184" s="74"/>
      <c r="AF184" s="74"/>
      <c r="AG184" s="74"/>
      <c r="AJ184" s="75"/>
    </row>
    <row r="185" spans="1:36" s="35" customFormat="1" ht="12.75">
      <c r="A185" s="73"/>
      <c r="B185" s="73"/>
      <c r="J185" s="74"/>
      <c r="M185" s="74"/>
      <c r="N185" s="74"/>
      <c r="V185" s="74"/>
      <c r="W185" s="74"/>
      <c r="X185" s="74"/>
      <c r="AA185" s="74"/>
      <c r="AD185" s="74"/>
      <c r="AE185" s="74"/>
      <c r="AF185" s="74"/>
      <c r="AG185" s="74"/>
      <c r="AJ185" s="75"/>
    </row>
    <row r="186" spans="1:36" s="35" customFormat="1" ht="12.75">
      <c r="A186" s="73"/>
      <c r="B186" s="73"/>
      <c r="J186" s="74"/>
      <c r="M186" s="74"/>
      <c r="N186" s="74"/>
      <c r="V186" s="74"/>
      <c r="W186" s="74"/>
      <c r="X186" s="74"/>
      <c r="AA186" s="74"/>
      <c r="AD186" s="74"/>
      <c r="AE186" s="74"/>
      <c r="AF186" s="74"/>
      <c r="AG186" s="74"/>
      <c r="AJ186" s="75"/>
    </row>
    <row r="187" spans="1:36" s="35" customFormat="1" ht="12.75">
      <c r="A187" s="73"/>
      <c r="B187" s="73"/>
      <c r="J187" s="74"/>
      <c r="M187" s="74"/>
      <c r="N187" s="74"/>
      <c r="V187" s="74"/>
      <c r="W187" s="74"/>
      <c r="X187" s="74"/>
      <c r="AA187" s="74"/>
      <c r="AD187" s="74"/>
      <c r="AE187" s="74"/>
      <c r="AF187" s="74"/>
      <c r="AG187" s="74"/>
      <c r="AJ187" s="75"/>
    </row>
    <row r="188" spans="1:36" s="35" customFormat="1" ht="12.75">
      <c r="A188" s="73"/>
      <c r="B188" s="73"/>
      <c r="J188" s="74"/>
      <c r="M188" s="74"/>
      <c r="N188" s="74"/>
      <c r="V188" s="74"/>
      <c r="W188" s="74"/>
      <c r="X188" s="74"/>
      <c r="AA188" s="74"/>
      <c r="AD188" s="74"/>
      <c r="AE188" s="74"/>
      <c r="AF188" s="74"/>
      <c r="AG188" s="74"/>
      <c r="AJ188" s="75"/>
    </row>
    <row r="189" spans="1:36" s="35" customFormat="1" ht="12.75">
      <c r="A189" s="73"/>
      <c r="B189" s="73"/>
      <c r="J189" s="74"/>
      <c r="M189" s="74"/>
      <c r="N189" s="74"/>
      <c r="V189" s="74"/>
      <c r="W189" s="74"/>
      <c r="X189" s="74"/>
      <c r="AA189" s="74"/>
      <c r="AD189" s="74"/>
      <c r="AE189" s="74"/>
      <c r="AF189" s="74"/>
      <c r="AG189" s="74"/>
      <c r="AJ189" s="75"/>
    </row>
    <row r="190" spans="1:36" s="35" customFormat="1" ht="12.75">
      <c r="A190" s="73"/>
      <c r="B190" s="73"/>
      <c r="J190" s="74"/>
      <c r="M190" s="74"/>
      <c r="N190" s="74"/>
      <c r="V190" s="74"/>
      <c r="W190" s="74"/>
      <c r="X190" s="74"/>
      <c r="AA190" s="74"/>
      <c r="AD190" s="74"/>
      <c r="AE190" s="74"/>
      <c r="AF190" s="74"/>
      <c r="AG190" s="74"/>
      <c r="AJ190" s="75"/>
    </row>
    <row r="191" spans="1:36" s="35" customFormat="1" ht="12.75">
      <c r="A191" s="73"/>
      <c r="B191" s="73"/>
      <c r="J191" s="74"/>
      <c r="M191" s="74"/>
      <c r="N191" s="74"/>
      <c r="V191" s="74"/>
      <c r="W191" s="74"/>
      <c r="X191" s="74"/>
      <c r="AA191" s="74"/>
      <c r="AD191" s="74"/>
      <c r="AE191" s="74"/>
      <c r="AF191" s="74"/>
      <c r="AG191" s="74"/>
      <c r="AJ191" s="75"/>
    </row>
    <row r="192" spans="1:36" s="35" customFormat="1" ht="12.75">
      <c r="A192" s="73"/>
      <c r="B192" s="73"/>
      <c r="J192" s="74"/>
      <c r="M192" s="74"/>
      <c r="N192" s="74"/>
      <c r="V192" s="74"/>
      <c r="W192" s="74"/>
      <c r="X192" s="74"/>
      <c r="AA192" s="74"/>
      <c r="AD192" s="74"/>
      <c r="AE192" s="74"/>
      <c r="AF192" s="74"/>
      <c r="AG192" s="74"/>
      <c r="AJ192" s="75"/>
    </row>
    <row r="193" spans="1:36" s="35" customFormat="1" ht="12.75">
      <c r="A193" s="73"/>
      <c r="B193" s="73"/>
      <c r="J193" s="74"/>
      <c r="M193" s="74"/>
      <c r="N193" s="74"/>
      <c r="V193" s="74"/>
      <c r="W193" s="74"/>
      <c r="X193" s="74"/>
      <c r="AA193" s="74"/>
      <c r="AD193" s="74"/>
      <c r="AE193" s="74"/>
      <c r="AF193" s="74"/>
      <c r="AG193" s="74"/>
      <c r="AJ193" s="75"/>
    </row>
    <row r="194" spans="1:36" s="35" customFormat="1" ht="12.75">
      <c r="A194" s="73"/>
      <c r="B194" s="73"/>
      <c r="J194" s="74"/>
      <c r="M194" s="74"/>
      <c r="N194" s="74"/>
      <c r="V194" s="74"/>
      <c r="W194" s="74"/>
      <c r="X194" s="74"/>
      <c r="AA194" s="74"/>
      <c r="AD194" s="74"/>
      <c r="AE194" s="74"/>
      <c r="AF194" s="74"/>
      <c r="AG194" s="74"/>
      <c r="AJ194" s="75"/>
    </row>
    <row r="195" spans="1:36" s="35" customFormat="1" ht="12.75">
      <c r="A195" s="73"/>
      <c r="B195" s="73"/>
      <c r="J195" s="74"/>
      <c r="M195" s="74"/>
      <c r="N195" s="74"/>
      <c r="V195" s="74"/>
      <c r="W195" s="74"/>
      <c r="X195" s="74"/>
      <c r="AA195" s="74"/>
      <c r="AD195" s="74"/>
      <c r="AE195" s="74"/>
      <c r="AF195" s="74"/>
      <c r="AG195" s="74"/>
      <c r="AJ195" s="75"/>
    </row>
    <row r="196" spans="1:36" s="35" customFormat="1" ht="12.75">
      <c r="A196" s="73"/>
      <c r="B196" s="73"/>
      <c r="J196" s="74"/>
      <c r="M196" s="74"/>
      <c r="N196" s="74"/>
      <c r="V196" s="74"/>
      <c r="W196" s="74"/>
      <c r="X196" s="74"/>
      <c r="AA196" s="74"/>
      <c r="AD196" s="74"/>
      <c r="AE196" s="74"/>
      <c r="AF196" s="74"/>
      <c r="AG196" s="74"/>
      <c r="AJ196" s="75"/>
    </row>
    <row r="197" spans="1:36" s="35" customFormat="1" ht="12.75">
      <c r="A197" s="73"/>
      <c r="B197" s="73"/>
      <c r="J197" s="74"/>
      <c r="M197" s="74"/>
      <c r="N197" s="74"/>
      <c r="V197" s="74"/>
      <c r="W197" s="74"/>
      <c r="X197" s="74"/>
      <c r="AA197" s="74"/>
      <c r="AD197" s="74"/>
      <c r="AE197" s="74"/>
      <c r="AF197" s="74"/>
      <c r="AG197" s="74"/>
      <c r="AJ197" s="75"/>
    </row>
    <row r="198" spans="1:36" s="35" customFormat="1" ht="12.75">
      <c r="A198" s="73"/>
      <c r="B198" s="73"/>
      <c r="J198" s="74"/>
      <c r="M198" s="74"/>
      <c r="N198" s="74"/>
      <c r="V198" s="74"/>
      <c r="W198" s="74"/>
      <c r="X198" s="74"/>
      <c r="AA198" s="74"/>
      <c r="AD198" s="74"/>
      <c r="AE198" s="74"/>
      <c r="AF198" s="74"/>
      <c r="AG198" s="74"/>
      <c r="AJ198" s="75"/>
    </row>
    <row r="199" spans="1:36" s="35" customFormat="1" ht="12.75">
      <c r="A199" s="73"/>
      <c r="B199" s="73"/>
      <c r="J199" s="74"/>
      <c r="M199" s="74"/>
      <c r="N199" s="74"/>
      <c r="V199" s="74"/>
      <c r="W199" s="74"/>
      <c r="X199" s="74"/>
      <c r="AA199" s="74"/>
      <c r="AD199" s="74"/>
      <c r="AE199" s="74"/>
      <c r="AF199" s="74"/>
      <c r="AG199" s="74"/>
      <c r="AJ199" s="75"/>
    </row>
    <row r="200" spans="1:36" s="35" customFormat="1" ht="12.75">
      <c r="A200" s="73"/>
      <c r="B200" s="73"/>
      <c r="J200" s="74"/>
      <c r="M200" s="74"/>
      <c r="N200" s="74"/>
      <c r="V200" s="74"/>
      <c r="W200" s="74"/>
      <c r="X200" s="74"/>
      <c r="AA200" s="74"/>
      <c r="AD200" s="74"/>
      <c r="AE200" s="74"/>
      <c r="AF200" s="74"/>
      <c r="AG200" s="74"/>
      <c r="AJ200" s="75"/>
    </row>
    <row r="201" spans="1:36" s="35" customFormat="1" ht="12.75">
      <c r="A201" s="73"/>
      <c r="B201" s="73"/>
      <c r="J201" s="74"/>
      <c r="M201" s="74"/>
      <c r="N201" s="74"/>
      <c r="V201" s="74"/>
      <c r="W201" s="74"/>
      <c r="X201" s="74"/>
      <c r="AA201" s="74"/>
      <c r="AD201" s="74"/>
      <c r="AE201" s="74"/>
      <c r="AF201" s="74"/>
      <c r="AG201" s="74"/>
      <c r="AJ201" s="75"/>
    </row>
    <row r="202" spans="1:36" s="35" customFormat="1" ht="12.75">
      <c r="A202" s="73"/>
      <c r="B202" s="73"/>
      <c r="J202" s="74"/>
      <c r="M202" s="74"/>
      <c r="N202" s="74"/>
      <c r="V202" s="74"/>
      <c r="W202" s="74"/>
      <c r="X202" s="74"/>
      <c r="AA202" s="74"/>
      <c r="AD202" s="74"/>
      <c r="AE202" s="74"/>
      <c r="AF202" s="74"/>
      <c r="AG202" s="74"/>
      <c r="AJ202" s="75"/>
    </row>
    <row r="203" spans="1:36" s="35" customFormat="1" ht="12.75">
      <c r="A203" s="73"/>
      <c r="B203" s="73"/>
      <c r="J203" s="74"/>
      <c r="M203" s="74"/>
      <c r="N203" s="74"/>
      <c r="V203" s="74"/>
      <c r="W203" s="74"/>
      <c r="X203" s="74"/>
      <c r="AA203" s="74"/>
      <c r="AD203" s="74"/>
      <c r="AE203" s="74"/>
      <c r="AF203" s="74"/>
      <c r="AG203" s="74"/>
      <c r="AJ203" s="75"/>
    </row>
    <row r="204" spans="1:36" s="35" customFormat="1" ht="12.75">
      <c r="A204" s="73"/>
      <c r="B204" s="73"/>
      <c r="J204" s="74"/>
      <c r="M204" s="74"/>
      <c r="N204" s="74"/>
      <c r="V204" s="74"/>
      <c r="W204" s="74"/>
      <c r="X204" s="74"/>
      <c r="AA204" s="74"/>
      <c r="AD204" s="74"/>
      <c r="AE204" s="74"/>
      <c r="AF204" s="74"/>
      <c r="AG204" s="74"/>
      <c r="AJ204" s="75"/>
    </row>
    <row r="205" spans="1:36" s="35" customFormat="1" ht="12.75">
      <c r="A205" s="73"/>
      <c r="B205" s="73"/>
      <c r="J205" s="74"/>
      <c r="M205" s="74"/>
      <c r="N205" s="74"/>
      <c r="V205" s="74"/>
      <c r="W205" s="74"/>
      <c r="X205" s="74"/>
      <c r="AA205" s="74"/>
      <c r="AD205" s="74"/>
      <c r="AE205" s="74"/>
      <c r="AF205" s="74"/>
      <c r="AG205" s="74"/>
      <c r="AJ205" s="75"/>
    </row>
    <row r="206" spans="1:36" s="35" customFormat="1" ht="12.75">
      <c r="A206" s="73"/>
      <c r="B206" s="73"/>
      <c r="J206" s="74"/>
      <c r="M206" s="74"/>
      <c r="N206" s="74"/>
      <c r="V206" s="74"/>
      <c r="W206" s="74"/>
      <c r="X206" s="74"/>
      <c r="AA206" s="74"/>
      <c r="AD206" s="74"/>
      <c r="AE206" s="74"/>
      <c r="AF206" s="74"/>
      <c r="AG206" s="74"/>
      <c r="AJ206" s="75"/>
    </row>
    <row r="207" spans="1:36" s="35" customFormat="1" ht="12.75">
      <c r="A207" s="73"/>
      <c r="B207" s="73"/>
      <c r="J207" s="74"/>
      <c r="M207" s="74"/>
      <c r="N207" s="74"/>
      <c r="V207" s="74"/>
      <c r="W207" s="74"/>
      <c r="X207" s="74"/>
      <c r="AA207" s="74"/>
      <c r="AD207" s="74"/>
      <c r="AE207" s="74"/>
      <c r="AF207" s="74"/>
      <c r="AG207" s="74"/>
      <c r="AJ207" s="75"/>
    </row>
    <row r="208" spans="1:36" s="35" customFormat="1" ht="12.75">
      <c r="A208" s="73"/>
      <c r="B208" s="73"/>
      <c r="J208" s="74"/>
      <c r="M208" s="74"/>
      <c r="N208" s="74"/>
      <c r="V208" s="74"/>
      <c r="W208" s="74"/>
      <c r="X208" s="74"/>
      <c r="AA208" s="74"/>
      <c r="AD208" s="74"/>
      <c r="AE208" s="74"/>
      <c r="AF208" s="74"/>
      <c r="AG208" s="74"/>
      <c r="AJ208" s="75"/>
    </row>
    <row r="209" spans="1:36" s="35" customFormat="1" ht="12.75">
      <c r="A209" s="73"/>
      <c r="B209" s="73"/>
      <c r="J209" s="74"/>
      <c r="M209" s="74"/>
      <c r="N209" s="74"/>
      <c r="V209" s="74"/>
      <c r="W209" s="74"/>
      <c r="X209" s="74"/>
      <c r="AA209" s="74"/>
      <c r="AD209" s="74"/>
      <c r="AE209" s="74"/>
      <c r="AF209" s="74"/>
      <c r="AG209" s="74"/>
      <c r="AJ209" s="75"/>
    </row>
    <row r="210" spans="1:36" s="35" customFormat="1" ht="12.75">
      <c r="A210" s="73"/>
      <c r="B210" s="73"/>
      <c r="J210" s="74"/>
      <c r="M210" s="74"/>
      <c r="N210" s="74"/>
      <c r="V210" s="74"/>
      <c r="W210" s="74"/>
      <c r="X210" s="74"/>
      <c r="AA210" s="74"/>
      <c r="AD210" s="74"/>
      <c r="AE210" s="74"/>
      <c r="AF210" s="74"/>
      <c r="AG210" s="74"/>
      <c r="AJ210" s="75"/>
    </row>
    <row r="211" spans="1:36" s="35" customFormat="1" ht="12.75">
      <c r="A211" s="73"/>
      <c r="B211" s="73"/>
      <c r="J211" s="74"/>
      <c r="M211" s="74"/>
      <c r="N211" s="74"/>
      <c r="V211" s="74"/>
      <c r="W211" s="74"/>
      <c r="X211" s="74"/>
      <c r="AA211" s="74"/>
      <c r="AD211" s="74"/>
      <c r="AE211" s="74"/>
      <c r="AF211" s="74"/>
      <c r="AG211" s="74"/>
      <c r="AJ211" s="75"/>
    </row>
    <row r="212" spans="1:36" s="35" customFormat="1" ht="12.75">
      <c r="A212" s="73"/>
      <c r="B212" s="73"/>
      <c r="J212" s="74"/>
      <c r="M212" s="74"/>
      <c r="N212" s="74"/>
      <c r="V212" s="74"/>
      <c r="W212" s="74"/>
      <c r="X212" s="74"/>
      <c r="AA212" s="74"/>
      <c r="AD212" s="74"/>
      <c r="AE212" s="74"/>
      <c r="AF212" s="74"/>
      <c r="AG212" s="74"/>
      <c r="AJ212" s="75"/>
    </row>
    <row r="213" spans="1:36" s="35" customFormat="1" ht="12.75">
      <c r="A213" s="73"/>
      <c r="B213" s="73"/>
      <c r="J213" s="74"/>
      <c r="M213" s="74"/>
      <c r="N213" s="74"/>
      <c r="V213" s="74"/>
      <c r="W213" s="74"/>
      <c r="X213" s="74"/>
      <c r="AA213" s="74"/>
      <c r="AD213" s="74"/>
      <c r="AE213" s="74"/>
      <c r="AF213" s="74"/>
      <c r="AG213" s="74"/>
      <c r="AJ213" s="75"/>
    </row>
    <row r="214" spans="1:36" s="35" customFormat="1" ht="12.75">
      <c r="A214" s="73"/>
      <c r="B214" s="73"/>
      <c r="J214" s="74"/>
      <c r="M214" s="74"/>
      <c r="N214" s="74"/>
      <c r="V214" s="74"/>
      <c r="W214" s="74"/>
      <c r="X214" s="74"/>
      <c r="AA214" s="74"/>
      <c r="AD214" s="74"/>
      <c r="AE214" s="74"/>
      <c r="AF214" s="74"/>
      <c r="AG214" s="74"/>
      <c r="AJ214" s="75"/>
    </row>
    <row r="215" spans="1:36" s="35" customFormat="1" ht="12.75">
      <c r="A215" s="73"/>
      <c r="B215" s="73"/>
      <c r="J215" s="74"/>
      <c r="M215" s="74"/>
      <c r="N215" s="74"/>
      <c r="V215" s="74"/>
      <c r="W215" s="74"/>
      <c r="X215" s="74"/>
      <c r="AA215" s="74"/>
      <c r="AD215" s="74"/>
      <c r="AE215" s="74"/>
      <c r="AF215" s="74"/>
      <c r="AG215" s="74"/>
      <c r="AJ215" s="75"/>
    </row>
    <row r="216" spans="1:36" s="35" customFormat="1" ht="12.75">
      <c r="A216" s="73"/>
      <c r="B216" s="73"/>
      <c r="J216" s="74"/>
      <c r="M216" s="74"/>
      <c r="N216" s="74"/>
      <c r="V216" s="74"/>
      <c r="W216" s="74"/>
      <c r="X216" s="74"/>
      <c r="AA216" s="74"/>
      <c r="AD216" s="74"/>
      <c r="AE216" s="74"/>
      <c r="AF216" s="74"/>
      <c r="AG216" s="74"/>
      <c r="AJ216" s="75"/>
    </row>
    <row r="217" spans="1:36" s="35" customFormat="1" ht="12.75">
      <c r="A217" s="73"/>
      <c r="B217" s="73"/>
      <c r="J217" s="74"/>
      <c r="M217" s="74"/>
      <c r="N217" s="74"/>
      <c r="V217" s="74"/>
      <c r="W217" s="74"/>
      <c r="X217" s="74"/>
      <c r="AA217" s="74"/>
      <c r="AD217" s="74"/>
      <c r="AE217" s="74"/>
      <c r="AF217" s="74"/>
      <c r="AG217" s="74"/>
      <c r="AJ217" s="75"/>
    </row>
    <row r="218" spans="1:36" s="35" customFormat="1" ht="12.75">
      <c r="A218" s="73"/>
      <c r="B218" s="73"/>
      <c r="J218" s="74"/>
      <c r="M218" s="74"/>
      <c r="N218" s="74"/>
      <c r="V218" s="74"/>
      <c r="W218" s="74"/>
      <c r="X218" s="74"/>
      <c r="AA218" s="74"/>
      <c r="AD218" s="74"/>
      <c r="AE218" s="74"/>
      <c r="AF218" s="74"/>
      <c r="AG218" s="74"/>
      <c r="AJ218" s="75"/>
    </row>
    <row r="219" spans="1:36" s="35" customFormat="1" ht="12.75">
      <c r="A219" s="73"/>
      <c r="B219" s="73"/>
      <c r="J219" s="74"/>
      <c r="M219" s="74"/>
      <c r="N219" s="74"/>
      <c r="V219" s="74"/>
      <c r="W219" s="74"/>
      <c r="X219" s="74"/>
      <c r="AA219" s="74"/>
      <c r="AD219" s="74"/>
      <c r="AE219" s="74"/>
      <c r="AF219" s="74"/>
      <c r="AG219" s="74"/>
      <c r="AJ219" s="75"/>
    </row>
    <row r="220" spans="1:36" s="35" customFormat="1" ht="12.75">
      <c r="A220" s="73"/>
      <c r="B220" s="73"/>
      <c r="J220" s="74"/>
      <c r="M220" s="74"/>
      <c r="N220" s="74"/>
      <c r="V220" s="74"/>
      <c r="W220" s="74"/>
      <c r="X220" s="74"/>
      <c r="AA220" s="74"/>
      <c r="AD220" s="74"/>
      <c r="AE220" s="74"/>
      <c r="AF220" s="74"/>
      <c r="AG220" s="74"/>
      <c r="AJ220" s="75"/>
    </row>
    <row r="221" spans="1:36" s="35" customFormat="1" ht="12.75">
      <c r="A221" s="73"/>
      <c r="B221" s="73"/>
      <c r="J221" s="74"/>
      <c r="M221" s="74"/>
      <c r="N221" s="74"/>
      <c r="V221" s="74"/>
      <c r="W221" s="74"/>
      <c r="X221" s="74"/>
      <c r="AA221" s="74"/>
      <c r="AD221" s="74"/>
      <c r="AE221" s="74"/>
      <c r="AF221" s="74"/>
      <c r="AG221" s="74"/>
      <c r="AJ221" s="75"/>
    </row>
    <row r="222" spans="1:36" s="35" customFormat="1" ht="12.75">
      <c r="A222" s="73"/>
      <c r="B222" s="73"/>
      <c r="J222" s="74"/>
      <c r="M222" s="74"/>
      <c r="N222" s="74"/>
      <c r="V222" s="74"/>
      <c r="W222" s="74"/>
      <c r="X222" s="74"/>
      <c r="AA222" s="74"/>
      <c r="AD222" s="74"/>
      <c r="AE222" s="74"/>
      <c r="AF222" s="74"/>
      <c r="AG222" s="74"/>
      <c r="AJ222" s="75"/>
    </row>
    <row r="223" spans="1:36" s="35" customFormat="1" ht="12.75">
      <c r="A223" s="73"/>
      <c r="B223" s="73"/>
      <c r="J223" s="74"/>
      <c r="M223" s="74"/>
      <c r="N223" s="74"/>
      <c r="V223" s="74"/>
      <c r="W223" s="74"/>
      <c r="X223" s="74"/>
      <c r="AA223" s="74"/>
      <c r="AD223" s="74"/>
      <c r="AE223" s="74"/>
      <c r="AF223" s="74"/>
      <c r="AG223" s="74"/>
      <c r="AJ223" s="75"/>
    </row>
    <row r="224" spans="1:36" s="35" customFormat="1" ht="12.75">
      <c r="A224" s="73"/>
      <c r="B224" s="73"/>
      <c r="J224" s="74"/>
      <c r="M224" s="74"/>
      <c r="N224" s="74"/>
      <c r="V224" s="74"/>
      <c r="W224" s="74"/>
      <c r="X224" s="74"/>
      <c r="AA224" s="74"/>
      <c r="AD224" s="74"/>
      <c r="AE224" s="74"/>
      <c r="AF224" s="74"/>
      <c r="AG224" s="74"/>
      <c r="AJ224" s="75"/>
    </row>
    <row r="225" spans="1:36" s="35" customFormat="1" ht="12.75">
      <c r="A225" s="73"/>
      <c r="B225" s="73"/>
      <c r="J225" s="74"/>
      <c r="M225" s="74"/>
      <c r="N225" s="74"/>
      <c r="V225" s="74"/>
      <c r="W225" s="74"/>
      <c r="X225" s="74"/>
      <c r="AA225" s="74"/>
      <c r="AD225" s="74"/>
      <c r="AE225" s="74"/>
      <c r="AF225" s="74"/>
      <c r="AG225" s="74"/>
      <c r="AJ225" s="75"/>
    </row>
    <row r="226" spans="1:36" s="35" customFormat="1" ht="12.75">
      <c r="A226" s="73"/>
      <c r="B226" s="73"/>
      <c r="J226" s="74"/>
      <c r="M226" s="74"/>
      <c r="N226" s="74"/>
      <c r="V226" s="74"/>
      <c r="W226" s="74"/>
      <c r="X226" s="74"/>
      <c r="AA226" s="74"/>
      <c r="AD226" s="74"/>
      <c r="AE226" s="74"/>
      <c r="AF226" s="74"/>
      <c r="AG226" s="74"/>
      <c r="AJ226" s="75"/>
    </row>
    <row r="227" spans="1:36" s="35" customFormat="1" ht="12.75">
      <c r="A227" s="73"/>
      <c r="B227" s="73"/>
      <c r="J227" s="74"/>
      <c r="M227" s="74"/>
      <c r="N227" s="74"/>
      <c r="V227" s="74"/>
      <c r="W227" s="74"/>
      <c r="X227" s="74"/>
      <c r="AA227" s="74"/>
      <c r="AD227" s="74"/>
      <c r="AE227" s="74"/>
      <c r="AF227" s="74"/>
      <c r="AG227" s="74"/>
      <c r="AJ227" s="75"/>
    </row>
    <row r="228" spans="1:36" s="35" customFormat="1" ht="12.75">
      <c r="A228" s="73"/>
      <c r="B228" s="73"/>
      <c r="J228" s="74"/>
      <c r="M228" s="74"/>
      <c r="N228" s="74"/>
      <c r="V228" s="74"/>
      <c r="W228" s="74"/>
      <c r="X228" s="74"/>
      <c r="AA228" s="74"/>
      <c r="AD228" s="74"/>
      <c r="AE228" s="74"/>
      <c r="AF228" s="74"/>
      <c r="AG228" s="74"/>
      <c r="AJ228" s="75"/>
    </row>
    <row r="229" spans="1:36" s="35" customFormat="1" ht="12.75">
      <c r="A229" s="73"/>
      <c r="B229" s="73"/>
      <c r="J229" s="74"/>
      <c r="M229" s="74"/>
      <c r="N229" s="74"/>
      <c r="V229" s="74"/>
      <c r="W229" s="74"/>
      <c r="X229" s="74"/>
      <c r="AA229" s="74"/>
      <c r="AD229" s="74"/>
      <c r="AE229" s="74"/>
      <c r="AF229" s="74"/>
      <c r="AG229" s="74"/>
      <c r="AJ229" s="75"/>
    </row>
    <row r="230" spans="1:36" s="35" customFormat="1" ht="12.75">
      <c r="A230" s="73"/>
      <c r="B230" s="73"/>
      <c r="J230" s="74"/>
      <c r="M230" s="74"/>
      <c r="N230" s="74"/>
      <c r="V230" s="74"/>
      <c r="W230" s="74"/>
      <c r="X230" s="74"/>
      <c r="AA230" s="74"/>
      <c r="AD230" s="74"/>
      <c r="AE230" s="74"/>
      <c r="AF230" s="74"/>
      <c r="AG230" s="74"/>
      <c r="AJ230" s="75"/>
    </row>
    <row r="231" spans="1:36" s="35" customFormat="1" ht="12.75">
      <c r="A231" s="73"/>
      <c r="B231" s="73"/>
      <c r="J231" s="74"/>
      <c r="M231" s="74"/>
      <c r="N231" s="74"/>
      <c r="V231" s="74"/>
      <c r="W231" s="74"/>
      <c r="X231" s="74"/>
      <c r="AA231" s="74"/>
      <c r="AD231" s="74"/>
      <c r="AE231" s="74"/>
      <c r="AF231" s="74"/>
      <c r="AG231" s="74"/>
      <c r="AJ231" s="75"/>
    </row>
    <row r="232" spans="1:36" s="35" customFormat="1" ht="12.75">
      <c r="A232" s="73"/>
      <c r="B232" s="73"/>
      <c r="J232" s="74"/>
      <c r="M232" s="74"/>
      <c r="N232" s="74"/>
      <c r="V232" s="74"/>
      <c r="W232" s="74"/>
      <c r="X232" s="74"/>
      <c r="AA232" s="74"/>
      <c r="AD232" s="74"/>
      <c r="AE232" s="74"/>
      <c r="AF232" s="74"/>
      <c r="AG232" s="74"/>
      <c r="AJ232" s="75"/>
    </row>
    <row r="233" spans="1:36" s="35" customFormat="1" ht="12.75">
      <c r="A233" s="73"/>
      <c r="B233" s="73"/>
      <c r="J233" s="74"/>
      <c r="M233" s="74"/>
      <c r="N233" s="74"/>
      <c r="V233" s="74"/>
      <c r="W233" s="74"/>
      <c r="X233" s="74"/>
      <c r="AA233" s="74"/>
      <c r="AD233" s="74"/>
      <c r="AE233" s="74"/>
      <c r="AF233" s="74"/>
      <c r="AG233" s="74"/>
      <c r="AJ233" s="75"/>
    </row>
    <row r="234" spans="1:36" s="35" customFormat="1" ht="12.75">
      <c r="A234" s="73"/>
      <c r="B234" s="73"/>
      <c r="J234" s="74"/>
      <c r="M234" s="74"/>
      <c r="N234" s="74"/>
      <c r="V234" s="74"/>
      <c r="W234" s="74"/>
      <c r="X234" s="74"/>
      <c r="AA234" s="74"/>
      <c r="AD234" s="74"/>
      <c r="AE234" s="74"/>
      <c r="AF234" s="74"/>
      <c r="AG234" s="74"/>
      <c r="AJ234" s="75"/>
    </row>
    <row r="235" spans="1:36" s="35" customFormat="1" ht="12.75">
      <c r="A235" s="73"/>
      <c r="B235" s="73"/>
      <c r="J235" s="74"/>
      <c r="M235" s="74"/>
      <c r="N235" s="74"/>
      <c r="V235" s="74"/>
      <c r="W235" s="74"/>
      <c r="X235" s="74"/>
      <c r="AA235" s="74"/>
      <c r="AD235" s="74"/>
      <c r="AE235" s="74"/>
      <c r="AF235" s="74"/>
      <c r="AG235" s="74"/>
      <c r="AJ235" s="75"/>
    </row>
    <row r="236" spans="1:36" s="35" customFormat="1" ht="12.75">
      <c r="A236" s="73"/>
      <c r="B236" s="73"/>
      <c r="J236" s="74"/>
      <c r="M236" s="74"/>
      <c r="N236" s="74"/>
      <c r="V236" s="74"/>
      <c r="W236" s="74"/>
      <c r="X236" s="74"/>
      <c r="AA236" s="74"/>
      <c r="AD236" s="74"/>
      <c r="AE236" s="74"/>
      <c r="AF236" s="74"/>
      <c r="AG236" s="74"/>
      <c r="AJ236" s="75"/>
    </row>
    <row r="237" spans="1:36" s="35" customFormat="1" ht="12.75">
      <c r="A237" s="73"/>
      <c r="B237" s="73"/>
      <c r="J237" s="74"/>
      <c r="M237" s="74"/>
      <c r="N237" s="74"/>
      <c r="V237" s="74"/>
      <c r="W237" s="74"/>
      <c r="X237" s="74"/>
      <c r="AA237" s="74"/>
      <c r="AD237" s="74"/>
      <c r="AE237" s="74"/>
      <c r="AF237" s="74"/>
      <c r="AG237" s="74"/>
      <c r="AJ237" s="75"/>
    </row>
    <row r="238" spans="1:36" s="35" customFormat="1" ht="12.75">
      <c r="A238" s="73"/>
      <c r="B238" s="73"/>
      <c r="J238" s="74"/>
      <c r="M238" s="74"/>
      <c r="N238" s="74"/>
      <c r="V238" s="74"/>
      <c r="W238" s="74"/>
      <c r="X238" s="74"/>
      <c r="AA238" s="74"/>
      <c r="AD238" s="74"/>
      <c r="AE238" s="74"/>
      <c r="AF238" s="74"/>
      <c r="AG238" s="74"/>
      <c r="AJ238" s="75"/>
    </row>
    <row r="239" spans="1:36" s="35" customFormat="1" ht="12.75">
      <c r="A239" s="73"/>
      <c r="B239" s="73"/>
      <c r="J239" s="74"/>
      <c r="M239" s="74"/>
      <c r="N239" s="74"/>
      <c r="V239" s="74"/>
      <c r="W239" s="74"/>
      <c r="X239" s="74"/>
      <c r="AA239" s="74"/>
      <c r="AD239" s="74"/>
      <c r="AE239" s="74"/>
      <c r="AF239" s="74"/>
      <c r="AG239" s="74"/>
      <c r="AJ239" s="75"/>
    </row>
    <row r="240" spans="1:36" s="35" customFormat="1" ht="12.75">
      <c r="A240" s="73"/>
      <c r="B240" s="73"/>
      <c r="J240" s="74"/>
      <c r="M240" s="74"/>
      <c r="N240" s="74"/>
      <c r="V240" s="74"/>
      <c r="W240" s="74"/>
      <c r="X240" s="74"/>
      <c r="AA240" s="74"/>
      <c r="AD240" s="74"/>
      <c r="AE240" s="74"/>
      <c r="AF240" s="74"/>
      <c r="AG240" s="74"/>
      <c r="AJ240" s="75"/>
    </row>
    <row r="241" spans="1:36" s="35" customFormat="1" ht="12.75">
      <c r="A241" s="73"/>
      <c r="B241" s="73"/>
      <c r="J241" s="74"/>
      <c r="M241" s="74"/>
      <c r="N241" s="74"/>
      <c r="V241" s="74"/>
      <c r="W241" s="74"/>
      <c r="X241" s="74"/>
      <c r="AA241" s="74"/>
      <c r="AD241" s="74"/>
      <c r="AE241" s="74"/>
      <c r="AF241" s="74"/>
      <c r="AG241" s="74"/>
      <c r="AJ241" s="75"/>
    </row>
    <row r="242" spans="1:36" s="35" customFormat="1" ht="12.75">
      <c r="A242" s="73"/>
      <c r="B242" s="73"/>
      <c r="J242" s="74"/>
      <c r="M242" s="74"/>
      <c r="N242" s="74"/>
      <c r="V242" s="74"/>
      <c r="W242" s="74"/>
      <c r="X242" s="74"/>
      <c r="AA242" s="74"/>
      <c r="AD242" s="74"/>
      <c r="AE242" s="74"/>
      <c r="AF242" s="74"/>
      <c r="AG242" s="74"/>
      <c r="AJ242" s="75"/>
    </row>
    <row r="243" spans="1:36" s="35" customFormat="1" ht="12.75">
      <c r="A243" s="73"/>
      <c r="B243" s="73"/>
      <c r="J243" s="74"/>
      <c r="M243" s="74"/>
      <c r="N243" s="74"/>
      <c r="V243" s="74"/>
      <c r="W243" s="74"/>
      <c r="X243" s="74"/>
      <c r="AA243" s="74"/>
      <c r="AD243" s="74"/>
      <c r="AE243" s="74"/>
      <c r="AF243" s="74"/>
      <c r="AG243" s="74"/>
      <c r="AJ243" s="75"/>
    </row>
    <row r="244" spans="1:36" s="35" customFormat="1" ht="12.75">
      <c r="A244" s="73"/>
      <c r="B244" s="73"/>
      <c r="J244" s="74"/>
      <c r="M244" s="74"/>
      <c r="N244" s="74"/>
      <c r="V244" s="74"/>
      <c r="W244" s="74"/>
      <c r="X244" s="74"/>
      <c r="AA244" s="74"/>
      <c r="AD244" s="74"/>
      <c r="AE244" s="74"/>
      <c r="AF244" s="74"/>
      <c r="AG244" s="74"/>
      <c r="AJ244" s="75"/>
    </row>
    <row r="245" spans="1:36" s="35" customFormat="1" ht="12.75">
      <c r="A245" s="73"/>
      <c r="B245" s="73"/>
      <c r="J245" s="74"/>
      <c r="M245" s="74"/>
      <c r="N245" s="74"/>
      <c r="V245" s="74"/>
      <c r="W245" s="74"/>
      <c r="X245" s="74"/>
      <c r="AA245" s="74"/>
      <c r="AD245" s="74"/>
      <c r="AE245" s="74"/>
      <c r="AF245" s="74"/>
      <c r="AG245" s="74"/>
      <c r="AJ245" s="75"/>
    </row>
    <row r="246" spans="1:36" s="35" customFormat="1" ht="12.75">
      <c r="A246" s="73"/>
      <c r="B246" s="73"/>
      <c r="J246" s="74"/>
      <c r="M246" s="74"/>
      <c r="N246" s="74"/>
      <c r="V246" s="74"/>
      <c r="W246" s="74"/>
      <c r="X246" s="74"/>
      <c r="AA246" s="74"/>
      <c r="AD246" s="74"/>
      <c r="AE246" s="74"/>
      <c r="AF246" s="74"/>
      <c r="AG246" s="74"/>
      <c r="AJ246" s="75"/>
    </row>
    <row r="247" spans="1:36" s="35" customFormat="1" ht="12.75">
      <c r="A247" s="73"/>
      <c r="B247" s="73"/>
      <c r="J247" s="74"/>
      <c r="M247" s="74"/>
      <c r="N247" s="74"/>
      <c r="V247" s="74"/>
      <c r="W247" s="74"/>
      <c r="X247" s="74"/>
      <c r="AA247" s="74"/>
      <c r="AD247" s="74"/>
      <c r="AE247" s="74"/>
      <c r="AF247" s="74"/>
      <c r="AG247" s="74"/>
      <c r="AJ247" s="75"/>
    </row>
    <row r="248" spans="1:36" s="35" customFormat="1" ht="12.75">
      <c r="A248" s="73"/>
      <c r="B248" s="73"/>
      <c r="J248" s="74"/>
      <c r="M248" s="74"/>
      <c r="N248" s="74"/>
      <c r="V248" s="74"/>
      <c r="W248" s="74"/>
      <c r="X248" s="74"/>
      <c r="AA248" s="74"/>
      <c r="AD248" s="74"/>
      <c r="AE248" s="74"/>
      <c r="AF248" s="74"/>
      <c r="AG248" s="74"/>
      <c r="AJ248" s="75"/>
    </row>
    <row r="249" spans="1:36" s="35" customFormat="1" ht="12.75">
      <c r="A249" s="73"/>
      <c r="B249" s="73"/>
      <c r="J249" s="74"/>
      <c r="M249" s="74"/>
      <c r="N249" s="74"/>
      <c r="V249" s="74"/>
      <c r="W249" s="74"/>
      <c r="X249" s="74"/>
      <c r="AA249" s="74"/>
      <c r="AD249" s="74"/>
      <c r="AE249" s="74"/>
      <c r="AF249" s="74"/>
      <c r="AG249" s="74"/>
      <c r="AJ249" s="75"/>
    </row>
    <row r="250" spans="1:36" s="35" customFormat="1" ht="12.75">
      <c r="A250" s="73"/>
      <c r="B250" s="73"/>
      <c r="J250" s="74"/>
      <c r="M250" s="74"/>
      <c r="N250" s="74"/>
      <c r="V250" s="74"/>
      <c r="W250" s="74"/>
      <c r="X250" s="74"/>
      <c r="AA250" s="74"/>
      <c r="AD250" s="74"/>
      <c r="AE250" s="74"/>
      <c r="AF250" s="74"/>
      <c r="AG250" s="74"/>
      <c r="AJ250" s="75"/>
    </row>
    <row r="251" spans="1:36" s="35" customFormat="1" ht="12.75">
      <c r="A251" s="73"/>
      <c r="B251" s="73"/>
      <c r="J251" s="74"/>
      <c r="M251" s="74"/>
      <c r="N251" s="74"/>
      <c r="V251" s="74"/>
      <c r="W251" s="74"/>
      <c r="X251" s="74"/>
      <c r="AA251" s="74"/>
      <c r="AD251" s="74"/>
      <c r="AE251" s="74"/>
      <c r="AF251" s="74"/>
      <c r="AG251" s="74"/>
      <c r="AJ251" s="75"/>
    </row>
    <row r="252" spans="1:36" s="35" customFormat="1" ht="12.75">
      <c r="A252" s="73"/>
      <c r="B252" s="73"/>
      <c r="J252" s="74"/>
      <c r="M252" s="74"/>
      <c r="N252" s="74"/>
      <c r="V252" s="74"/>
      <c r="W252" s="74"/>
      <c r="X252" s="74"/>
      <c r="AA252" s="74"/>
      <c r="AD252" s="74"/>
      <c r="AE252" s="74"/>
      <c r="AF252" s="74"/>
      <c r="AG252" s="74"/>
      <c r="AJ252" s="75"/>
    </row>
    <row r="253" spans="1:36" s="35" customFormat="1" ht="12.75">
      <c r="A253" s="73"/>
      <c r="B253" s="73"/>
      <c r="J253" s="74"/>
      <c r="M253" s="74"/>
      <c r="N253" s="74"/>
      <c r="V253" s="74"/>
      <c r="W253" s="74"/>
      <c r="X253" s="74"/>
      <c r="AA253" s="74"/>
      <c r="AD253" s="74"/>
      <c r="AE253" s="74"/>
      <c r="AF253" s="74"/>
      <c r="AG253" s="74"/>
      <c r="AJ253" s="75"/>
    </row>
    <row r="254" spans="1:36" s="35" customFormat="1" ht="12.75">
      <c r="A254" s="73"/>
      <c r="B254" s="73"/>
      <c r="J254" s="74"/>
      <c r="M254" s="74"/>
      <c r="N254" s="74"/>
      <c r="V254" s="74"/>
      <c r="W254" s="74"/>
      <c r="X254" s="74"/>
      <c r="AA254" s="74"/>
      <c r="AD254" s="74"/>
      <c r="AE254" s="74"/>
      <c r="AF254" s="74"/>
      <c r="AG254" s="74"/>
      <c r="AJ254" s="75"/>
    </row>
    <row r="255" spans="1:36" s="35" customFormat="1" ht="12.75">
      <c r="A255" s="73"/>
      <c r="B255" s="73"/>
      <c r="J255" s="74"/>
      <c r="M255" s="74"/>
      <c r="N255" s="74"/>
      <c r="V255" s="74"/>
      <c r="W255" s="74"/>
      <c r="X255" s="74"/>
      <c r="AA255" s="74"/>
      <c r="AD255" s="74"/>
      <c r="AE255" s="74"/>
      <c r="AF255" s="74"/>
      <c r="AG255" s="74"/>
      <c r="AJ255" s="75"/>
    </row>
    <row r="256" spans="1:36" s="35" customFormat="1" ht="12.75">
      <c r="A256" s="73"/>
      <c r="B256" s="73"/>
      <c r="J256" s="74"/>
      <c r="M256" s="74"/>
      <c r="N256" s="74"/>
      <c r="V256" s="74"/>
      <c r="W256" s="74"/>
      <c r="X256" s="74"/>
      <c r="AA256" s="74"/>
      <c r="AD256" s="74"/>
      <c r="AE256" s="74"/>
      <c r="AF256" s="74"/>
      <c r="AG256" s="74"/>
      <c r="AJ256" s="75"/>
    </row>
    <row r="257" spans="1:36" s="35" customFormat="1" ht="12.75">
      <c r="A257" s="73"/>
      <c r="B257" s="73"/>
      <c r="J257" s="74"/>
      <c r="M257" s="74"/>
      <c r="N257" s="74"/>
      <c r="V257" s="74"/>
      <c r="W257" s="74"/>
      <c r="X257" s="74"/>
      <c r="AA257" s="74"/>
      <c r="AD257" s="74"/>
      <c r="AE257" s="74"/>
      <c r="AF257" s="74"/>
      <c r="AG257" s="74"/>
      <c r="AJ257" s="75"/>
    </row>
    <row r="258" spans="1:36" s="35" customFormat="1" ht="12.75">
      <c r="A258" s="73"/>
      <c r="B258" s="73"/>
      <c r="J258" s="74"/>
      <c r="M258" s="74"/>
      <c r="N258" s="74"/>
      <c r="V258" s="74"/>
      <c r="W258" s="74"/>
      <c r="X258" s="74"/>
      <c r="AA258" s="74"/>
      <c r="AD258" s="74"/>
      <c r="AE258" s="74"/>
      <c r="AF258" s="74"/>
      <c r="AG258" s="74"/>
      <c r="AJ258" s="75"/>
    </row>
    <row r="259" spans="1:36" s="35" customFormat="1" ht="12.75">
      <c r="A259" s="73"/>
      <c r="B259" s="73"/>
      <c r="J259" s="74"/>
      <c r="M259" s="74"/>
      <c r="N259" s="74"/>
      <c r="V259" s="74"/>
      <c r="W259" s="74"/>
      <c r="X259" s="74"/>
      <c r="AA259" s="74"/>
      <c r="AD259" s="74"/>
      <c r="AE259" s="74"/>
      <c r="AF259" s="74"/>
      <c r="AG259" s="74"/>
      <c r="AJ259" s="75"/>
    </row>
    <row r="260" spans="1:36" s="35" customFormat="1" ht="12.75">
      <c r="A260" s="73"/>
      <c r="B260" s="73"/>
      <c r="J260" s="74"/>
      <c r="M260" s="74"/>
      <c r="N260" s="74"/>
      <c r="V260" s="74"/>
      <c r="W260" s="74"/>
      <c r="X260" s="74"/>
      <c r="AA260" s="74"/>
      <c r="AD260" s="74"/>
      <c r="AE260" s="74"/>
      <c r="AF260" s="74"/>
      <c r="AG260" s="74"/>
      <c r="AJ260" s="75"/>
    </row>
    <row r="261" spans="1:36" s="35" customFormat="1" ht="12.75">
      <c r="A261" s="73"/>
      <c r="B261" s="73"/>
      <c r="J261" s="74"/>
      <c r="M261" s="74"/>
      <c r="N261" s="74"/>
      <c r="V261" s="74"/>
      <c r="W261" s="74"/>
      <c r="X261" s="74"/>
      <c r="AA261" s="74"/>
      <c r="AD261" s="74"/>
      <c r="AE261" s="74"/>
      <c r="AF261" s="74"/>
      <c r="AG261" s="74"/>
      <c r="AJ261" s="75"/>
    </row>
    <row r="262" spans="1:36" s="35" customFormat="1" ht="12.75">
      <c r="A262" s="73"/>
      <c r="B262" s="73"/>
      <c r="J262" s="74"/>
      <c r="M262" s="74"/>
      <c r="N262" s="74"/>
      <c r="V262" s="74"/>
      <c r="W262" s="74"/>
      <c r="X262" s="74"/>
      <c r="AA262" s="74"/>
      <c r="AD262" s="74"/>
      <c r="AE262" s="74"/>
      <c r="AF262" s="74"/>
      <c r="AG262" s="74"/>
      <c r="AJ262" s="75"/>
    </row>
    <row r="263" spans="1:36" s="35" customFormat="1" ht="12.75">
      <c r="A263" s="73"/>
      <c r="B263" s="73"/>
      <c r="J263" s="74"/>
      <c r="M263" s="74"/>
      <c r="N263" s="74"/>
      <c r="V263" s="74"/>
      <c r="W263" s="74"/>
      <c r="X263" s="74"/>
      <c r="AA263" s="74"/>
      <c r="AD263" s="74"/>
      <c r="AE263" s="74"/>
      <c r="AF263" s="74"/>
      <c r="AG263" s="74"/>
      <c r="AJ263" s="75"/>
    </row>
    <row r="264" spans="1:36" s="35" customFormat="1" ht="12.75">
      <c r="A264" s="73"/>
      <c r="B264" s="73"/>
      <c r="J264" s="74"/>
      <c r="M264" s="74"/>
      <c r="N264" s="74"/>
      <c r="V264" s="74"/>
      <c r="W264" s="74"/>
      <c r="X264" s="74"/>
      <c r="AA264" s="74"/>
      <c r="AD264" s="74"/>
      <c r="AE264" s="74"/>
      <c r="AF264" s="74"/>
      <c r="AG264" s="74"/>
      <c r="AJ264" s="75"/>
    </row>
    <row r="265" spans="1:36" s="35" customFormat="1" ht="12.75">
      <c r="A265" s="73"/>
      <c r="B265" s="73"/>
      <c r="J265" s="74"/>
      <c r="M265" s="74"/>
      <c r="N265" s="74"/>
      <c r="V265" s="74"/>
      <c r="W265" s="74"/>
      <c r="X265" s="74"/>
      <c r="AA265" s="74"/>
      <c r="AD265" s="74"/>
      <c r="AE265" s="74"/>
      <c r="AF265" s="74"/>
      <c r="AG265" s="74"/>
      <c r="AJ265" s="75"/>
    </row>
    <row r="266" spans="1:36" s="35" customFormat="1" ht="12.75">
      <c r="A266" s="73"/>
      <c r="B266" s="73"/>
      <c r="J266" s="74"/>
      <c r="M266" s="74"/>
      <c r="N266" s="74"/>
      <c r="V266" s="74"/>
      <c r="W266" s="74"/>
      <c r="X266" s="74"/>
      <c r="AA266" s="74"/>
      <c r="AD266" s="74"/>
      <c r="AE266" s="74"/>
      <c r="AF266" s="74"/>
      <c r="AG266" s="74"/>
      <c r="AJ266" s="75"/>
    </row>
    <row r="267" spans="1:36" s="35" customFormat="1" ht="12.75">
      <c r="A267" s="73"/>
      <c r="B267" s="73"/>
      <c r="J267" s="74"/>
      <c r="M267" s="74"/>
      <c r="N267" s="74"/>
      <c r="V267" s="74"/>
      <c r="W267" s="74"/>
      <c r="X267" s="74"/>
      <c r="AA267" s="74"/>
      <c r="AD267" s="74"/>
      <c r="AE267" s="74"/>
      <c r="AF267" s="74"/>
      <c r="AG267" s="74"/>
      <c r="AJ267" s="75"/>
    </row>
    <row r="268" spans="1:36" s="35" customFormat="1" ht="12.75">
      <c r="A268" s="73"/>
      <c r="B268" s="73"/>
      <c r="J268" s="74"/>
      <c r="M268" s="74"/>
      <c r="N268" s="74"/>
      <c r="V268" s="74"/>
      <c r="W268" s="74"/>
      <c r="X268" s="74"/>
      <c r="AA268" s="74"/>
      <c r="AD268" s="74"/>
      <c r="AE268" s="74"/>
      <c r="AF268" s="74"/>
      <c r="AG268" s="74"/>
      <c r="AJ268" s="75"/>
    </row>
    <row r="269" spans="1:36" s="35" customFormat="1" ht="12.75">
      <c r="A269" s="73"/>
      <c r="B269" s="73"/>
      <c r="J269" s="74"/>
      <c r="M269" s="74"/>
      <c r="N269" s="74"/>
      <c r="V269" s="74"/>
      <c r="W269" s="74"/>
      <c r="X269" s="74"/>
      <c r="AA269" s="74"/>
      <c r="AD269" s="74"/>
      <c r="AE269" s="74"/>
      <c r="AF269" s="74"/>
      <c r="AG269" s="74"/>
      <c r="AJ269" s="75"/>
    </row>
    <row r="270" spans="1:36" s="35" customFormat="1" ht="12.75">
      <c r="A270" s="73"/>
      <c r="B270" s="73"/>
      <c r="J270" s="74"/>
      <c r="M270" s="74"/>
      <c r="N270" s="74"/>
      <c r="V270" s="74"/>
      <c r="W270" s="74"/>
      <c r="X270" s="74"/>
      <c r="AA270" s="74"/>
      <c r="AD270" s="74"/>
      <c r="AE270" s="74"/>
      <c r="AF270" s="74"/>
      <c r="AG270" s="74"/>
      <c r="AJ270" s="75"/>
    </row>
    <row r="271" spans="1:36" s="35" customFormat="1" ht="12.75">
      <c r="A271" s="73"/>
      <c r="B271" s="73"/>
      <c r="J271" s="74"/>
      <c r="M271" s="74"/>
      <c r="N271" s="74"/>
      <c r="V271" s="74"/>
      <c r="W271" s="74"/>
      <c r="X271" s="74"/>
      <c r="AA271" s="74"/>
      <c r="AD271" s="74"/>
      <c r="AE271" s="74"/>
      <c r="AF271" s="74"/>
      <c r="AG271" s="74"/>
      <c r="AJ271" s="75"/>
    </row>
    <row r="272" spans="1:36" s="35" customFormat="1" ht="12.75">
      <c r="A272" s="73"/>
      <c r="B272" s="73"/>
      <c r="J272" s="74"/>
      <c r="M272" s="74"/>
      <c r="N272" s="74"/>
      <c r="V272" s="74"/>
      <c r="W272" s="74"/>
      <c r="X272" s="74"/>
      <c r="AA272" s="74"/>
      <c r="AD272" s="74"/>
      <c r="AE272" s="74"/>
      <c r="AF272" s="74"/>
      <c r="AG272" s="74"/>
      <c r="AJ272" s="75"/>
    </row>
    <row r="273" spans="1:36" s="35" customFormat="1" ht="12.75">
      <c r="A273" s="73"/>
      <c r="B273" s="73"/>
      <c r="J273" s="74"/>
      <c r="M273" s="74"/>
      <c r="N273" s="74"/>
      <c r="V273" s="74"/>
      <c r="W273" s="74"/>
      <c r="X273" s="74"/>
      <c r="AA273" s="74"/>
      <c r="AD273" s="74"/>
      <c r="AE273" s="74"/>
      <c r="AF273" s="74"/>
      <c r="AG273" s="74"/>
      <c r="AJ273" s="75"/>
    </row>
    <row r="274" spans="1:36" s="35" customFormat="1" ht="12.75">
      <c r="A274" s="73"/>
      <c r="B274" s="73"/>
      <c r="J274" s="74"/>
      <c r="M274" s="74"/>
      <c r="N274" s="74"/>
      <c r="V274" s="74"/>
      <c r="W274" s="74"/>
      <c r="X274" s="74"/>
      <c r="AA274" s="74"/>
      <c r="AD274" s="74"/>
      <c r="AE274" s="74"/>
      <c r="AF274" s="74"/>
      <c r="AG274" s="74"/>
      <c r="AJ274" s="75"/>
    </row>
    <row r="275" spans="1:36" s="35" customFormat="1" ht="12.75">
      <c r="A275" s="73"/>
      <c r="B275" s="73"/>
      <c r="J275" s="74"/>
      <c r="M275" s="74"/>
      <c r="N275" s="74"/>
      <c r="V275" s="74"/>
      <c r="W275" s="74"/>
      <c r="X275" s="74"/>
      <c r="AA275" s="74"/>
      <c r="AD275" s="74"/>
      <c r="AE275" s="74"/>
      <c r="AF275" s="74"/>
      <c r="AG275" s="74"/>
      <c r="AJ275" s="75"/>
    </row>
    <row r="276" spans="1:36" s="35" customFormat="1" ht="12.75">
      <c r="A276" s="73"/>
      <c r="B276" s="73"/>
      <c r="J276" s="74"/>
      <c r="M276" s="74"/>
      <c r="N276" s="74"/>
      <c r="V276" s="74"/>
      <c r="W276" s="74"/>
      <c r="X276" s="74"/>
      <c r="AA276" s="74"/>
      <c r="AD276" s="74"/>
      <c r="AE276" s="74"/>
      <c r="AF276" s="74"/>
      <c r="AG276" s="74"/>
      <c r="AJ276" s="75"/>
    </row>
    <row r="277" spans="1:36" s="35" customFormat="1" ht="12.75">
      <c r="A277" s="73"/>
      <c r="B277" s="73"/>
      <c r="J277" s="74"/>
      <c r="M277" s="74"/>
      <c r="N277" s="74"/>
      <c r="V277" s="74"/>
      <c r="W277" s="74"/>
      <c r="X277" s="74"/>
      <c r="AA277" s="74"/>
      <c r="AD277" s="74"/>
      <c r="AE277" s="74"/>
      <c r="AF277" s="74"/>
      <c r="AG277" s="74"/>
      <c r="AJ277" s="75"/>
    </row>
    <row r="278" spans="1:36" s="35" customFormat="1" ht="12.75">
      <c r="A278" s="73"/>
      <c r="B278" s="73"/>
      <c r="J278" s="74"/>
      <c r="M278" s="74"/>
      <c r="N278" s="74"/>
      <c r="V278" s="74"/>
      <c r="W278" s="74"/>
      <c r="X278" s="74"/>
      <c r="AA278" s="74"/>
      <c r="AD278" s="74"/>
      <c r="AE278" s="74"/>
      <c r="AF278" s="74"/>
      <c r="AG278" s="74"/>
      <c r="AJ278" s="75"/>
    </row>
    <row r="279" spans="1:36" s="35" customFormat="1" ht="12.75">
      <c r="A279" s="73"/>
      <c r="B279" s="73"/>
      <c r="J279" s="74"/>
      <c r="M279" s="74"/>
      <c r="N279" s="74"/>
      <c r="V279" s="74"/>
      <c r="W279" s="74"/>
      <c r="X279" s="74"/>
      <c r="AA279" s="74"/>
      <c r="AD279" s="74"/>
      <c r="AE279" s="74"/>
      <c r="AF279" s="74"/>
      <c r="AG279" s="74"/>
      <c r="AJ279" s="75"/>
    </row>
    <row r="280" spans="1:36" s="35" customFormat="1" ht="12.75">
      <c r="A280" s="73"/>
      <c r="B280" s="73"/>
      <c r="J280" s="74"/>
      <c r="M280" s="74"/>
      <c r="N280" s="74"/>
      <c r="V280" s="74"/>
      <c r="W280" s="74"/>
      <c r="X280" s="74"/>
      <c r="AA280" s="74"/>
      <c r="AD280" s="74"/>
      <c r="AE280" s="74"/>
      <c r="AF280" s="74"/>
      <c r="AG280" s="74"/>
      <c r="AJ280" s="75"/>
    </row>
    <row r="281" spans="1:36" s="35" customFormat="1" ht="12.75">
      <c r="A281" s="73"/>
      <c r="B281" s="73"/>
      <c r="J281" s="74"/>
      <c r="M281" s="74"/>
      <c r="N281" s="74"/>
      <c r="V281" s="74"/>
      <c r="W281" s="74"/>
      <c r="X281" s="74"/>
      <c r="AA281" s="74"/>
      <c r="AD281" s="74"/>
      <c r="AE281" s="74"/>
      <c r="AF281" s="74"/>
      <c r="AG281" s="74"/>
      <c r="AJ281" s="75"/>
    </row>
    <row r="282" spans="1:36" s="35" customFormat="1" ht="12.75">
      <c r="A282" s="73"/>
      <c r="B282" s="73"/>
      <c r="J282" s="74"/>
      <c r="M282" s="74"/>
      <c r="N282" s="74"/>
      <c r="V282" s="74"/>
      <c r="W282" s="74"/>
      <c r="X282" s="74"/>
      <c r="AA282" s="74"/>
      <c r="AD282" s="74"/>
      <c r="AE282" s="74"/>
      <c r="AF282" s="74"/>
      <c r="AG282" s="74"/>
      <c r="AJ282" s="75"/>
    </row>
    <row r="283" spans="1:36" s="35" customFormat="1" ht="12.75">
      <c r="A283" s="73"/>
      <c r="B283" s="73"/>
      <c r="J283" s="74"/>
      <c r="M283" s="74"/>
      <c r="N283" s="74"/>
      <c r="V283" s="74"/>
      <c r="W283" s="74"/>
      <c r="X283" s="74"/>
      <c r="AA283" s="74"/>
      <c r="AD283" s="74"/>
      <c r="AE283" s="74"/>
      <c r="AF283" s="74"/>
      <c r="AG283" s="74"/>
      <c r="AJ283" s="75"/>
    </row>
    <row r="284" spans="1:36" s="35" customFormat="1" ht="12.75">
      <c r="A284" s="73"/>
      <c r="B284" s="73"/>
      <c r="J284" s="74"/>
      <c r="M284" s="74"/>
      <c r="N284" s="74"/>
      <c r="V284" s="74"/>
      <c r="W284" s="74"/>
      <c r="X284" s="74"/>
      <c r="AA284" s="74"/>
      <c r="AD284" s="74"/>
      <c r="AE284" s="74"/>
      <c r="AF284" s="74"/>
      <c r="AG284" s="74"/>
      <c r="AJ284" s="75"/>
    </row>
    <row r="285" spans="1:36" s="35" customFormat="1" ht="12.75">
      <c r="A285" s="73"/>
      <c r="B285" s="73"/>
      <c r="J285" s="74"/>
      <c r="M285" s="74"/>
      <c r="N285" s="74"/>
      <c r="V285" s="74"/>
      <c r="W285" s="74"/>
      <c r="X285" s="74"/>
      <c r="AA285" s="74"/>
      <c r="AD285" s="74"/>
      <c r="AE285" s="74"/>
      <c r="AF285" s="74"/>
      <c r="AG285" s="74"/>
      <c r="AJ285" s="75"/>
    </row>
    <row r="286" spans="1:36" s="35" customFormat="1" ht="12.75">
      <c r="A286" s="73"/>
      <c r="B286" s="73"/>
      <c r="J286" s="74"/>
      <c r="M286" s="74"/>
      <c r="N286" s="74"/>
      <c r="V286" s="74"/>
      <c r="W286" s="74"/>
      <c r="X286" s="74"/>
      <c r="AA286" s="74"/>
      <c r="AD286" s="74"/>
      <c r="AE286" s="74"/>
      <c r="AF286" s="74"/>
      <c r="AG286" s="74"/>
      <c r="AJ286" s="75"/>
    </row>
    <row r="287" spans="1:36" s="35" customFormat="1" ht="12.75">
      <c r="A287" s="73"/>
      <c r="B287" s="73"/>
      <c r="J287" s="74"/>
      <c r="M287" s="74"/>
      <c r="N287" s="74"/>
      <c r="V287" s="74"/>
      <c r="W287" s="74"/>
      <c r="X287" s="74"/>
      <c r="AA287" s="74"/>
      <c r="AD287" s="74"/>
      <c r="AE287" s="74"/>
      <c r="AF287" s="74"/>
      <c r="AG287" s="74"/>
      <c r="AJ287" s="75"/>
    </row>
    <row r="288" spans="1:36" s="35" customFormat="1" ht="12.75">
      <c r="A288" s="73"/>
      <c r="B288" s="73"/>
      <c r="J288" s="74"/>
      <c r="M288" s="74"/>
      <c r="N288" s="74"/>
      <c r="V288" s="74"/>
      <c r="W288" s="74"/>
      <c r="X288" s="74"/>
      <c r="AA288" s="74"/>
      <c r="AD288" s="74"/>
      <c r="AE288" s="74"/>
      <c r="AF288" s="74"/>
      <c r="AG288" s="74"/>
      <c r="AJ288" s="75"/>
    </row>
    <row r="289" spans="1:36" s="35" customFormat="1" ht="12.75">
      <c r="A289" s="73"/>
      <c r="B289" s="73"/>
      <c r="J289" s="74"/>
      <c r="M289" s="74"/>
      <c r="N289" s="74"/>
      <c r="V289" s="74"/>
      <c r="W289" s="74"/>
      <c r="X289" s="74"/>
      <c r="AA289" s="74"/>
      <c r="AD289" s="74"/>
      <c r="AE289" s="74"/>
      <c r="AF289" s="74"/>
      <c r="AG289" s="74"/>
      <c r="AJ289" s="75"/>
    </row>
    <row r="290" spans="1:36" s="35" customFormat="1" ht="12.75">
      <c r="A290" s="73"/>
      <c r="B290" s="73"/>
      <c r="J290" s="74"/>
      <c r="M290" s="74"/>
      <c r="N290" s="74"/>
      <c r="V290" s="74"/>
      <c r="W290" s="74"/>
      <c r="X290" s="74"/>
      <c r="AA290" s="74"/>
      <c r="AD290" s="74"/>
      <c r="AE290" s="74"/>
      <c r="AF290" s="74"/>
      <c r="AG290" s="74"/>
      <c r="AJ290" s="75"/>
    </row>
    <row r="291" spans="1:36" s="35" customFormat="1" ht="12.75">
      <c r="A291" s="73"/>
      <c r="B291" s="73"/>
      <c r="J291" s="74"/>
      <c r="M291" s="74"/>
      <c r="N291" s="74"/>
      <c r="V291" s="74"/>
      <c r="W291" s="74"/>
      <c r="X291" s="74"/>
      <c r="AA291" s="74"/>
      <c r="AD291" s="74"/>
      <c r="AE291" s="74"/>
      <c r="AF291" s="74"/>
      <c r="AG291" s="74"/>
      <c r="AJ291" s="75"/>
    </row>
    <row r="292" spans="1:36" s="35" customFormat="1" ht="12.75">
      <c r="A292" s="73"/>
      <c r="B292" s="73"/>
      <c r="J292" s="74"/>
      <c r="M292" s="74"/>
      <c r="N292" s="74"/>
      <c r="V292" s="74"/>
      <c r="W292" s="74"/>
      <c r="X292" s="74"/>
      <c r="AA292" s="74"/>
      <c r="AD292" s="74"/>
      <c r="AE292" s="74"/>
      <c r="AF292" s="74"/>
      <c r="AG292" s="74"/>
      <c r="AJ292" s="75"/>
    </row>
    <row r="293" spans="1:36" s="35" customFormat="1" ht="12.75">
      <c r="A293" s="73"/>
      <c r="B293" s="73"/>
      <c r="J293" s="74"/>
      <c r="M293" s="74"/>
      <c r="N293" s="74"/>
      <c r="V293" s="74"/>
      <c r="W293" s="74"/>
      <c r="X293" s="74"/>
      <c r="AA293" s="74"/>
      <c r="AD293" s="74"/>
      <c r="AE293" s="74"/>
      <c r="AF293" s="74"/>
      <c r="AG293" s="74"/>
      <c r="AJ293" s="75"/>
    </row>
    <row r="294" spans="1:36" s="35" customFormat="1" ht="12.75">
      <c r="A294" s="73"/>
      <c r="B294" s="73"/>
      <c r="J294" s="74"/>
      <c r="M294" s="74"/>
      <c r="N294" s="74"/>
      <c r="V294" s="74"/>
      <c r="W294" s="74"/>
      <c r="X294" s="74"/>
      <c r="AA294" s="74"/>
      <c r="AD294" s="74"/>
      <c r="AE294" s="74"/>
      <c r="AF294" s="74"/>
      <c r="AG294" s="74"/>
      <c r="AJ294" s="75"/>
    </row>
    <row r="295" spans="1:36" s="35" customFormat="1" ht="12.75">
      <c r="A295" s="73"/>
      <c r="B295" s="73"/>
      <c r="J295" s="74"/>
      <c r="M295" s="74"/>
      <c r="N295" s="74"/>
      <c r="V295" s="74"/>
      <c r="W295" s="74"/>
      <c r="X295" s="74"/>
      <c r="AA295" s="74"/>
      <c r="AD295" s="74"/>
      <c r="AE295" s="74"/>
      <c r="AF295" s="74"/>
      <c r="AG295" s="74"/>
      <c r="AJ295" s="75"/>
    </row>
    <row r="296" spans="1:36" s="35" customFormat="1" ht="12.75">
      <c r="A296" s="73"/>
      <c r="B296" s="73"/>
      <c r="J296" s="74"/>
      <c r="M296" s="74"/>
      <c r="N296" s="74"/>
      <c r="V296" s="74"/>
      <c r="W296" s="74"/>
      <c r="X296" s="74"/>
      <c r="AA296" s="74"/>
      <c r="AD296" s="74"/>
      <c r="AE296" s="74"/>
      <c r="AF296" s="74"/>
      <c r="AG296" s="74"/>
      <c r="AJ296" s="75"/>
    </row>
    <row r="297" spans="1:36" s="35" customFormat="1" ht="12.75">
      <c r="A297" s="73"/>
      <c r="B297" s="73"/>
      <c r="J297" s="74"/>
      <c r="M297" s="74"/>
      <c r="N297" s="74"/>
      <c r="V297" s="74"/>
      <c r="W297" s="74"/>
      <c r="X297" s="74"/>
      <c r="AA297" s="74"/>
      <c r="AD297" s="74"/>
      <c r="AE297" s="74"/>
      <c r="AF297" s="74"/>
      <c r="AG297" s="74"/>
      <c r="AJ297" s="75"/>
    </row>
    <row r="298" spans="1:36" s="35" customFormat="1" ht="12.75">
      <c r="A298" s="73"/>
      <c r="B298" s="73"/>
      <c r="J298" s="74"/>
      <c r="M298" s="74"/>
      <c r="N298" s="74"/>
      <c r="V298" s="74"/>
      <c r="W298" s="74"/>
      <c r="X298" s="74"/>
      <c r="AA298" s="74"/>
      <c r="AD298" s="74"/>
      <c r="AE298" s="74"/>
      <c r="AF298" s="74"/>
      <c r="AG298" s="74"/>
      <c r="AJ298" s="75"/>
    </row>
    <row r="299" spans="1:36" s="35" customFormat="1" ht="12.75">
      <c r="A299" s="73"/>
      <c r="B299" s="73"/>
      <c r="J299" s="74"/>
      <c r="M299" s="74"/>
      <c r="N299" s="74"/>
      <c r="V299" s="74"/>
      <c r="W299" s="74"/>
      <c r="X299" s="74"/>
      <c r="AA299" s="74"/>
      <c r="AD299" s="74"/>
      <c r="AE299" s="74"/>
      <c r="AF299" s="74"/>
      <c r="AG299" s="74"/>
      <c r="AJ299" s="75"/>
    </row>
    <row r="300" spans="1:36" s="35" customFormat="1" ht="12.75">
      <c r="A300" s="73"/>
      <c r="B300" s="73"/>
      <c r="J300" s="74"/>
      <c r="M300" s="74"/>
      <c r="N300" s="74"/>
      <c r="V300" s="74"/>
      <c r="W300" s="74"/>
      <c r="X300" s="74"/>
      <c r="AA300" s="74"/>
      <c r="AD300" s="74"/>
      <c r="AE300" s="74"/>
      <c r="AF300" s="74"/>
      <c r="AG300" s="74"/>
      <c r="AJ300" s="75"/>
    </row>
    <row r="301" spans="1:36" s="35" customFormat="1" ht="12.75">
      <c r="A301" s="73"/>
      <c r="B301" s="73"/>
      <c r="J301" s="74"/>
      <c r="M301" s="74"/>
      <c r="N301" s="74"/>
      <c r="V301" s="74"/>
      <c r="W301" s="74"/>
      <c r="X301" s="74"/>
      <c r="AA301" s="74"/>
      <c r="AD301" s="74"/>
      <c r="AE301" s="74"/>
      <c r="AF301" s="74"/>
      <c r="AG301" s="74"/>
      <c r="AJ301" s="75"/>
    </row>
    <row r="302" spans="1:36" s="35" customFormat="1" ht="12.75">
      <c r="A302" s="73"/>
      <c r="B302" s="73"/>
      <c r="J302" s="74"/>
      <c r="M302" s="74"/>
      <c r="N302" s="74"/>
      <c r="V302" s="74"/>
      <c r="W302" s="74"/>
      <c r="X302" s="74"/>
      <c r="AA302" s="74"/>
      <c r="AD302" s="74"/>
      <c r="AE302" s="74"/>
      <c r="AF302" s="74"/>
      <c r="AG302" s="74"/>
      <c r="AJ302" s="75"/>
    </row>
    <row r="303" spans="1:36" s="35" customFormat="1" ht="12.75">
      <c r="A303" s="73"/>
      <c r="B303" s="73"/>
      <c r="J303" s="74"/>
      <c r="M303" s="74"/>
      <c r="N303" s="74"/>
      <c r="V303" s="74"/>
      <c r="W303" s="74"/>
      <c r="X303" s="74"/>
      <c r="AA303" s="74"/>
      <c r="AD303" s="74"/>
      <c r="AE303" s="74"/>
      <c r="AF303" s="74"/>
      <c r="AG303" s="74"/>
      <c r="AJ303" s="75"/>
    </row>
    <row r="304" spans="1:36" s="77" customFormat="1" ht="12.75">
      <c r="A304" s="48"/>
      <c r="B304" s="48"/>
      <c r="J304" s="78"/>
      <c r="M304" s="78"/>
      <c r="N304" s="78"/>
      <c r="P304" s="79"/>
      <c r="Q304" s="79"/>
      <c r="U304" s="79"/>
      <c r="V304" s="80"/>
      <c r="W304" s="81"/>
      <c r="X304" s="81"/>
      <c r="Y304" s="82"/>
      <c r="Z304" s="82"/>
      <c r="AA304" s="81"/>
      <c r="AB304" s="83"/>
      <c r="AC304" s="83"/>
      <c r="AD304" s="84"/>
      <c r="AE304" s="84"/>
      <c r="AF304" s="84"/>
      <c r="AG304" s="84"/>
      <c r="AH304" s="83"/>
      <c r="AI304" s="83"/>
      <c r="AJ304" s="85"/>
    </row>
  </sheetData>
  <mergeCells count="7">
    <mergeCell ref="W3:AA3"/>
    <mergeCell ref="AD3:AI3"/>
    <mergeCell ref="A149:M149"/>
    <mergeCell ref="A150:M150"/>
    <mergeCell ref="A3:M3"/>
    <mergeCell ref="N3:Q3"/>
    <mergeCell ref="R3:V3"/>
  </mergeCells>
  <dataValidations count="3">
    <dataValidation type="list" allowBlank="1" showInputMessage="1" showErrorMessage="1" sqref="L65536">
      <formula1>$AO$10:$AO$12</formula1>
    </dataValidation>
    <dataValidation type="list" allowBlank="1" showInputMessage="1" showErrorMessage="1" sqref="N112:N145">
      <formula1>Funds</formula1>
    </dataValidation>
    <dataValidation type="list" allowBlank="1" showInputMessage="1" showErrorMessage="1" sqref="F115:F148">
      <formula1>$AL$10:$AL$14</formula1>
    </dataValidation>
  </dataValidations>
  <hyperlinks>
    <hyperlink ref="C5" location="ColumnC" display="Vendor Name"/>
    <hyperlink ref="D5" location="ColumnD" display="Contract #"/>
  </hyperlinks>
  <printOptions/>
  <pageMargins left="0.7" right="0.7" top="0.75" bottom="0.75" header="0.3" footer="0.3"/>
  <pageSetup orientation="portrait" paperSize="9"/>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763CE5ED52EC4184A463E2594BD052" ma:contentTypeVersion="3" ma:contentTypeDescription="Create a new document." ma:contentTypeScope="" ma:versionID="04252475493075cd8da1919e14b3bade">
  <xsd:schema xmlns:xsd="http://www.w3.org/2001/XMLSchema" xmlns:p="http://schemas.microsoft.com/office/2006/metadata/properties" xmlns:ns2="e53c762e-52ed-41ec-84a4-63e2594bd052" targetNamespace="http://schemas.microsoft.com/office/2006/metadata/properties" ma:root="true" ma:fieldsID="ea5f928b155b2a36f1acf9283898425f" ns2:_="">
    <xsd:import namespace="e53c762e-52ed-41ec-84a4-63e2594bd052"/>
    <xsd:element name="properties">
      <xsd:complexType>
        <xsd:sequence>
          <xsd:element name="documentManagement">
            <xsd:complexType>
              <xsd:all>
                <xsd:element ref="ns2:Target_x0020_Audience"/>
              </xsd:all>
            </xsd:complexType>
          </xsd:element>
        </xsd:sequence>
      </xsd:complexType>
    </xsd:element>
  </xsd:schema>
  <xsd:schema xmlns:xsd="http://www.w3.org/2001/XMLSchema" xmlns:dms="http://schemas.microsoft.com/office/2006/documentManagement/types" targetNamespace="e53c762e-52ed-41ec-84a4-63e2594bd052" elementFormDefault="qualified">
    <xsd:import namespace="http://schemas.microsoft.com/office/2006/documentManagement/types"/>
    <xsd:element name="Target_x0020_Audience" ma:index="9" ma:displayName="Target Audience" ma:default="Finance" ma:internalName="Target_x0020_Audienc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rget_x0020_Audience xmlns="e53c762e-52ed-41ec-84a4-63e2594bd052">Finance</Target_x0020_Audience>
  </documentManagement>
</p:properties>
</file>

<file path=customXml/itemProps1.xml><?xml version="1.0" encoding="utf-8"?>
<ds:datastoreItem xmlns:ds="http://schemas.openxmlformats.org/officeDocument/2006/customXml" ds:itemID="{FA0DB65C-D021-4753-8B3F-AEDD95495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c762e-52ed-41ec-84a4-63e2594bd05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8940C97-A989-4C3C-B199-C14B42538EAC}">
  <ds:schemaRefs>
    <ds:schemaRef ds:uri="http://schemas.microsoft.com/sharepoint/v3/contenttype/forms"/>
  </ds:schemaRefs>
</ds:datastoreItem>
</file>

<file path=customXml/itemProps3.xml><?xml version="1.0" encoding="utf-8"?>
<ds:datastoreItem xmlns:ds="http://schemas.openxmlformats.org/officeDocument/2006/customXml" ds:itemID="{EF004224-C84C-4B5F-8DC6-CAA276EC803B}">
  <ds:schemaRefs>
    <ds:schemaRef ds:uri="http://purl.org/dc/terms/"/>
    <ds:schemaRef ds:uri="e53c762e-52ed-41ec-84a4-63e2594bd052"/>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redmondeg</dc:creator>
  <cp:keywords/>
  <dc:description/>
  <cp:lastModifiedBy>Patchell, Lisa M (AF/FMD/Contractor)</cp:lastModifiedBy>
  <cp:lastPrinted>2015-12-29T09:46:13Z</cp:lastPrinted>
  <dcterms:created xsi:type="dcterms:W3CDTF">2010-11-03T22:14:00Z</dcterms:created>
  <dcterms:modified xsi:type="dcterms:W3CDTF">2020-09-27T17:35:25Z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0x01010095E09189B30DC146B5DFA713E94F1E2B</vt:lpwstr>
  </property>
</Properties>
</file>