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Josué Ricart\Desktop\Información Página Web\10. Requerimientos de Desembolso e informes requeridos por MCC relacionados\21 Desembolso\"/>
    </mc:Choice>
  </mc:AlternateContent>
  <bookViews>
    <workbookView xWindow="0" yWindow="0" windowWidth="28800" windowHeight="12330" activeTab="1"/>
  </bookViews>
  <sheets>
    <sheet name="DFP-Com" sheetId="1" r:id="rId1"/>
    <sheet name="DFP-CASH" sheetId="2" r:id="rId2"/>
    <sheet name="QFR - A" sheetId="3" r:id="rId3"/>
    <sheet name="QFR - B" sheetId="4" r:id="rId4"/>
    <sheet name="QFR - B (2)" sheetId="10" state="hidden" r:id="rId5"/>
    <sheet name="THP DR" sheetId="5" r:id="rId6"/>
    <sheet name="Contract level" sheetId="6" state="hidden" r:id="rId7"/>
    <sheet name="Error checks" sheetId="7" state="hidden" r:id="rId8"/>
    <sheet name="Historico" sheetId="9" state="hidden" r:id="rId9"/>
  </sheets>
  <externalReferences>
    <externalReference r:id="rId10"/>
  </externalReferences>
  <definedNames>
    <definedName name="_xlnm._FilterDatabase" localSheetId="6" hidden="1">'Contract level'!$A$3:$BX$248</definedName>
    <definedName name="_xlnm._FilterDatabase" localSheetId="1" hidden="1">'DFP-CASH'!$C$1:$E$85</definedName>
    <definedName name="_xlnm._FilterDatabase" localSheetId="8" hidden="1">Historico!$A$3:$BD$38</definedName>
    <definedName name="_xlnm.Print_Area" localSheetId="1">'DFP-CASH'!$B$11:$M$54</definedName>
    <definedName name="_xlnm.Print_Area" localSheetId="0">'DFP-Com'!$B$9:$GX$52</definedName>
    <definedName name="ScheduleA" localSheetId="8">#REF!</definedName>
    <definedName name="ScheduleA" localSheetId="4">#REF!</definedName>
    <definedName name="ScheduleA">#REF!</definedName>
    <definedName name="ScheduleB" localSheetId="8">#REF!</definedName>
    <definedName name="ScheduleB" localSheetId="4">#REF!</definedName>
    <definedName name="ScheduleB">#REF!</definedName>
    <definedName name="ScheduleF" localSheetId="8">#REF!</definedName>
    <definedName name="ScheduleF" localSheetId="4">#REF!</definedName>
    <definedName name="ScheduleF">#REF!</definedName>
  </definedNames>
  <calcPr calcId="191029"/>
  <fileRecoveryPr autoRecover="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45" i="1" l="1"/>
  <c r="E50" i="1" s="1"/>
  <c r="F45" i="1"/>
  <c r="F50" i="1" s="1"/>
  <c r="G45" i="1"/>
  <c r="G50" i="1" s="1"/>
  <c r="AE213" i="6"/>
  <c r="AF213" i="6"/>
  <c r="AG213" i="6"/>
  <c r="AH213" i="6"/>
  <c r="AI213" i="6"/>
  <c r="BZ213" i="6" s="1"/>
  <c r="AJ213" i="6"/>
  <c r="AK213" i="6"/>
  <c r="AL213" i="6"/>
  <c r="AM213" i="6"/>
  <c r="AN213" i="6"/>
  <c r="AO213" i="6"/>
  <c r="AP213" i="6"/>
  <c r="AQ213" i="6"/>
  <c r="AR213" i="6"/>
  <c r="AS213" i="6"/>
  <c r="AT213" i="6"/>
  <c r="AU213" i="6"/>
  <c r="AV213" i="6"/>
  <c r="AW213" i="6"/>
  <c r="AX213" i="6"/>
  <c r="AY213" i="6"/>
  <c r="AZ213" i="6"/>
  <c r="BB213" i="6"/>
  <c r="BC213" i="6"/>
  <c r="BY213" i="6" s="1"/>
  <c r="BD213" i="6"/>
  <c r="BE213" i="6"/>
  <c r="BF213" i="6"/>
  <c r="BG213" i="6"/>
  <c r="BH213" i="6"/>
  <c r="BI213" i="6"/>
  <c r="BJ213" i="6"/>
  <c r="BK213" i="6"/>
  <c r="BL213" i="6"/>
  <c r="BM213" i="6"/>
  <c r="BN213" i="6"/>
  <c r="BO213" i="6"/>
  <c r="BP213" i="6"/>
  <c r="BQ213" i="6"/>
  <c r="BR213" i="6"/>
  <c r="BS213" i="6"/>
  <c r="BT213" i="6"/>
  <c r="BU213" i="6"/>
  <c r="BV213" i="6"/>
  <c r="BW213" i="6"/>
  <c r="AC213" i="6"/>
  <c r="BB209" i="6"/>
  <c r="BB4" i="6"/>
  <c r="BB5" i="6"/>
  <c r="BB6" i="6"/>
  <c r="BB7" i="6"/>
  <c r="BB8" i="6"/>
  <c r="BB9" i="6"/>
  <c r="BB10" i="6"/>
  <c r="BB11" i="6"/>
  <c r="BB12" i="6"/>
  <c r="BB13" i="6"/>
  <c r="BB14" i="6"/>
  <c r="BB15" i="6"/>
  <c r="BB16" i="6"/>
  <c r="BB17" i="6"/>
  <c r="BB18" i="6"/>
  <c r="BB19" i="6"/>
  <c r="BB20" i="6"/>
  <c r="BB21" i="6"/>
  <c r="BB22" i="6"/>
  <c r="BB23" i="6"/>
  <c r="BB24" i="6"/>
  <c r="BB25" i="6"/>
  <c r="BB26" i="6"/>
  <c r="BB27" i="6"/>
  <c r="BB28" i="6"/>
  <c r="BB29" i="6"/>
  <c r="BB30" i="6"/>
  <c r="BB31" i="6"/>
  <c r="BB32" i="6"/>
  <c r="BB33" i="6"/>
  <c r="BB34" i="6"/>
  <c r="BB35" i="6"/>
  <c r="BB36" i="6"/>
  <c r="BB37" i="6"/>
  <c r="BB38" i="6"/>
  <c r="BB39" i="6"/>
  <c r="BB40" i="6"/>
  <c r="BB41" i="6"/>
  <c r="BB42" i="6"/>
  <c r="BB43" i="6"/>
  <c r="BB44" i="6"/>
  <c r="BB45" i="6"/>
  <c r="BB46" i="6"/>
  <c r="BB47" i="6"/>
  <c r="BB48" i="6"/>
  <c r="BB49" i="6"/>
  <c r="BB50" i="6"/>
  <c r="BB51" i="6"/>
  <c r="BB52" i="6"/>
  <c r="BB53" i="6"/>
  <c r="BB54" i="6"/>
  <c r="BB55" i="6"/>
  <c r="BB56" i="6"/>
  <c r="BB57" i="6"/>
  <c r="BB58" i="6"/>
  <c r="BB59" i="6"/>
  <c r="BB60" i="6"/>
  <c r="BB61" i="6"/>
  <c r="BB62" i="6"/>
  <c r="BB63" i="6"/>
  <c r="BB64" i="6"/>
  <c r="BB65" i="6"/>
  <c r="BB66" i="6"/>
  <c r="BB67" i="6"/>
  <c r="BB68" i="6"/>
  <c r="BB69" i="6"/>
  <c r="BB70" i="6"/>
  <c r="BB71" i="6"/>
  <c r="BB72" i="6"/>
  <c r="BB73" i="6"/>
  <c r="BB74" i="6"/>
  <c r="BB75" i="6"/>
  <c r="BB76" i="6"/>
  <c r="BB77" i="6"/>
  <c r="BB78" i="6"/>
  <c r="BB79" i="6"/>
  <c r="BB80" i="6"/>
  <c r="BB81" i="6"/>
  <c r="BB82" i="6"/>
  <c r="BB83" i="6"/>
  <c r="BB84" i="6"/>
  <c r="BB85" i="6"/>
  <c r="BB86" i="6"/>
  <c r="BB87" i="6"/>
  <c r="BB88" i="6"/>
  <c r="BB89" i="6"/>
  <c r="BB90" i="6"/>
  <c r="BB91" i="6"/>
  <c r="BB92" i="6"/>
  <c r="BB93" i="6"/>
  <c r="BB94" i="6"/>
  <c r="BB95" i="6"/>
  <c r="BB96" i="6"/>
  <c r="BB97" i="6"/>
  <c r="BB98" i="6"/>
  <c r="BB99" i="6"/>
  <c r="BB100" i="6"/>
  <c r="BB101" i="6"/>
  <c r="BB102" i="6"/>
  <c r="BB103" i="6"/>
  <c r="BB104" i="6"/>
  <c r="BB105" i="6"/>
  <c r="BB106" i="6"/>
  <c r="BB107" i="6"/>
  <c r="BB108" i="6"/>
  <c r="BB109" i="6"/>
  <c r="BB110" i="6"/>
  <c r="BB111" i="6"/>
  <c r="BB112" i="6"/>
  <c r="BB113" i="6"/>
  <c r="BB114" i="6"/>
  <c r="BB115" i="6"/>
  <c r="BB116" i="6"/>
  <c r="BB117" i="6"/>
  <c r="BB118" i="6"/>
  <c r="BB119" i="6"/>
  <c r="BB120" i="6"/>
  <c r="BB121" i="6"/>
  <c r="BB122" i="6"/>
  <c r="BB123" i="6"/>
  <c r="BB124" i="6"/>
  <c r="BB125" i="6"/>
  <c r="BB126" i="6"/>
  <c r="BB127" i="6"/>
  <c r="BB128" i="6"/>
  <c r="BB129" i="6"/>
  <c r="BB130" i="6"/>
  <c r="BB131" i="6"/>
  <c r="BB132" i="6"/>
  <c r="BB133" i="6"/>
  <c r="BB134" i="6"/>
  <c r="BB135" i="6"/>
  <c r="BB136" i="6"/>
  <c r="BB137" i="6"/>
  <c r="BB138" i="6"/>
  <c r="BB139" i="6"/>
  <c r="BB140" i="6"/>
  <c r="BB141" i="6"/>
  <c r="BB142" i="6"/>
  <c r="BB143" i="6"/>
  <c r="BB144" i="6"/>
  <c r="BB145" i="6"/>
  <c r="BB146" i="6"/>
  <c r="BB147" i="6"/>
  <c r="BB148" i="6"/>
  <c r="BB149" i="6"/>
  <c r="BB150" i="6"/>
  <c r="BB151" i="6"/>
  <c r="BB152" i="6"/>
  <c r="BB153" i="6"/>
  <c r="BB154" i="6"/>
  <c r="BB155" i="6"/>
  <c r="BB156" i="6"/>
  <c r="BB157" i="6"/>
  <c r="BB158" i="6"/>
  <c r="BB159" i="6"/>
  <c r="BB160" i="6"/>
  <c r="BB161" i="6"/>
  <c r="BB162" i="6"/>
  <c r="BB163" i="6"/>
  <c r="BB164" i="6"/>
  <c r="BB165" i="6"/>
  <c r="BB166" i="6"/>
  <c r="BB167" i="6"/>
  <c r="BB168" i="6"/>
  <c r="BB169" i="6"/>
  <c r="BB170" i="6"/>
  <c r="BB171" i="6"/>
  <c r="BB172" i="6"/>
  <c r="BB174" i="6"/>
  <c r="BB175" i="6"/>
  <c r="BB176" i="6"/>
  <c r="BB177" i="6"/>
  <c r="BB178" i="6"/>
  <c r="BB179" i="6"/>
  <c r="BB180" i="6"/>
  <c r="BB181" i="6"/>
  <c r="BB182" i="6"/>
  <c r="BB183" i="6"/>
  <c r="BB184" i="6"/>
  <c r="BB185" i="6"/>
  <c r="BB186" i="6"/>
  <c r="BB187" i="6"/>
  <c r="BY187" i="6" s="1"/>
  <c r="BB188" i="6"/>
  <c r="BB189" i="6"/>
  <c r="BB192" i="6"/>
  <c r="BB193" i="6"/>
  <c r="BB196" i="6"/>
  <c r="BB197" i="6"/>
  <c r="AE198" i="6"/>
  <c r="AF198" i="6"/>
  <c r="BB198" i="6" s="1"/>
  <c r="AG198" i="6"/>
  <c r="AH198" i="6"/>
  <c r="BB199" i="6"/>
  <c r="BB201" i="6"/>
  <c r="BB202" i="6"/>
  <c r="BB203" i="6"/>
  <c r="BB204" i="6"/>
  <c r="BB205" i="6"/>
  <c r="BB206" i="6"/>
  <c r="BB207" i="6"/>
  <c r="BB208" i="6"/>
  <c r="BB210" i="6"/>
  <c r="BB211" i="6"/>
  <c r="BB212" i="6"/>
  <c r="BB214" i="6"/>
  <c r="BB215" i="6"/>
  <c r="BB216" i="6"/>
  <c r="AE220" i="6"/>
  <c r="BB220" i="6"/>
  <c r="BB221" i="6"/>
  <c r="BB222" i="6"/>
  <c r="BB223" i="6"/>
  <c r="AE224" i="6"/>
  <c r="BB224" i="6" s="1"/>
  <c r="BC209" i="6"/>
  <c r="BC4" i="6"/>
  <c r="BC5" i="6"/>
  <c r="BC6" i="6"/>
  <c r="BC7" i="6"/>
  <c r="BC250" i="6" s="1"/>
  <c r="BC8" i="6"/>
  <c r="BC9" i="6"/>
  <c r="BC10" i="6"/>
  <c r="BC11" i="6"/>
  <c r="BC12" i="6"/>
  <c r="BC13" i="6"/>
  <c r="BC14" i="6"/>
  <c r="BC15" i="6"/>
  <c r="BC16" i="6"/>
  <c r="BC17" i="6"/>
  <c r="BC18" i="6"/>
  <c r="BC19" i="6"/>
  <c r="BC20" i="6"/>
  <c r="BC21" i="6"/>
  <c r="BC23" i="6"/>
  <c r="BC24" i="6"/>
  <c r="BC25" i="6"/>
  <c r="BC26" i="6"/>
  <c r="BC27" i="6"/>
  <c r="BC28" i="6"/>
  <c r="BC29" i="6"/>
  <c r="BC30" i="6"/>
  <c r="BC31" i="6"/>
  <c r="BC32" i="6"/>
  <c r="BC33" i="6"/>
  <c r="BC34" i="6"/>
  <c r="BC35" i="6"/>
  <c r="BC36" i="6"/>
  <c r="BC37" i="6"/>
  <c r="BC38" i="6"/>
  <c r="BC39" i="6"/>
  <c r="BC40" i="6"/>
  <c r="BC41" i="6"/>
  <c r="BC42" i="6"/>
  <c r="BC43" i="6"/>
  <c r="BC44" i="6"/>
  <c r="BC45" i="6"/>
  <c r="BC46" i="6"/>
  <c r="BC47" i="6"/>
  <c r="BC48" i="6"/>
  <c r="BC49" i="6"/>
  <c r="BC50" i="6"/>
  <c r="BC51" i="6"/>
  <c r="BC52" i="6"/>
  <c r="BC53" i="6"/>
  <c r="BC54" i="6"/>
  <c r="BC55" i="6"/>
  <c r="BC56" i="6"/>
  <c r="BC57" i="6"/>
  <c r="BC58" i="6"/>
  <c r="BC59" i="6"/>
  <c r="BC60" i="6"/>
  <c r="BC61" i="6"/>
  <c r="BC62" i="6"/>
  <c r="BC63" i="6"/>
  <c r="BC64" i="6"/>
  <c r="BC65" i="6"/>
  <c r="BC66" i="6"/>
  <c r="BC67" i="6"/>
  <c r="BC68" i="6"/>
  <c r="BC69" i="6"/>
  <c r="BC70" i="6"/>
  <c r="BC71" i="6"/>
  <c r="BC72" i="6"/>
  <c r="BC73" i="6"/>
  <c r="BC74" i="6"/>
  <c r="BC75" i="6"/>
  <c r="BC76" i="6"/>
  <c r="BC77" i="6"/>
  <c r="BC78" i="6"/>
  <c r="BC79" i="6"/>
  <c r="BC80" i="6"/>
  <c r="BC81" i="6"/>
  <c r="BC82" i="6"/>
  <c r="BC83" i="6"/>
  <c r="BC84" i="6"/>
  <c r="BC85" i="6"/>
  <c r="BC86" i="6"/>
  <c r="BC87" i="6"/>
  <c r="BC88" i="6"/>
  <c r="BC89" i="6"/>
  <c r="BC90" i="6"/>
  <c r="BC91" i="6"/>
  <c r="BC92" i="6"/>
  <c r="BC93" i="6"/>
  <c r="BC94" i="6"/>
  <c r="BC95" i="6"/>
  <c r="BC96" i="6"/>
  <c r="BC97" i="6"/>
  <c r="BC98" i="6"/>
  <c r="BC99" i="6"/>
  <c r="BC100" i="6"/>
  <c r="BC101" i="6"/>
  <c r="BC102" i="6"/>
  <c r="BC103" i="6"/>
  <c r="BC104" i="6"/>
  <c r="BC105" i="6"/>
  <c r="BC106" i="6"/>
  <c r="BC107" i="6"/>
  <c r="BC108" i="6"/>
  <c r="BC109" i="6"/>
  <c r="BC110" i="6"/>
  <c r="BC111" i="6"/>
  <c r="BC112" i="6"/>
  <c r="BC113" i="6"/>
  <c r="BC114" i="6"/>
  <c r="BC115" i="6"/>
  <c r="BC116" i="6"/>
  <c r="BC117" i="6"/>
  <c r="BC118" i="6"/>
  <c r="BC119" i="6"/>
  <c r="BC120" i="6"/>
  <c r="BC121" i="6"/>
  <c r="BC122" i="6"/>
  <c r="BC123" i="6"/>
  <c r="BC124" i="6"/>
  <c r="BC125" i="6"/>
  <c r="BC126" i="6"/>
  <c r="BC127" i="6"/>
  <c r="BC128" i="6"/>
  <c r="BC129" i="6"/>
  <c r="BC130" i="6"/>
  <c r="BC131" i="6"/>
  <c r="BC132" i="6"/>
  <c r="BC133" i="6"/>
  <c r="BC134" i="6"/>
  <c r="BC135" i="6"/>
  <c r="BC136" i="6"/>
  <c r="BC137" i="6"/>
  <c r="BC138" i="6"/>
  <c r="BC139" i="6"/>
  <c r="BC140" i="6"/>
  <c r="BC141" i="6"/>
  <c r="BC142" i="6"/>
  <c r="BC143" i="6"/>
  <c r="BC144" i="6"/>
  <c r="BC145" i="6"/>
  <c r="BC146" i="6"/>
  <c r="BC147" i="6"/>
  <c r="BC148" i="6"/>
  <c r="BC149" i="6"/>
  <c r="BC150" i="6"/>
  <c r="BC151" i="6"/>
  <c r="BC152" i="6"/>
  <c r="BC153" i="6"/>
  <c r="BC154" i="6"/>
  <c r="BC155" i="6"/>
  <c r="BC156" i="6"/>
  <c r="BC157" i="6"/>
  <c r="BC158" i="6"/>
  <c r="BC159" i="6"/>
  <c r="BC160" i="6"/>
  <c r="BC161" i="6"/>
  <c r="BC162" i="6"/>
  <c r="BC163" i="6"/>
  <c r="BC164" i="6"/>
  <c r="BC165" i="6"/>
  <c r="BC166" i="6"/>
  <c r="BC167" i="6"/>
  <c r="BC168" i="6"/>
  <c r="BC169" i="6"/>
  <c r="BC170" i="6"/>
  <c r="BC171" i="6"/>
  <c r="BC172" i="6"/>
  <c r="BC174" i="6"/>
  <c r="BC175" i="6"/>
  <c r="BC176" i="6"/>
  <c r="BC177" i="6"/>
  <c r="BC178" i="6"/>
  <c r="BC179" i="6"/>
  <c r="BC180" i="6"/>
  <c r="BC181" i="6"/>
  <c r="BC182" i="6"/>
  <c r="BC183" i="6"/>
  <c r="BC184" i="6"/>
  <c r="BC185" i="6"/>
  <c r="BC186" i="6"/>
  <c r="BC187" i="6"/>
  <c r="BC188" i="6"/>
  <c r="BC189" i="6"/>
  <c r="BC192" i="6"/>
  <c r="BC193" i="6"/>
  <c r="BC196" i="6"/>
  <c r="BC197" i="6"/>
  <c r="BC198" i="6"/>
  <c r="BC203" i="6"/>
  <c r="BC204" i="6"/>
  <c r="BC205" i="6"/>
  <c r="BC206" i="6"/>
  <c r="BC207" i="6"/>
  <c r="BC208" i="6"/>
  <c r="BC210" i="6"/>
  <c r="BC211" i="6"/>
  <c r="BC212" i="6"/>
  <c r="BC214" i="6"/>
  <c r="BC215" i="6"/>
  <c r="BC216" i="6"/>
  <c r="AF220" i="6"/>
  <c r="BC220" i="6" s="1"/>
  <c r="BC221" i="6"/>
  <c r="BC222" i="6"/>
  <c r="BC223" i="6"/>
  <c r="AF224" i="6"/>
  <c r="BC224" i="6"/>
  <c r="BD209" i="6"/>
  <c r="BD4" i="6"/>
  <c r="BD5" i="6"/>
  <c r="BD6" i="6"/>
  <c r="BD7" i="6"/>
  <c r="BD8" i="6"/>
  <c r="BD9" i="6"/>
  <c r="BD10" i="6"/>
  <c r="BD11" i="6"/>
  <c r="BD12" i="6"/>
  <c r="BD13" i="6"/>
  <c r="BD14" i="6"/>
  <c r="BD15" i="6"/>
  <c r="BD16" i="6"/>
  <c r="BD17" i="6"/>
  <c r="BD18" i="6"/>
  <c r="BD19" i="6"/>
  <c r="BD20" i="6"/>
  <c r="BD21" i="6"/>
  <c r="BD22" i="6"/>
  <c r="BD23" i="6"/>
  <c r="BD24" i="6"/>
  <c r="BD25" i="6"/>
  <c r="BD26" i="6"/>
  <c r="BD27" i="6"/>
  <c r="BD28" i="6"/>
  <c r="BD29" i="6"/>
  <c r="BD30" i="6"/>
  <c r="BD31" i="6"/>
  <c r="BD32" i="6"/>
  <c r="BD33" i="6"/>
  <c r="BD34" i="6"/>
  <c r="BD35" i="6"/>
  <c r="BD36" i="6"/>
  <c r="BD37" i="6"/>
  <c r="BD38" i="6"/>
  <c r="BD39" i="6"/>
  <c r="BD40" i="6"/>
  <c r="BD41" i="6"/>
  <c r="BD42" i="6"/>
  <c r="BD43" i="6"/>
  <c r="BD44" i="6"/>
  <c r="BD45" i="6"/>
  <c r="BD46" i="6"/>
  <c r="BD47" i="6"/>
  <c r="BD48" i="6"/>
  <c r="BD49" i="6"/>
  <c r="BD50" i="6"/>
  <c r="E51" i="6"/>
  <c r="BD51" i="6"/>
  <c r="BD52" i="6"/>
  <c r="BD53" i="6"/>
  <c r="BD54" i="6"/>
  <c r="BD55" i="6"/>
  <c r="BD56" i="6"/>
  <c r="BD57" i="6"/>
  <c r="BD58" i="6"/>
  <c r="BD59" i="6"/>
  <c r="BD60" i="6"/>
  <c r="BD61" i="6"/>
  <c r="BD62" i="6"/>
  <c r="BD63" i="6"/>
  <c r="BD64" i="6"/>
  <c r="BD65" i="6"/>
  <c r="BD66" i="6"/>
  <c r="BD67" i="6"/>
  <c r="BD68" i="6"/>
  <c r="BD69" i="6"/>
  <c r="BD70" i="6"/>
  <c r="BD71" i="6"/>
  <c r="BD72" i="6"/>
  <c r="BD73" i="6"/>
  <c r="BD74" i="6"/>
  <c r="BD75" i="6"/>
  <c r="BD76" i="6"/>
  <c r="BD77" i="6"/>
  <c r="BD78" i="6"/>
  <c r="BD79" i="6"/>
  <c r="BD80" i="6"/>
  <c r="BD81" i="6"/>
  <c r="BD82" i="6"/>
  <c r="BD83" i="6"/>
  <c r="BD84" i="6"/>
  <c r="BD85" i="6"/>
  <c r="BD86" i="6"/>
  <c r="BD87" i="6"/>
  <c r="BD88" i="6"/>
  <c r="BD89" i="6"/>
  <c r="BD90" i="6"/>
  <c r="BD91" i="6"/>
  <c r="BD92" i="6"/>
  <c r="BD93" i="6"/>
  <c r="BD94" i="6"/>
  <c r="BD95" i="6"/>
  <c r="BD96" i="6"/>
  <c r="BD97" i="6"/>
  <c r="BD98" i="6"/>
  <c r="BD99" i="6"/>
  <c r="BD100" i="6"/>
  <c r="BD101" i="6"/>
  <c r="BD102" i="6"/>
  <c r="BD103" i="6"/>
  <c r="BD104" i="6"/>
  <c r="BD105" i="6"/>
  <c r="BD106" i="6"/>
  <c r="BD107" i="6"/>
  <c r="BY107" i="6" s="1"/>
  <c r="BD108" i="6"/>
  <c r="BD109" i="6"/>
  <c r="BD110" i="6"/>
  <c r="BD111" i="6"/>
  <c r="BD112" i="6"/>
  <c r="BD113" i="6"/>
  <c r="BD114" i="6"/>
  <c r="BD115" i="6"/>
  <c r="BD116" i="6"/>
  <c r="BD117" i="6"/>
  <c r="BD118" i="6"/>
  <c r="BD119" i="6"/>
  <c r="BD120" i="6"/>
  <c r="BD121" i="6"/>
  <c r="BD122" i="6"/>
  <c r="BD123" i="6"/>
  <c r="BD124" i="6"/>
  <c r="BD125" i="6"/>
  <c r="BD126" i="6"/>
  <c r="BD127" i="6"/>
  <c r="BD128" i="6"/>
  <c r="BD129" i="6"/>
  <c r="BD130" i="6"/>
  <c r="BD131" i="6"/>
  <c r="BD132" i="6"/>
  <c r="BD133" i="6"/>
  <c r="BD134" i="6"/>
  <c r="BD135" i="6"/>
  <c r="BD136" i="6"/>
  <c r="BD137" i="6"/>
  <c r="BD138" i="6"/>
  <c r="BD139" i="6"/>
  <c r="BD140" i="6"/>
  <c r="BD141" i="6"/>
  <c r="BD142" i="6"/>
  <c r="BD143" i="6"/>
  <c r="BD144" i="6"/>
  <c r="BD145" i="6"/>
  <c r="BD146" i="6"/>
  <c r="BD147" i="6"/>
  <c r="BD148" i="6"/>
  <c r="BD149" i="6"/>
  <c r="BD150" i="6"/>
  <c r="BD151" i="6"/>
  <c r="BD152" i="6"/>
  <c r="BD153" i="6"/>
  <c r="BD154" i="6"/>
  <c r="BD155" i="6"/>
  <c r="BD156" i="6"/>
  <c r="BD157" i="6"/>
  <c r="BD158" i="6"/>
  <c r="BD159" i="6"/>
  <c r="BD160" i="6"/>
  <c r="BD161" i="6"/>
  <c r="BD162" i="6"/>
  <c r="BD163" i="6"/>
  <c r="BD164" i="6"/>
  <c r="BD165" i="6"/>
  <c r="BD166" i="6"/>
  <c r="BD167" i="6"/>
  <c r="BD168" i="6"/>
  <c r="BD169" i="6"/>
  <c r="AG170" i="6"/>
  <c r="AH170" i="6"/>
  <c r="BD170" i="6" s="1"/>
  <c r="AI170" i="6"/>
  <c r="AJ170" i="6"/>
  <c r="BD172" i="6"/>
  <c r="BD174" i="6"/>
  <c r="BD175" i="6"/>
  <c r="BD176" i="6"/>
  <c r="BD177" i="6"/>
  <c r="BD178" i="6"/>
  <c r="BD179" i="6"/>
  <c r="BD180" i="6"/>
  <c r="BD181" i="6"/>
  <c r="BD182" i="6"/>
  <c r="BD183" i="6"/>
  <c r="BD184" i="6"/>
  <c r="BD185" i="6"/>
  <c r="BD186" i="6"/>
  <c r="BD187" i="6"/>
  <c r="BD188" i="6"/>
  <c r="BD189" i="6"/>
  <c r="BD192" i="6"/>
  <c r="BD193" i="6"/>
  <c r="BD196" i="6"/>
  <c r="BD197" i="6"/>
  <c r="BD198" i="6"/>
  <c r="BD199" i="6"/>
  <c r="BD201" i="6"/>
  <c r="BD202" i="6"/>
  <c r="BD203" i="6"/>
  <c r="BD204" i="6"/>
  <c r="BD205" i="6"/>
  <c r="BD206" i="6"/>
  <c r="BD207" i="6"/>
  <c r="BD208" i="6"/>
  <c r="BD210" i="6"/>
  <c r="BD211" i="6"/>
  <c r="BD212" i="6"/>
  <c r="BD214" i="6"/>
  <c r="BD215" i="6"/>
  <c r="BD216" i="6"/>
  <c r="AG220" i="6"/>
  <c r="BD220" i="6"/>
  <c r="BD221" i="6"/>
  <c r="BD222" i="6"/>
  <c r="BD223" i="6"/>
  <c r="AG224" i="6"/>
  <c r="BD224" i="6" s="1"/>
  <c r="BE209" i="6"/>
  <c r="BE4" i="6"/>
  <c r="BE5" i="6"/>
  <c r="BE6" i="6"/>
  <c r="BE7" i="6"/>
  <c r="BE8" i="6"/>
  <c r="BE9" i="6"/>
  <c r="BE10" i="6"/>
  <c r="BE11" i="6"/>
  <c r="BE12" i="6"/>
  <c r="BE13" i="6"/>
  <c r="BE14" i="6"/>
  <c r="BE15" i="6"/>
  <c r="BE16" i="6"/>
  <c r="BE17" i="6"/>
  <c r="BE18" i="6"/>
  <c r="BE19" i="6"/>
  <c r="BE20" i="6"/>
  <c r="BE21" i="6"/>
  <c r="BE22" i="6"/>
  <c r="BE23" i="6"/>
  <c r="BE24" i="6"/>
  <c r="BE25" i="6"/>
  <c r="BE26" i="6"/>
  <c r="BE27" i="6"/>
  <c r="BE28" i="6"/>
  <c r="BE29" i="6"/>
  <c r="BE30" i="6"/>
  <c r="BE31" i="6"/>
  <c r="BE32" i="6"/>
  <c r="BE33" i="6"/>
  <c r="BE34" i="6"/>
  <c r="BE35" i="6"/>
  <c r="BE36" i="6"/>
  <c r="BE37" i="6"/>
  <c r="BE38" i="6"/>
  <c r="BE39" i="6"/>
  <c r="BE40" i="6"/>
  <c r="BE41" i="6"/>
  <c r="BE42" i="6"/>
  <c r="BE43" i="6"/>
  <c r="BE44" i="6"/>
  <c r="BE45" i="6"/>
  <c r="BE46" i="6"/>
  <c r="BE47" i="6"/>
  <c r="BE48" i="6"/>
  <c r="BE49" i="6"/>
  <c r="BE50" i="6"/>
  <c r="BE51" i="6"/>
  <c r="BE52" i="6"/>
  <c r="BE53" i="6"/>
  <c r="BE54" i="6"/>
  <c r="BE55" i="6"/>
  <c r="BE56" i="6"/>
  <c r="BE57" i="6"/>
  <c r="BE58" i="6"/>
  <c r="BE59" i="6"/>
  <c r="BE60" i="6"/>
  <c r="BE61" i="6"/>
  <c r="BE62" i="6"/>
  <c r="BE63" i="6"/>
  <c r="BE64" i="6"/>
  <c r="BE65" i="6"/>
  <c r="BE66" i="6"/>
  <c r="BE67" i="6"/>
  <c r="BE68" i="6"/>
  <c r="BE69" i="6"/>
  <c r="BE70" i="6"/>
  <c r="BE71" i="6"/>
  <c r="BE72" i="6"/>
  <c r="BE73" i="6"/>
  <c r="BE74" i="6"/>
  <c r="BE75" i="6"/>
  <c r="BE76" i="6"/>
  <c r="BE77" i="6"/>
  <c r="BE78" i="6"/>
  <c r="BE79" i="6"/>
  <c r="BE80" i="6"/>
  <c r="BE81" i="6"/>
  <c r="BE82" i="6"/>
  <c r="BE83" i="6"/>
  <c r="BE84" i="6"/>
  <c r="BE85" i="6"/>
  <c r="BE86" i="6"/>
  <c r="BE87" i="6"/>
  <c r="BE88" i="6"/>
  <c r="BE89" i="6"/>
  <c r="BE90" i="6"/>
  <c r="BE91" i="6"/>
  <c r="BE92" i="6"/>
  <c r="BE93" i="6"/>
  <c r="BE94" i="6"/>
  <c r="BE95" i="6"/>
  <c r="BE96" i="6"/>
  <c r="BE97" i="6"/>
  <c r="BE98" i="6"/>
  <c r="BE99" i="6"/>
  <c r="BE100" i="6"/>
  <c r="BE101" i="6"/>
  <c r="BE102" i="6"/>
  <c r="BE103" i="6"/>
  <c r="BE104" i="6"/>
  <c r="BE105" i="6"/>
  <c r="BY105" i="6" s="1"/>
  <c r="BE106" i="6"/>
  <c r="BE107" i="6"/>
  <c r="BE108" i="6"/>
  <c r="BE109" i="6"/>
  <c r="BE110" i="6"/>
  <c r="BE111" i="6"/>
  <c r="BE112" i="6"/>
  <c r="BE113" i="6"/>
  <c r="BE114" i="6"/>
  <c r="BE115" i="6"/>
  <c r="BE117" i="6"/>
  <c r="BE118" i="6"/>
  <c r="BE119" i="6"/>
  <c r="BE120" i="6"/>
  <c r="BE121" i="6"/>
  <c r="BE122" i="6"/>
  <c r="BE123" i="6"/>
  <c r="BE124" i="6"/>
  <c r="BE125" i="6"/>
  <c r="BE126" i="6"/>
  <c r="BE127" i="6"/>
  <c r="BE128" i="6"/>
  <c r="BE129" i="6"/>
  <c r="BE130" i="6"/>
  <c r="BE131" i="6"/>
  <c r="BE132" i="6"/>
  <c r="BE133" i="6"/>
  <c r="BE134" i="6"/>
  <c r="BE135" i="6"/>
  <c r="BE136" i="6"/>
  <c r="BE137" i="6"/>
  <c r="BE138" i="6"/>
  <c r="BE139" i="6"/>
  <c r="BE140" i="6"/>
  <c r="BE141" i="6"/>
  <c r="BE142" i="6"/>
  <c r="BE143" i="6"/>
  <c r="BE144" i="6"/>
  <c r="BE145" i="6"/>
  <c r="BE146" i="6"/>
  <c r="BE147" i="6"/>
  <c r="BE148" i="6"/>
  <c r="BE149" i="6"/>
  <c r="BE150" i="6"/>
  <c r="BE151" i="6"/>
  <c r="BE152" i="6"/>
  <c r="BE153" i="6"/>
  <c r="BE154" i="6"/>
  <c r="BE155" i="6"/>
  <c r="BE156" i="6"/>
  <c r="BE157" i="6"/>
  <c r="BE158" i="6"/>
  <c r="BE159" i="6"/>
  <c r="BE160" i="6"/>
  <c r="BE161" i="6"/>
  <c r="BE162" i="6"/>
  <c r="BE163" i="6"/>
  <c r="BE164" i="6"/>
  <c r="BE165" i="6"/>
  <c r="BE166" i="6"/>
  <c r="BE167" i="6"/>
  <c r="BE168" i="6"/>
  <c r="BE169" i="6"/>
  <c r="BE171" i="6"/>
  <c r="BE172" i="6"/>
  <c r="BE174" i="6"/>
  <c r="BE175" i="6"/>
  <c r="BE176" i="6"/>
  <c r="BE177" i="6"/>
  <c r="BE178" i="6"/>
  <c r="BE179" i="6"/>
  <c r="BE180" i="6"/>
  <c r="BE181" i="6"/>
  <c r="BE182" i="6"/>
  <c r="BE183" i="6"/>
  <c r="BE184" i="6"/>
  <c r="BE185" i="6"/>
  <c r="BE186" i="6"/>
  <c r="BE187" i="6"/>
  <c r="BE188" i="6"/>
  <c r="BE189" i="6"/>
  <c r="BE192" i="6"/>
  <c r="BE193" i="6"/>
  <c r="BE196" i="6"/>
  <c r="BE197" i="6"/>
  <c r="BE198" i="6"/>
  <c r="BE201" i="6"/>
  <c r="BE202" i="6"/>
  <c r="BE203" i="6"/>
  <c r="BE204" i="6"/>
  <c r="BE205" i="6"/>
  <c r="BE206" i="6"/>
  <c r="BE207" i="6"/>
  <c r="BE208" i="6"/>
  <c r="BE210" i="6"/>
  <c r="BE211" i="6"/>
  <c r="BY211" i="6" s="1"/>
  <c r="BE212" i="6"/>
  <c r="BE214" i="6"/>
  <c r="BE215" i="6"/>
  <c r="BE216" i="6"/>
  <c r="AH220" i="6"/>
  <c r="BE220" i="6" s="1"/>
  <c r="BE221" i="6"/>
  <c r="BE222" i="6"/>
  <c r="BE223" i="6"/>
  <c r="AH224" i="6"/>
  <c r="BE224" i="6" s="1"/>
  <c r="BF209" i="6"/>
  <c r="BF4" i="6"/>
  <c r="BF5" i="6"/>
  <c r="BF6" i="6"/>
  <c r="BF7" i="6"/>
  <c r="BF8" i="6"/>
  <c r="BF9" i="6"/>
  <c r="BF10" i="6"/>
  <c r="BF14" i="6"/>
  <c r="BF15" i="6"/>
  <c r="BF16" i="6"/>
  <c r="BF18" i="6"/>
  <c r="BF19" i="6"/>
  <c r="BF20" i="6"/>
  <c r="BF21" i="6"/>
  <c r="BF22" i="6"/>
  <c r="BF23" i="6"/>
  <c r="BF24" i="6"/>
  <c r="BF25" i="6"/>
  <c r="BF26" i="6"/>
  <c r="BF27" i="6"/>
  <c r="BF28" i="6"/>
  <c r="BF29" i="6"/>
  <c r="BF30" i="6"/>
  <c r="BF31" i="6"/>
  <c r="BF32" i="6"/>
  <c r="BF33" i="6"/>
  <c r="BF34" i="6"/>
  <c r="BF35" i="6"/>
  <c r="BF36" i="6"/>
  <c r="BF37" i="6"/>
  <c r="BF38" i="6"/>
  <c r="BF39" i="6"/>
  <c r="BF40" i="6"/>
  <c r="BF41" i="6"/>
  <c r="BF42" i="6"/>
  <c r="BF43" i="6"/>
  <c r="BF44" i="6"/>
  <c r="BF45" i="6"/>
  <c r="BF50" i="6"/>
  <c r="BF51" i="6"/>
  <c r="BF52" i="6"/>
  <c r="BF53" i="6"/>
  <c r="BF54" i="6"/>
  <c r="BF55" i="6"/>
  <c r="BF56" i="6"/>
  <c r="BF57" i="6"/>
  <c r="BF58" i="6"/>
  <c r="BF59" i="6"/>
  <c r="BF60" i="6"/>
  <c r="BF61" i="6"/>
  <c r="BF62" i="6"/>
  <c r="BF63" i="6"/>
  <c r="BF64" i="6"/>
  <c r="BF65" i="6"/>
  <c r="BF66" i="6"/>
  <c r="BF67" i="6"/>
  <c r="BF68" i="6"/>
  <c r="BF69" i="6"/>
  <c r="BF70" i="6"/>
  <c r="BF71" i="6"/>
  <c r="BF72" i="6"/>
  <c r="BF73" i="6"/>
  <c r="BF74" i="6"/>
  <c r="BF75" i="6"/>
  <c r="BF76" i="6"/>
  <c r="BF77" i="6"/>
  <c r="BF78" i="6"/>
  <c r="BF79" i="6"/>
  <c r="BF80" i="6"/>
  <c r="BF81" i="6"/>
  <c r="BF82" i="6"/>
  <c r="BF83" i="6"/>
  <c r="BF84" i="6"/>
  <c r="BF85" i="6"/>
  <c r="BF86" i="6"/>
  <c r="BF87" i="6"/>
  <c r="BF88" i="6"/>
  <c r="BF89" i="6"/>
  <c r="BF90" i="6"/>
  <c r="BF91" i="6"/>
  <c r="BF92" i="6"/>
  <c r="BF93" i="6"/>
  <c r="BF94" i="6"/>
  <c r="BF95" i="6"/>
  <c r="BF96" i="6"/>
  <c r="BF97" i="6"/>
  <c r="BF98" i="6"/>
  <c r="BF99" i="6"/>
  <c r="BF100" i="6"/>
  <c r="BF101" i="6"/>
  <c r="BF102" i="6"/>
  <c r="BF103" i="6"/>
  <c r="BF104" i="6"/>
  <c r="BF105" i="6"/>
  <c r="BF106" i="6"/>
  <c r="BF107" i="6"/>
  <c r="BF108" i="6"/>
  <c r="BF109" i="6"/>
  <c r="BF110" i="6"/>
  <c r="BF111" i="6"/>
  <c r="BF112" i="6"/>
  <c r="BF113" i="6"/>
  <c r="BF114" i="6"/>
  <c r="BF115" i="6"/>
  <c r="BF116" i="6"/>
  <c r="BF117" i="6"/>
  <c r="BF118" i="6"/>
  <c r="E119" i="6"/>
  <c r="BF119" i="6" s="1"/>
  <c r="BY119" i="6" s="1"/>
  <c r="BF120" i="6"/>
  <c r="BF121" i="6"/>
  <c r="BF122" i="6"/>
  <c r="BF123" i="6"/>
  <c r="BF124" i="6"/>
  <c r="BF125" i="6"/>
  <c r="BF126" i="6"/>
  <c r="BF127" i="6"/>
  <c r="BF128" i="6"/>
  <c r="BF129" i="6"/>
  <c r="BF130" i="6"/>
  <c r="BF131" i="6"/>
  <c r="BF132" i="6"/>
  <c r="BF133" i="6"/>
  <c r="BF134" i="6"/>
  <c r="BF135" i="6"/>
  <c r="BF136" i="6"/>
  <c r="BF137" i="6"/>
  <c r="BF138" i="6"/>
  <c r="BF139" i="6"/>
  <c r="BF140" i="6"/>
  <c r="BF141" i="6"/>
  <c r="BF142" i="6"/>
  <c r="BF143" i="6"/>
  <c r="BF144" i="6"/>
  <c r="BF145" i="6"/>
  <c r="BF146" i="6"/>
  <c r="BF147" i="6"/>
  <c r="BF148" i="6"/>
  <c r="BF149" i="6"/>
  <c r="BF150" i="6"/>
  <c r="BF151" i="6"/>
  <c r="BF152" i="6"/>
  <c r="BF153" i="6"/>
  <c r="BF154" i="6"/>
  <c r="BF155" i="6"/>
  <c r="BF156" i="6"/>
  <c r="BF157" i="6"/>
  <c r="BF158" i="6"/>
  <c r="BF159" i="6"/>
  <c r="BF160" i="6"/>
  <c r="BF161" i="6"/>
  <c r="BF162" i="6"/>
  <c r="BF163" i="6"/>
  <c r="BF164" i="6"/>
  <c r="BF165" i="6"/>
  <c r="BF166" i="6"/>
  <c r="BF167" i="6"/>
  <c r="BF168" i="6"/>
  <c r="BF169" i="6"/>
  <c r="BF171" i="6"/>
  <c r="BF172" i="6"/>
  <c r="BF174" i="6"/>
  <c r="BF175" i="6"/>
  <c r="BF176" i="6"/>
  <c r="BF177" i="6"/>
  <c r="BF178" i="6"/>
  <c r="BF179" i="6"/>
  <c r="BF180" i="6"/>
  <c r="BF181" i="6"/>
  <c r="BF182" i="6"/>
  <c r="BF183" i="6"/>
  <c r="BF184" i="6"/>
  <c r="BF185" i="6"/>
  <c r="BF186" i="6"/>
  <c r="BF187" i="6"/>
  <c r="BF188" i="6"/>
  <c r="BF189" i="6"/>
  <c r="BF196" i="6"/>
  <c r="BF197" i="6"/>
  <c r="AI198" i="6"/>
  <c r="BF198" i="6" s="1"/>
  <c r="AJ198" i="6"/>
  <c r="AK198" i="6"/>
  <c r="AL198" i="6"/>
  <c r="BF199" i="6"/>
  <c r="BF201" i="6"/>
  <c r="BF202" i="6"/>
  <c r="BF203" i="6"/>
  <c r="BF204" i="6"/>
  <c r="BF205" i="6"/>
  <c r="BF206" i="6"/>
  <c r="BF207" i="6"/>
  <c r="BF208" i="6"/>
  <c r="BF210" i="6"/>
  <c r="BF211" i="6"/>
  <c r="BF212" i="6"/>
  <c r="BF214" i="6"/>
  <c r="BF215" i="6"/>
  <c r="BF216" i="6"/>
  <c r="AI220" i="6"/>
  <c r="BF220" i="6" s="1"/>
  <c r="BF221" i="6"/>
  <c r="BF222" i="6"/>
  <c r="BF223" i="6"/>
  <c r="AI224" i="6"/>
  <c r="BF224" i="6"/>
  <c r="BG209" i="6"/>
  <c r="BG4" i="6"/>
  <c r="BG250" i="6" s="1"/>
  <c r="BG5" i="6"/>
  <c r="BG6" i="6"/>
  <c r="BG7" i="6"/>
  <c r="BG8" i="6"/>
  <c r="BG9" i="6"/>
  <c r="BG10" i="6"/>
  <c r="BG14" i="6"/>
  <c r="BG15" i="6"/>
  <c r="BG16" i="6"/>
  <c r="BG18" i="6"/>
  <c r="BG19" i="6"/>
  <c r="BG20" i="6"/>
  <c r="BG21" i="6"/>
  <c r="BG22" i="6"/>
  <c r="BG23" i="6"/>
  <c r="BG24" i="6"/>
  <c r="BG25" i="6"/>
  <c r="BG26" i="6"/>
  <c r="BG27" i="6"/>
  <c r="BG28" i="6"/>
  <c r="BG29" i="6"/>
  <c r="BG30" i="6"/>
  <c r="BG31" i="6"/>
  <c r="BG32" i="6"/>
  <c r="BG33" i="6"/>
  <c r="BG34" i="6"/>
  <c r="BG35" i="6"/>
  <c r="BG36" i="6"/>
  <c r="BG37" i="6"/>
  <c r="BG38" i="6"/>
  <c r="BG39" i="6"/>
  <c r="BG40" i="6"/>
  <c r="BG41" i="6"/>
  <c r="BG42" i="6"/>
  <c r="BG43" i="6"/>
  <c r="BG44" i="6"/>
  <c r="BG45" i="6"/>
  <c r="BG50" i="6"/>
  <c r="BG51" i="6"/>
  <c r="BG52" i="6"/>
  <c r="BG53" i="6"/>
  <c r="BG54" i="6"/>
  <c r="BG55" i="6"/>
  <c r="BG56" i="6"/>
  <c r="BG57" i="6"/>
  <c r="BG58" i="6"/>
  <c r="BG59" i="6"/>
  <c r="BG60" i="6"/>
  <c r="BG61" i="6"/>
  <c r="BG62" i="6"/>
  <c r="BG63" i="6"/>
  <c r="BG64" i="6"/>
  <c r="BG65" i="6"/>
  <c r="BG66" i="6"/>
  <c r="BG67" i="6"/>
  <c r="BG68" i="6"/>
  <c r="BG69" i="6"/>
  <c r="BG70" i="6"/>
  <c r="BG71" i="6"/>
  <c r="BG72" i="6"/>
  <c r="BG73" i="6"/>
  <c r="BG74" i="6"/>
  <c r="BG75" i="6"/>
  <c r="BG76" i="6"/>
  <c r="BG77" i="6"/>
  <c r="BG78" i="6"/>
  <c r="BG79" i="6"/>
  <c r="BG80" i="6"/>
  <c r="BG81" i="6"/>
  <c r="BG82" i="6"/>
  <c r="BG83" i="6"/>
  <c r="BG84" i="6"/>
  <c r="BG85" i="6"/>
  <c r="BG86" i="6"/>
  <c r="BG87" i="6"/>
  <c r="BG88" i="6"/>
  <c r="BG89" i="6"/>
  <c r="BG90" i="6"/>
  <c r="BG91" i="6"/>
  <c r="BG92" i="6"/>
  <c r="BG93" i="6"/>
  <c r="BG94" i="6"/>
  <c r="BG95" i="6"/>
  <c r="BG96" i="6"/>
  <c r="BG97" i="6"/>
  <c r="BG98" i="6"/>
  <c r="BG99" i="6"/>
  <c r="BG100" i="6"/>
  <c r="BG101" i="6"/>
  <c r="BG102" i="6"/>
  <c r="BG103" i="6"/>
  <c r="BG104" i="6"/>
  <c r="BG105" i="6"/>
  <c r="BG106" i="6"/>
  <c r="BG107" i="6"/>
  <c r="BG108" i="6"/>
  <c r="BG109" i="6"/>
  <c r="BG110" i="6"/>
  <c r="BG111" i="6"/>
  <c r="BG112" i="6"/>
  <c r="BG113" i="6"/>
  <c r="BG114" i="6"/>
  <c r="BG115" i="6"/>
  <c r="BG116" i="6"/>
  <c r="BG117" i="6"/>
  <c r="BG118" i="6"/>
  <c r="BG119" i="6"/>
  <c r="BG120" i="6"/>
  <c r="BG121" i="6"/>
  <c r="BG122" i="6"/>
  <c r="BG123" i="6"/>
  <c r="BG124" i="6"/>
  <c r="BG125" i="6"/>
  <c r="BG126" i="6"/>
  <c r="BG127" i="6"/>
  <c r="BG128" i="6"/>
  <c r="BG129" i="6"/>
  <c r="BG130" i="6"/>
  <c r="BG131" i="6"/>
  <c r="BG132" i="6"/>
  <c r="BG133" i="6"/>
  <c r="BG134" i="6"/>
  <c r="BG135" i="6"/>
  <c r="BG136" i="6"/>
  <c r="BG137" i="6"/>
  <c r="BG138" i="6"/>
  <c r="BG139" i="6"/>
  <c r="BG140" i="6"/>
  <c r="BG141" i="6"/>
  <c r="BG142" i="6"/>
  <c r="BG143" i="6"/>
  <c r="BG144" i="6"/>
  <c r="BG145" i="6"/>
  <c r="BG146" i="6"/>
  <c r="BG147" i="6"/>
  <c r="BG148" i="6"/>
  <c r="BG149" i="6"/>
  <c r="BG150" i="6"/>
  <c r="BG151" i="6"/>
  <c r="BG152" i="6"/>
  <c r="BG153" i="6"/>
  <c r="BG154" i="6"/>
  <c r="BG155" i="6"/>
  <c r="BG156" i="6"/>
  <c r="BG157" i="6"/>
  <c r="BG158" i="6"/>
  <c r="BG159" i="6"/>
  <c r="BG160" i="6"/>
  <c r="BG161" i="6"/>
  <c r="BG162" i="6"/>
  <c r="BG163" i="6"/>
  <c r="BG164" i="6"/>
  <c r="BG165" i="6"/>
  <c r="BG166" i="6"/>
  <c r="BG167" i="6"/>
  <c r="BG168" i="6"/>
  <c r="BG169" i="6"/>
  <c r="BG170" i="6"/>
  <c r="BG171" i="6"/>
  <c r="BG172" i="6"/>
  <c r="BG174" i="6"/>
  <c r="BG175" i="6"/>
  <c r="BG176" i="6"/>
  <c r="BG177" i="6"/>
  <c r="BG178" i="6"/>
  <c r="BG180" i="6"/>
  <c r="BG181" i="6"/>
  <c r="BG182" i="6"/>
  <c r="BG183" i="6"/>
  <c r="BG184" i="6"/>
  <c r="BG185" i="6"/>
  <c r="BG186" i="6"/>
  <c r="BG187" i="6"/>
  <c r="BG188" i="6"/>
  <c r="BG189" i="6"/>
  <c r="BG196" i="6"/>
  <c r="BG197" i="6"/>
  <c r="BG198" i="6"/>
  <c r="BG203" i="6"/>
  <c r="BG204" i="6"/>
  <c r="BG205" i="6"/>
  <c r="BG206" i="6"/>
  <c r="BG207" i="6"/>
  <c r="BG208" i="6"/>
  <c r="BG210" i="6"/>
  <c r="BG211" i="6"/>
  <c r="BG212" i="6"/>
  <c r="BG214" i="6"/>
  <c r="BG215" i="6"/>
  <c r="BG216" i="6"/>
  <c r="AJ220" i="6"/>
  <c r="BG220" i="6"/>
  <c r="BG221" i="6"/>
  <c r="BG222" i="6"/>
  <c r="BG223" i="6"/>
  <c r="AJ224" i="6"/>
  <c r="BG224" i="6"/>
  <c r="BH209" i="6"/>
  <c r="BH4" i="6"/>
  <c r="BH5" i="6"/>
  <c r="BH6" i="6"/>
  <c r="BH7" i="6"/>
  <c r="BH8" i="6"/>
  <c r="BH9" i="6"/>
  <c r="BH10" i="6"/>
  <c r="BH11" i="6"/>
  <c r="BH12" i="6"/>
  <c r="BH13" i="6"/>
  <c r="BH14" i="6"/>
  <c r="BH15" i="6"/>
  <c r="BH16" i="6"/>
  <c r="BH17" i="6"/>
  <c r="BH18" i="6"/>
  <c r="BH19" i="6"/>
  <c r="BH20" i="6"/>
  <c r="BH21" i="6"/>
  <c r="BH22" i="6"/>
  <c r="BH23" i="6"/>
  <c r="BH24" i="6"/>
  <c r="BH25" i="6"/>
  <c r="BH26" i="6"/>
  <c r="BH27" i="6"/>
  <c r="BH28" i="6"/>
  <c r="BH29" i="6"/>
  <c r="BH30" i="6"/>
  <c r="BH31" i="6"/>
  <c r="BH32" i="6"/>
  <c r="BH33" i="6"/>
  <c r="BH34" i="6"/>
  <c r="BH35" i="6"/>
  <c r="BH36" i="6"/>
  <c r="BH37" i="6"/>
  <c r="BH38" i="6"/>
  <c r="BH39" i="6"/>
  <c r="BH40" i="6"/>
  <c r="BH41" i="6"/>
  <c r="BH42" i="6"/>
  <c r="BH43" i="6"/>
  <c r="BH44" i="6"/>
  <c r="BH45" i="6"/>
  <c r="BH46" i="6"/>
  <c r="BH47" i="6"/>
  <c r="BH48" i="6"/>
  <c r="BH49" i="6"/>
  <c r="BH50" i="6"/>
  <c r="BH51" i="6"/>
  <c r="BH52" i="6"/>
  <c r="BH53" i="6"/>
  <c r="BH54" i="6"/>
  <c r="BH55" i="6"/>
  <c r="BH56" i="6"/>
  <c r="BH57" i="6"/>
  <c r="BH58" i="6"/>
  <c r="BH59" i="6"/>
  <c r="BH60" i="6"/>
  <c r="BH61" i="6"/>
  <c r="BH62" i="6"/>
  <c r="BH63" i="6"/>
  <c r="BH64" i="6"/>
  <c r="BH65" i="6"/>
  <c r="BH66" i="6"/>
  <c r="BH67" i="6"/>
  <c r="BH68" i="6"/>
  <c r="BH69" i="6"/>
  <c r="BH70" i="6"/>
  <c r="BH71" i="6"/>
  <c r="BH72" i="6"/>
  <c r="BH73" i="6"/>
  <c r="BH74" i="6"/>
  <c r="BH75" i="6"/>
  <c r="BH76" i="6"/>
  <c r="BH77" i="6"/>
  <c r="BH78" i="6"/>
  <c r="BH79" i="6"/>
  <c r="BH80" i="6"/>
  <c r="BH81" i="6"/>
  <c r="BH82" i="6"/>
  <c r="BH83" i="6"/>
  <c r="BH84" i="6"/>
  <c r="BH85" i="6"/>
  <c r="BH86" i="6"/>
  <c r="BH87" i="6"/>
  <c r="BH88" i="6"/>
  <c r="BH89" i="6"/>
  <c r="BH90" i="6"/>
  <c r="BH91" i="6"/>
  <c r="BH92" i="6"/>
  <c r="BH93" i="6"/>
  <c r="BH94" i="6"/>
  <c r="BH95" i="6"/>
  <c r="BH96" i="6"/>
  <c r="BH97" i="6"/>
  <c r="BH98" i="6"/>
  <c r="BH99" i="6"/>
  <c r="BH100" i="6"/>
  <c r="BH101" i="6"/>
  <c r="BH102" i="6"/>
  <c r="BH103" i="6"/>
  <c r="BH104" i="6"/>
  <c r="BH105" i="6"/>
  <c r="BH106" i="6"/>
  <c r="BH107" i="6"/>
  <c r="BH108" i="6"/>
  <c r="BH109" i="6"/>
  <c r="BH110" i="6"/>
  <c r="BH111" i="6"/>
  <c r="BH112" i="6"/>
  <c r="BH113" i="6"/>
  <c r="BH114" i="6"/>
  <c r="BH115" i="6"/>
  <c r="BH116" i="6"/>
  <c r="BH117" i="6"/>
  <c r="BH118" i="6"/>
  <c r="BH119" i="6"/>
  <c r="BH120" i="6"/>
  <c r="BH121" i="6"/>
  <c r="BH122" i="6"/>
  <c r="BH123" i="6"/>
  <c r="BH124" i="6"/>
  <c r="BH125" i="6"/>
  <c r="BH126" i="6"/>
  <c r="BH127" i="6"/>
  <c r="BH128" i="6"/>
  <c r="BH129" i="6"/>
  <c r="BH130" i="6"/>
  <c r="BH131" i="6"/>
  <c r="BH132" i="6"/>
  <c r="BH133" i="6"/>
  <c r="BH134" i="6"/>
  <c r="BH135" i="6"/>
  <c r="E136" i="6"/>
  <c r="BH136" i="6"/>
  <c r="BH137" i="6"/>
  <c r="BH138" i="6"/>
  <c r="BH139" i="6"/>
  <c r="BH140" i="6"/>
  <c r="BH141" i="6"/>
  <c r="BH142" i="6"/>
  <c r="BH143" i="6"/>
  <c r="BH144" i="6"/>
  <c r="BH145" i="6"/>
  <c r="BH146" i="6"/>
  <c r="BH147" i="6"/>
  <c r="BH148" i="6"/>
  <c r="BH149" i="6"/>
  <c r="BH150" i="6"/>
  <c r="BH151" i="6"/>
  <c r="BH152" i="6"/>
  <c r="BH153" i="6"/>
  <c r="BH154" i="6"/>
  <c r="BH155" i="6"/>
  <c r="BH156" i="6"/>
  <c r="BH157" i="6"/>
  <c r="BH158" i="6"/>
  <c r="BH159" i="6"/>
  <c r="BH160" i="6"/>
  <c r="BH161" i="6"/>
  <c r="BH162" i="6"/>
  <c r="BH163" i="6"/>
  <c r="BH164" i="6"/>
  <c r="BH165" i="6"/>
  <c r="BH166" i="6"/>
  <c r="BH167" i="6"/>
  <c r="BH168" i="6"/>
  <c r="BH169" i="6"/>
  <c r="BH172" i="6"/>
  <c r="BH174" i="6"/>
  <c r="BH175" i="6"/>
  <c r="BH176" i="6"/>
  <c r="BH177" i="6"/>
  <c r="BH178" i="6"/>
  <c r="BH179" i="6"/>
  <c r="BH180" i="6"/>
  <c r="BH181" i="6"/>
  <c r="BH182" i="6"/>
  <c r="BH183" i="6"/>
  <c r="BH184" i="6"/>
  <c r="BH185" i="6"/>
  <c r="BH186" i="6"/>
  <c r="BH187" i="6"/>
  <c r="BH188" i="6"/>
  <c r="BH189" i="6"/>
  <c r="BH192" i="6"/>
  <c r="BH193" i="6"/>
  <c r="BH196" i="6"/>
  <c r="BH197" i="6"/>
  <c r="BH198" i="6"/>
  <c r="BH203" i="6"/>
  <c r="BH204" i="6"/>
  <c r="BH205" i="6"/>
  <c r="BH206" i="6"/>
  <c r="BH207" i="6"/>
  <c r="BH208" i="6"/>
  <c r="BH210" i="6"/>
  <c r="BH211" i="6"/>
  <c r="BH212" i="6"/>
  <c r="BY212" i="6" s="1"/>
  <c r="BH214" i="6"/>
  <c r="BH215" i="6"/>
  <c r="BH216" i="6"/>
  <c r="AK220" i="6"/>
  <c r="BH220" i="6" s="1"/>
  <c r="BH221" i="6"/>
  <c r="BH222" i="6"/>
  <c r="BH223" i="6"/>
  <c r="AK224" i="6"/>
  <c r="BH224" i="6"/>
  <c r="BI209" i="6"/>
  <c r="BI4" i="6"/>
  <c r="BI250" i="6" s="1"/>
  <c r="BI5" i="6"/>
  <c r="BI6" i="6"/>
  <c r="BI7" i="6"/>
  <c r="BI8" i="6"/>
  <c r="BI9" i="6"/>
  <c r="BI10" i="6"/>
  <c r="BI11" i="6"/>
  <c r="BI12" i="6"/>
  <c r="BI13" i="6"/>
  <c r="BI14" i="6"/>
  <c r="BI15" i="6"/>
  <c r="BI16" i="6"/>
  <c r="BI17" i="6"/>
  <c r="BI18" i="6"/>
  <c r="BI19" i="6"/>
  <c r="BI20" i="6"/>
  <c r="BI21" i="6"/>
  <c r="BI22" i="6"/>
  <c r="BI23" i="6"/>
  <c r="BI24" i="6"/>
  <c r="BI25" i="6"/>
  <c r="BI26" i="6"/>
  <c r="BI27" i="6"/>
  <c r="BI28" i="6"/>
  <c r="BI29" i="6"/>
  <c r="BI30" i="6"/>
  <c r="BI31" i="6"/>
  <c r="BI32" i="6"/>
  <c r="BI33" i="6"/>
  <c r="BI34" i="6"/>
  <c r="BI35" i="6"/>
  <c r="BI36" i="6"/>
  <c r="BI37" i="6"/>
  <c r="BI38" i="6"/>
  <c r="BI39" i="6"/>
  <c r="BI40" i="6"/>
  <c r="BI41" i="6"/>
  <c r="BI42" i="6"/>
  <c r="BI43" i="6"/>
  <c r="BI44" i="6"/>
  <c r="BI45" i="6"/>
  <c r="BI46" i="6"/>
  <c r="BI47" i="6"/>
  <c r="BI48" i="6"/>
  <c r="BI49" i="6"/>
  <c r="BI50" i="6"/>
  <c r="BI51" i="6"/>
  <c r="BI52" i="6"/>
  <c r="BI53" i="6"/>
  <c r="BI54" i="6"/>
  <c r="BI55" i="6"/>
  <c r="BI56" i="6"/>
  <c r="BI57" i="6"/>
  <c r="BI58" i="6"/>
  <c r="BI59" i="6"/>
  <c r="BI60" i="6"/>
  <c r="BI61" i="6"/>
  <c r="BI62" i="6"/>
  <c r="BI63" i="6"/>
  <c r="BI64" i="6"/>
  <c r="BI65" i="6"/>
  <c r="BI66" i="6"/>
  <c r="BI67" i="6"/>
  <c r="BI68" i="6"/>
  <c r="BI69" i="6"/>
  <c r="BI70" i="6"/>
  <c r="BI71" i="6"/>
  <c r="BI72" i="6"/>
  <c r="BI73" i="6"/>
  <c r="BI74" i="6"/>
  <c r="BI75" i="6"/>
  <c r="BI76" i="6"/>
  <c r="BI77" i="6"/>
  <c r="BI78" i="6"/>
  <c r="BI79" i="6"/>
  <c r="BI80" i="6"/>
  <c r="BI81" i="6"/>
  <c r="BI82" i="6"/>
  <c r="BI83" i="6"/>
  <c r="BI84" i="6"/>
  <c r="BI85" i="6"/>
  <c r="BI86" i="6"/>
  <c r="BI87" i="6"/>
  <c r="BI88" i="6"/>
  <c r="BI89" i="6"/>
  <c r="BI90" i="6"/>
  <c r="BI91" i="6"/>
  <c r="BI92" i="6"/>
  <c r="BI93" i="6"/>
  <c r="BI94" i="6"/>
  <c r="BI95" i="6"/>
  <c r="BI96" i="6"/>
  <c r="BI97" i="6"/>
  <c r="BI98" i="6"/>
  <c r="BI99" i="6"/>
  <c r="BI100" i="6"/>
  <c r="BI101" i="6"/>
  <c r="BI102" i="6"/>
  <c r="BI103" i="6"/>
  <c r="BI104" i="6"/>
  <c r="BI105" i="6"/>
  <c r="BI106" i="6"/>
  <c r="BI107" i="6"/>
  <c r="BI108" i="6"/>
  <c r="BI109" i="6"/>
  <c r="BI110" i="6"/>
  <c r="BI111" i="6"/>
  <c r="BI112" i="6"/>
  <c r="BI113" i="6"/>
  <c r="BI114" i="6"/>
  <c r="BI115" i="6"/>
  <c r="BI116" i="6"/>
  <c r="BI117" i="6"/>
  <c r="BI118" i="6"/>
  <c r="BI119" i="6"/>
  <c r="BI120" i="6"/>
  <c r="BI121" i="6"/>
  <c r="BI122" i="6"/>
  <c r="BI123" i="6"/>
  <c r="BI124" i="6"/>
  <c r="BI125" i="6"/>
  <c r="BI126" i="6"/>
  <c r="BI127" i="6"/>
  <c r="BI128" i="6"/>
  <c r="BI129" i="6"/>
  <c r="BI130" i="6"/>
  <c r="BI131" i="6"/>
  <c r="BI132" i="6"/>
  <c r="BI133" i="6"/>
  <c r="BI134" i="6"/>
  <c r="BI135" i="6"/>
  <c r="BI136" i="6"/>
  <c r="BI137" i="6"/>
  <c r="BI138" i="6"/>
  <c r="BI139" i="6"/>
  <c r="BI140" i="6"/>
  <c r="BI141" i="6"/>
  <c r="BI142" i="6"/>
  <c r="BI143" i="6"/>
  <c r="BI144" i="6"/>
  <c r="BI145" i="6"/>
  <c r="BI146" i="6"/>
  <c r="BI147" i="6"/>
  <c r="BI148" i="6"/>
  <c r="BI149" i="6"/>
  <c r="BI150" i="6"/>
  <c r="BI151" i="6"/>
  <c r="BI152" i="6"/>
  <c r="BI153" i="6"/>
  <c r="BI154" i="6"/>
  <c r="BI155" i="6"/>
  <c r="BI156" i="6"/>
  <c r="BI157" i="6"/>
  <c r="BI158" i="6"/>
  <c r="BI159" i="6"/>
  <c r="BI160" i="6"/>
  <c r="BI161" i="6"/>
  <c r="BI162" i="6"/>
  <c r="BI163" i="6"/>
  <c r="BI164" i="6"/>
  <c r="BI165" i="6"/>
  <c r="BI166" i="6"/>
  <c r="BI167" i="6"/>
  <c r="BI168" i="6"/>
  <c r="BI169" i="6"/>
  <c r="BI170" i="6"/>
  <c r="BI171" i="6"/>
  <c r="BI172" i="6"/>
  <c r="BI174" i="6"/>
  <c r="BI175" i="6"/>
  <c r="BI176" i="6"/>
  <c r="BI177" i="6"/>
  <c r="BI178" i="6"/>
  <c r="BI179" i="6"/>
  <c r="BI180" i="6"/>
  <c r="BI181" i="6"/>
  <c r="BI182" i="6"/>
  <c r="BI183" i="6"/>
  <c r="BI184" i="6"/>
  <c r="BI185" i="6"/>
  <c r="BI186" i="6"/>
  <c r="BI187" i="6"/>
  <c r="BI188" i="6"/>
  <c r="BI189" i="6"/>
  <c r="BI192" i="6"/>
  <c r="BI193" i="6"/>
  <c r="BI196" i="6"/>
  <c r="BI197" i="6"/>
  <c r="BI198" i="6"/>
  <c r="BI201" i="6"/>
  <c r="BI202" i="6"/>
  <c r="BI203" i="6"/>
  <c r="BI204" i="6"/>
  <c r="BI205" i="6"/>
  <c r="BI206" i="6"/>
  <c r="BI207" i="6"/>
  <c r="BI208" i="6"/>
  <c r="BI210" i="6"/>
  <c r="BI211" i="6"/>
  <c r="BI212" i="6"/>
  <c r="BI214" i="6"/>
  <c r="BI215" i="6"/>
  <c r="BI216" i="6"/>
  <c r="AL220" i="6"/>
  <c r="BI220" i="6" s="1"/>
  <c r="BI221" i="6"/>
  <c r="BI222" i="6"/>
  <c r="BI223" i="6"/>
  <c r="AL224" i="6"/>
  <c r="BI224" i="6"/>
  <c r="BJ209" i="6"/>
  <c r="BJ4" i="6"/>
  <c r="BJ5" i="6"/>
  <c r="BJ6" i="6"/>
  <c r="BJ7" i="6"/>
  <c r="BJ8" i="6"/>
  <c r="BJ9" i="6"/>
  <c r="BJ10" i="6"/>
  <c r="BJ11" i="6"/>
  <c r="BJ12" i="6"/>
  <c r="BJ13" i="6"/>
  <c r="BJ14" i="6"/>
  <c r="BJ15" i="6"/>
  <c r="BJ16" i="6"/>
  <c r="BJ17" i="6"/>
  <c r="BJ18" i="6"/>
  <c r="BJ19" i="6"/>
  <c r="BJ20" i="6"/>
  <c r="BJ21" i="6"/>
  <c r="BJ22" i="6"/>
  <c r="BJ23" i="6"/>
  <c r="BJ24" i="6"/>
  <c r="BJ25" i="6"/>
  <c r="BJ26" i="6"/>
  <c r="BJ27" i="6"/>
  <c r="BJ28" i="6"/>
  <c r="BJ29" i="6"/>
  <c r="BJ30" i="6"/>
  <c r="BJ31" i="6"/>
  <c r="BJ32" i="6"/>
  <c r="BJ33" i="6"/>
  <c r="BJ34" i="6"/>
  <c r="BJ35" i="6"/>
  <c r="BJ36" i="6"/>
  <c r="BJ37" i="6"/>
  <c r="BJ38" i="6"/>
  <c r="BJ39" i="6"/>
  <c r="BJ40" i="6"/>
  <c r="BJ41" i="6"/>
  <c r="BJ42" i="6"/>
  <c r="BJ43" i="6"/>
  <c r="BJ44" i="6"/>
  <c r="BJ45" i="6"/>
  <c r="BJ46" i="6"/>
  <c r="BJ47" i="6"/>
  <c r="BJ48" i="6"/>
  <c r="BJ49" i="6"/>
  <c r="BJ50" i="6"/>
  <c r="BJ51" i="6"/>
  <c r="BJ52" i="6"/>
  <c r="BJ53" i="6"/>
  <c r="BJ54" i="6"/>
  <c r="BJ55" i="6"/>
  <c r="BJ56" i="6"/>
  <c r="BJ57" i="6"/>
  <c r="BJ58" i="6"/>
  <c r="BJ59" i="6"/>
  <c r="BJ60" i="6"/>
  <c r="BJ61" i="6"/>
  <c r="BJ62" i="6"/>
  <c r="BJ63" i="6"/>
  <c r="BJ64" i="6"/>
  <c r="BJ65" i="6"/>
  <c r="BJ66" i="6"/>
  <c r="BJ67" i="6"/>
  <c r="BJ68" i="6"/>
  <c r="BJ69" i="6"/>
  <c r="BJ70" i="6"/>
  <c r="BJ71" i="6"/>
  <c r="BJ72" i="6"/>
  <c r="BJ73" i="6"/>
  <c r="BJ74" i="6"/>
  <c r="BJ75" i="6"/>
  <c r="BJ76" i="6"/>
  <c r="BJ77" i="6"/>
  <c r="BJ78" i="6"/>
  <c r="BJ79" i="6"/>
  <c r="BJ80" i="6"/>
  <c r="BJ81" i="6"/>
  <c r="BJ82" i="6"/>
  <c r="BJ83" i="6"/>
  <c r="BJ84" i="6"/>
  <c r="BJ85" i="6"/>
  <c r="BJ86" i="6"/>
  <c r="BJ87" i="6"/>
  <c r="BJ88" i="6"/>
  <c r="BJ89" i="6"/>
  <c r="BJ90" i="6"/>
  <c r="BJ91" i="6"/>
  <c r="BJ92" i="6"/>
  <c r="BJ93" i="6"/>
  <c r="BJ94" i="6"/>
  <c r="BJ95" i="6"/>
  <c r="BJ96" i="6"/>
  <c r="BJ97" i="6"/>
  <c r="BJ98" i="6"/>
  <c r="BJ99" i="6"/>
  <c r="BJ100" i="6"/>
  <c r="BJ101" i="6"/>
  <c r="BJ102" i="6"/>
  <c r="BJ103" i="6"/>
  <c r="BJ104" i="6"/>
  <c r="BJ105" i="6"/>
  <c r="BJ106" i="6"/>
  <c r="BJ107" i="6"/>
  <c r="BJ108" i="6"/>
  <c r="BJ109" i="6"/>
  <c r="BJ110" i="6"/>
  <c r="BJ111" i="6"/>
  <c r="BJ112" i="6"/>
  <c r="BJ113" i="6"/>
  <c r="BJ114" i="6"/>
  <c r="BJ115" i="6"/>
  <c r="BJ116" i="6"/>
  <c r="BJ117" i="6"/>
  <c r="BJ118" i="6"/>
  <c r="BJ119" i="6"/>
  <c r="BJ120" i="6"/>
  <c r="BJ121" i="6"/>
  <c r="BJ122" i="6"/>
  <c r="BJ123" i="6"/>
  <c r="BJ124" i="6"/>
  <c r="BJ125" i="6"/>
  <c r="BJ126" i="6"/>
  <c r="BJ127" i="6"/>
  <c r="BJ128" i="6"/>
  <c r="BJ129" i="6"/>
  <c r="BJ130" i="6"/>
  <c r="BJ131" i="6"/>
  <c r="BJ132" i="6"/>
  <c r="BJ133" i="6"/>
  <c r="BJ134" i="6"/>
  <c r="BJ135" i="6"/>
  <c r="BJ136" i="6"/>
  <c r="BJ137" i="6"/>
  <c r="BJ138" i="6"/>
  <c r="BJ139" i="6"/>
  <c r="BJ140" i="6"/>
  <c r="BJ141" i="6"/>
  <c r="E142" i="6"/>
  <c r="BJ142" i="6"/>
  <c r="E143" i="6"/>
  <c r="BJ143" i="6" s="1"/>
  <c r="BY143" i="6" s="1"/>
  <c r="BJ144" i="6"/>
  <c r="BJ145" i="6"/>
  <c r="BJ146" i="6"/>
  <c r="BJ147" i="6"/>
  <c r="BJ148" i="6"/>
  <c r="BJ149" i="6"/>
  <c r="BJ150" i="6"/>
  <c r="BJ151" i="6"/>
  <c r="BJ152" i="6"/>
  <c r="BJ153" i="6"/>
  <c r="BJ154" i="6"/>
  <c r="BJ155" i="6"/>
  <c r="BJ156" i="6"/>
  <c r="BJ157" i="6"/>
  <c r="BJ158" i="6"/>
  <c r="BJ159" i="6"/>
  <c r="BJ160" i="6"/>
  <c r="BJ161" i="6"/>
  <c r="BJ162" i="6"/>
  <c r="BJ163" i="6"/>
  <c r="BJ164" i="6"/>
  <c r="BJ165" i="6"/>
  <c r="BJ166" i="6"/>
  <c r="BJ167" i="6"/>
  <c r="BJ168" i="6"/>
  <c r="BJ169" i="6"/>
  <c r="BJ170" i="6"/>
  <c r="BJ171" i="6"/>
  <c r="BJ172" i="6"/>
  <c r="BJ174" i="6"/>
  <c r="BJ175" i="6"/>
  <c r="BJ176" i="6"/>
  <c r="BJ177" i="6"/>
  <c r="BJ178" i="6"/>
  <c r="BJ179" i="6"/>
  <c r="BJ180" i="6"/>
  <c r="BJ181" i="6"/>
  <c r="BJ182" i="6"/>
  <c r="BJ183" i="6"/>
  <c r="BJ184" i="6"/>
  <c r="BJ185" i="6"/>
  <c r="BJ186" i="6"/>
  <c r="BJ187" i="6"/>
  <c r="BJ188" i="6"/>
  <c r="BJ189" i="6"/>
  <c r="BJ192" i="6"/>
  <c r="BJ193" i="6"/>
  <c r="BJ196" i="6"/>
  <c r="BJ201" i="6"/>
  <c r="BJ202" i="6"/>
  <c r="BJ203" i="6"/>
  <c r="BJ204" i="6"/>
  <c r="BJ205" i="6"/>
  <c r="BJ206" i="6"/>
  <c r="BJ207" i="6"/>
  <c r="BJ208" i="6"/>
  <c r="BJ210" i="6"/>
  <c r="BJ211" i="6"/>
  <c r="BJ212" i="6"/>
  <c r="BJ214" i="6"/>
  <c r="BJ215" i="6"/>
  <c r="BJ216" i="6"/>
  <c r="AM220" i="6"/>
  <c r="BJ220" i="6" s="1"/>
  <c r="BJ221" i="6"/>
  <c r="BJ222" i="6"/>
  <c r="BJ223" i="6"/>
  <c r="AM224" i="6"/>
  <c r="BJ224" i="6"/>
  <c r="BK209" i="6"/>
  <c r="BK4" i="6"/>
  <c r="BK5" i="6"/>
  <c r="BK6" i="6"/>
  <c r="BK7" i="6"/>
  <c r="BK8" i="6"/>
  <c r="BK9" i="6"/>
  <c r="BK10" i="6"/>
  <c r="BK11" i="6"/>
  <c r="BK12" i="6"/>
  <c r="BK13" i="6"/>
  <c r="BK14" i="6"/>
  <c r="BK15" i="6"/>
  <c r="BK16" i="6"/>
  <c r="BK17" i="6"/>
  <c r="BK18" i="6"/>
  <c r="BK19" i="6"/>
  <c r="BK20" i="6"/>
  <c r="BK21" i="6"/>
  <c r="BK22" i="6"/>
  <c r="BK23" i="6"/>
  <c r="BK24" i="6"/>
  <c r="BK25" i="6"/>
  <c r="BK26" i="6"/>
  <c r="BK27" i="6"/>
  <c r="BK28" i="6"/>
  <c r="BK29" i="6"/>
  <c r="BK30" i="6"/>
  <c r="BK31" i="6"/>
  <c r="BK32" i="6"/>
  <c r="BK33" i="6"/>
  <c r="BK34" i="6"/>
  <c r="BK35" i="6"/>
  <c r="BK36" i="6"/>
  <c r="BK37" i="6"/>
  <c r="BK38" i="6"/>
  <c r="BK39" i="6"/>
  <c r="BK40" i="6"/>
  <c r="BK41" i="6"/>
  <c r="BK42" i="6"/>
  <c r="BK43" i="6"/>
  <c r="BK44" i="6"/>
  <c r="BK45" i="6"/>
  <c r="BK46" i="6"/>
  <c r="BK47" i="6"/>
  <c r="BK48" i="6"/>
  <c r="BK49" i="6"/>
  <c r="BK50" i="6"/>
  <c r="BK51" i="6"/>
  <c r="BK52" i="6"/>
  <c r="BK53" i="6"/>
  <c r="BK54" i="6"/>
  <c r="BK55" i="6"/>
  <c r="BK56" i="6"/>
  <c r="BK57" i="6"/>
  <c r="BK58" i="6"/>
  <c r="BK59" i="6"/>
  <c r="BK60" i="6"/>
  <c r="BK61" i="6"/>
  <c r="BK62" i="6"/>
  <c r="BK63" i="6"/>
  <c r="BK64" i="6"/>
  <c r="BK65" i="6"/>
  <c r="BK66" i="6"/>
  <c r="BK67" i="6"/>
  <c r="BK68" i="6"/>
  <c r="BK69" i="6"/>
  <c r="BK70" i="6"/>
  <c r="BK71" i="6"/>
  <c r="BK72" i="6"/>
  <c r="BK73" i="6"/>
  <c r="BK74" i="6"/>
  <c r="BK75" i="6"/>
  <c r="BK76" i="6"/>
  <c r="BK77" i="6"/>
  <c r="BK78" i="6"/>
  <c r="BK79" i="6"/>
  <c r="BK80" i="6"/>
  <c r="BK81" i="6"/>
  <c r="BK82" i="6"/>
  <c r="BK83" i="6"/>
  <c r="BK84" i="6"/>
  <c r="BK85" i="6"/>
  <c r="BK86" i="6"/>
  <c r="BK87" i="6"/>
  <c r="BK88" i="6"/>
  <c r="BK89" i="6"/>
  <c r="BK90" i="6"/>
  <c r="BK91" i="6"/>
  <c r="BK92" i="6"/>
  <c r="BK93" i="6"/>
  <c r="BK94" i="6"/>
  <c r="BK95" i="6"/>
  <c r="BK96" i="6"/>
  <c r="BK97" i="6"/>
  <c r="BK98" i="6"/>
  <c r="BK99" i="6"/>
  <c r="BK100" i="6"/>
  <c r="BK101" i="6"/>
  <c r="BK102" i="6"/>
  <c r="BK103" i="6"/>
  <c r="BK104" i="6"/>
  <c r="BK105" i="6"/>
  <c r="BK106" i="6"/>
  <c r="BK107" i="6"/>
  <c r="BK108" i="6"/>
  <c r="BK109" i="6"/>
  <c r="BK110" i="6"/>
  <c r="BK111" i="6"/>
  <c r="BK112" i="6"/>
  <c r="BK113" i="6"/>
  <c r="BK114" i="6"/>
  <c r="BK115" i="6"/>
  <c r="BK116" i="6"/>
  <c r="BK117" i="6"/>
  <c r="BK118" i="6"/>
  <c r="BK119" i="6"/>
  <c r="BK120" i="6"/>
  <c r="BK121" i="6"/>
  <c r="BK122" i="6"/>
  <c r="BK123" i="6"/>
  <c r="BK124" i="6"/>
  <c r="BK125" i="6"/>
  <c r="BK126" i="6"/>
  <c r="BK127" i="6"/>
  <c r="BK128" i="6"/>
  <c r="BK129" i="6"/>
  <c r="BK130" i="6"/>
  <c r="BK131" i="6"/>
  <c r="BK132" i="6"/>
  <c r="BK133" i="6"/>
  <c r="BK134" i="6"/>
  <c r="BK135" i="6"/>
  <c r="BK136" i="6"/>
  <c r="BK137" i="6"/>
  <c r="BK138" i="6"/>
  <c r="BK139" i="6"/>
  <c r="BK140" i="6"/>
  <c r="BK141" i="6"/>
  <c r="BK142" i="6"/>
  <c r="BK143" i="6"/>
  <c r="BK144" i="6"/>
  <c r="BK145" i="6"/>
  <c r="BK146" i="6"/>
  <c r="BK147" i="6"/>
  <c r="BK148" i="6"/>
  <c r="BK149" i="6"/>
  <c r="BK150" i="6"/>
  <c r="BK151" i="6"/>
  <c r="BK152" i="6"/>
  <c r="BK153" i="6"/>
  <c r="BK154" i="6"/>
  <c r="BK155" i="6"/>
  <c r="BK156" i="6"/>
  <c r="BK157" i="6"/>
  <c r="BK158" i="6"/>
  <c r="BK159" i="6"/>
  <c r="BK160" i="6"/>
  <c r="BK161" i="6"/>
  <c r="BK162" i="6"/>
  <c r="BK163" i="6"/>
  <c r="BK164" i="6"/>
  <c r="BK165" i="6"/>
  <c r="BK166" i="6"/>
  <c r="BK167" i="6"/>
  <c r="BK168" i="6"/>
  <c r="BK169" i="6"/>
  <c r="BK170" i="6"/>
  <c r="BK171" i="6"/>
  <c r="BK172" i="6"/>
  <c r="BK174" i="6"/>
  <c r="BK175" i="6"/>
  <c r="BK176" i="6"/>
  <c r="BK177" i="6"/>
  <c r="BK178" i="6"/>
  <c r="BK180" i="6"/>
  <c r="BK181" i="6"/>
  <c r="BK182" i="6"/>
  <c r="BK183" i="6"/>
  <c r="BK184" i="6"/>
  <c r="BK185" i="6"/>
  <c r="BK186" i="6"/>
  <c r="BK187" i="6"/>
  <c r="BK188" i="6"/>
  <c r="BK189" i="6"/>
  <c r="BK192" i="6"/>
  <c r="BK193" i="6"/>
  <c r="BK196" i="6"/>
  <c r="BK198" i="6"/>
  <c r="BK203" i="6"/>
  <c r="BK204" i="6"/>
  <c r="BK205" i="6"/>
  <c r="BK206" i="6"/>
  <c r="BK207" i="6"/>
  <c r="BK208" i="6"/>
  <c r="BK210" i="6"/>
  <c r="BK211" i="6"/>
  <c r="BK212" i="6"/>
  <c r="BK214" i="6"/>
  <c r="BK215" i="6"/>
  <c r="BK216" i="6"/>
  <c r="AN220" i="6"/>
  <c r="BK220" i="6" s="1"/>
  <c r="BK221" i="6"/>
  <c r="BK222" i="6"/>
  <c r="BK223" i="6"/>
  <c r="AN224" i="6"/>
  <c r="BK224" i="6"/>
  <c r="BL209" i="6"/>
  <c r="BL4" i="6"/>
  <c r="BL250" i="6" s="1"/>
  <c r="BL5" i="6"/>
  <c r="BL6" i="6"/>
  <c r="BL7" i="6"/>
  <c r="BL8" i="6"/>
  <c r="BL9" i="6"/>
  <c r="BL10" i="6"/>
  <c r="BL11" i="6"/>
  <c r="BL12" i="6"/>
  <c r="BL13" i="6"/>
  <c r="BL14" i="6"/>
  <c r="BL15" i="6"/>
  <c r="BL16" i="6"/>
  <c r="BL17" i="6"/>
  <c r="BL18" i="6"/>
  <c r="BL19" i="6"/>
  <c r="BL20" i="6"/>
  <c r="BL21" i="6"/>
  <c r="BL22" i="6"/>
  <c r="BL23" i="6"/>
  <c r="BL24" i="6"/>
  <c r="BL25" i="6"/>
  <c r="BL26" i="6"/>
  <c r="BL27" i="6"/>
  <c r="BL28" i="6"/>
  <c r="BL29" i="6"/>
  <c r="BL30" i="6"/>
  <c r="BL31" i="6"/>
  <c r="BL32" i="6"/>
  <c r="BL33" i="6"/>
  <c r="BL34" i="6"/>
  <c r="BL35" i="6"/>
  <c r="BL36" i="6"/>
  <c r="BL37" i="6"/>
  <c r="BL38" i="6"/>
  <c r="BL39" i="6"/>
  <c r="BL40" i="6"/>
  <c r="BL41" i="6"/>
  <c r="BL42" i="6"/>
  <c r="BL43" i="6"/>
  <c r="BL44" i="6"/>
  <c r="BL45" i="6"/>
  <c r="BL46" i="6"/>
  <c r="BL47" i="6"/>
  <c r="BL48" i="6"/>
  <c r="BL49" i="6"/>
  <c r="BL50" i="6"/>
  <c r="BL51" i="6"/>
  <c r="BL52" i="6"/>
  <c r="BL53" i="6"/>
  <c r="BL54" i="6"/>
  <c r="BL55" i="6"/>
  <c r="BL56" i="6"/>
  <c r="BL57" i="6"/>
  <c r="BL58" i="6"/>
  <c r="BL59" i="6"/>
  <c r="BL60" i="6"/>
  <c r="BL63" i="6"/>
  <c r="BL64" i="6"/>
  <c r="BL65" i="6"/>
  <c r="BL66" i="6"/>
  <c r="BL67" i="6"/>
  <c r="BL69" i="6"/>
  <c r="BL71" i="6"/>
  <c r="BL72" i="6"/>
  <c r="BL73" i="6"/>
  <c r="BL74" i="6"/>
  <c r="BL75" i="6"/>
  <c r="BL76" i="6"/>
  <c r="BL77" i="6"/>
  <c r="BL78" i="6"/>
  <c r="BL79" i="6"/>
  <c r="BL80" i="6"/>
  <c r="BL81" i="6"/>
  <c r="BL82" i="6"/>
  <c r="BL83" i="6"/>
  <c r="BL84" i="6"/>
  <c r="BL85" i="6"/>
  <c r="BL86" i="6"/>
  <c r="BL87" i="6"/>
  <c r="BL88" i="6"/>
  <c r="BL89" i="6"/>
  <c r="BL90" i="6"/>
  <c r="BL91" i="6"/>
  <c r="BL92" i="6"/>
  <c r="BL93" i="6"/>
  <c r="BL94" i="6"/>
  <c r="BL95" i="6"/>
  <c r="BL96" i="6"/>
  <c r="BL97" i="6"/>
  <c r="BL98" i="6"/>
  <c r="BL99" i="6"/>
  <c r="BL100" i="6"/>
  <c r="BL101" i="6"/>
  <c r="BL102" i="6"/>
  <c r="BL103" i="6"/>
  <c r="BL104" i="6"/>
  <c r="BL105" i="6"/>
  <c r="BL106" i="6"/>
  <c r="BL107" i="6"/>
  <c r="BL108" i="6"/>
  <c r="BL109" i="6"/>
  <c r="BL110" i="6"/>
  <c r="BL111" i="6"/>
  <c r="BL112" i="6"/>
  <c r="BL113" i="6"/>
  <c r="BL114" i="6"/>
  <c r="BL115" i="6"/>
  <c r="BL116" i="6"/>
  <c r="BL117" i="6"/>
  <c r="BL118" i="6"/>
  <c r="BL119" i="6"/>
  <c r="BL120" i="6"/>
  <c r="BL121" i="6"/>
  <c r="BL122" i="6"/>
  <c r="BL123" i="6"/>
  <c r="BL124" i="6"/>
  <c r="BL125" i="6"/>
  <c r="BL126" i="6"/>
  <c r="BL127" i="6"/>
  <c r="BL128" i="6"/>
  <c r="BL129" i="6"/>
  <c r="BL130" i="6"/>
  <c r="BL131" i="6"/>
  <c r="BL132" i="6"/>
  <c r="BL133" i="6"/>
  <c r="BL134" i="6"/>
  <c r="BL135" i="6"/>
  <c r="BL136" i="6"/>
  <c r="BL137" i="6"/>
  <c r="BL138" i="6"/>
  <c r="BL139" i="6"/>
  <c r="BL140" i="6"/>
  <c r="BL141" i="6"/>
  <c r="BL142" i="6"/>
  <c r="BL143" i="6"/>
  <c r="BL144" i="6"/>
  <c r="BL145" i="6"/>
  <c r="BL148" i="6"/>
  <c r="BL149" i="6"/>
  <c r="BL150" i="6"/>
  <c r="BL151" i="6"/>
  <c r="BL152" i="6"/>
  <c r="BL153" i="6"/>
  <c r="BL154" i="6"/>
  <c r="BL155" i="6"/>
  <c r="BL156" i="6"/>
  <c r="BL157" i="6"/>
  <c r="BL158" i="6"/>
  <c r="BL159" i="6"/>
  <c r="BL160" i="6"/>
  <c r="BL161" i="6"/>
  <c r="BL162" i="6"/>
  <c r="BL163" i="6"/>
  <c r="BL164" i="6"/>
  <c r="BL165" i="6"/>
  <c r="BL166" i="6"/>
  <c r="BL167" i="6"/>
  <c r="BL168" i="6"/>
  <c r="BL169" i="6"/>
  <c r="AO171" i="6"/>
  <c r="AP171" i="6"/>
  <c r="AQ171" i="6"/>
  <c r="AR171" i="6"/>
  <c r="BL171" i="6"/>
  <c r="BL172" i="6"/>
  <c r="BL174" i="6"/>
  <c r="BL175" i="6"/>
  <c r="BL176" i="6"/>
  <c r="BL177" i="6"/>
  <c r="BL178" i="6"/>
  <c r="BL179" i="6"/>
  <c r="BL180" i="6"/>
  <c r="BL181" i="6"/>
  <c r="BL182" i="6"/>
  <c r="BL183" i="6"/>
  <c r="BL184" i="6"/>
  <c r="BL185" i="6"/>
  <c r="BL186" i="6"/>
  <c r="BL187" i="6"/>
  <c r="BL188" i="6"/>
  <c r="BL189" i="6"/>
  <c r="BL192" i="6"/>
  <c r="BL193" i="6"/>
  <c r="BL196" i="6"/>
  <c r="BL198" i="6"/>
  <c r="BL203" i="6"/>
  <c r="BL206" i="6"/>
  <c r="BL207" i="6"/>
  <c r="BL208" i="6"/>
  <c r="BL210" i="6"/>
  <c r="BL211" i="6"/>
  <c r="BL212" i="6"/>
  <c r="BL214" i="6"/>
  <c r="BL215" i="6"/>
  <c r="BL216" i="6"/>
  <c r="AO220" i="6"/>
  <c r="BL220" i="6" s="1"/>
  <c r="BL221" i="6"/>
  <c r="BL222" i="6"/>
  <c r="BL223" i="6"/>
  <c r="AO224" i="6"/>
  <c r="BL224" i="6"/>
  <c r="BM209" i="6"/>
  <c r="BM4" i="6"/>
  <c r="BM5" i="6"/>
  <c r="BM6" i="6"/>
  <c r="BM7" i="6"/>
  <c r="BM8" i="6"/>
  <c r="BM9" i="6"/>
  <c r="BM10" i="6"/>
  <c r="BM11" i="6"/>
  <c r="BM12" i="6"/>
  <c r="BM13" i="6"/>
  <c r="BM14" i="6"/>
  <c r="BM15" i="6"/>
  <c r="BM16" i="6"/>
  <c r="BM17" i="6"/>
  <c r="BM18" i="6"/>
  <c r="BM19" i="6"/>
  <c r="BM20" i="6"/>
  <c r="BM21" i="6"/>
  <c r="BM22" i="6"/>
  <c r="BM23" i="6"/>
  <c r="BM24" i="6"/>
  <c r="BM25" i="6"/>
  <c r="BM26" i="6"/>
  <c r="BM27" i="6"/>
  <c r="BM28" i="6"/>
  <c r="BM29" i="6"/>
  <c r="BM30" i="6"/>
  <c r="BM31" i="6"/>
  <c r="BM32" i="6"/>
  <c r="BM33" i="6"/>
  <c r="BM34" i="6"/>
  <c r="BM35" i="6"/>
  <c r="BM36" i="6"/>
  <c r="BM37" i="6"/>
  <c r="BM38" i="6"/>
  <c r="BM39" i="6"/>
  <c r="BM40" i="6"/>
  <c r="BM41" i="6"/>
  <c r="BM42" i="6"/>
  <c r="BM43" i="6"/>
  <c r="BM44" i="6"/>
  <c r="BM45" i="6"/>
  <c r="BM46" i="6"/>
  <c r="BM47" i="6"/>
  <c r="BM48" i="6"/>
  <c r="BM49" i="6"/>
  <c r="BM50" i="6"/>
  <c r="BM51" i="6"/>
  <c r="BM52" i="6"/>
  <c r="BM53" i="6"/>
  <c r="BM54" i="6"/>
  <c r="BM55" i="6"/>
  <c r="BM56" i="6"/>
  <c r="BM57" i="6"/>
  <c r="BM58" i="6"/>
  <c r="BM59" i="6"/>
  <c r="BM60" i="6"/>
  <c r="BM61" i="6"/>
  <c r="BM62" i="6"/>
  <c r="BM63" i="6"/>
  <c r="BM64" i="6"/>
  <c r="BM65" i="6"/>
  <c r="BM66" i="6"/>
  <c r="BM67" i="6"/>
  <c r="BM68" i="6"/>
  <c r="BM69" i="6"/>
  <c r="BM70" i="6"/>
  <c r="BM71" i="6"/>
  <c r="BM72" i="6"/>
  <c r="BM73" i="6"/>
  <c r="BM74" i="6"/>
  <c r="BM75" i="6"/>
  <c r="BM76" i="6"/>
  <c r="BM77" i="6"/>
  <c r="BM78" i="6"/>
  <c r="BM79" i="6"/>
  <c r="BM80" i="6"/>
  <c r="BM81" i="6"/>
  <c r="BM82" i="6"/>
  <c r="BM83" i="6"/>
  <c r="BM84" i="6"/>
  <c r="BM85" i="6"/>
  <c r="BM86" i="6"/>
  <c r="BM87" i="6"/>
  <c r="BM88" i="6"/>
  <c r="BM89" i="6"/>
  <c r="BM90" i="6"/>
  <c r="BM91" i="6"/>
  <c r="BM92" i="6"/>
  <c r="BM93" i="6"/>
  <c r="BM94" i="6"/>
  <c r="BM95" i="6"/>
  <c r="BM96" i="6"/>
  <c r="BM97" i="6"/>
  <c r="BM98" i="6"/>
  <c r="BM99" i="6"/>
  <c r="BM100" i="6"/>
  <c r="BM101" i="6"/>
  <c r="BM102" i="6"/>
  <c r="BM103" i="6"/>
  <c r="BM104" i="6"/>
  <c r="BM105" i="6"/>
  <c r="BM106" i="6"/>
  <c r="BM107" i="6"/>
  <c r="BM108" i="6"/>
  <c r="BM109" i="6"/>
  <c r="BM110" i="6"/>
  <c r="BM111" i="6"/>
  <c r="BM112" i="6"/>
  <c r="BM113" i="6"/>
  <c r="BM114" i="6"/>
  <c r="BM115" i="6"/>
  <c r="BM116" i="6"/>
  <c r="BM117" i="6"/>
  <c r="BM118" i="6"/>
  <c r="BM119" i="6"/>
  <c r="BM120" i="6"/>
  <c r="BM121" i="6"/>
  <c r="BM122" i="6"/>
  <c r="BM123" i="6"/>
  <c r="BM124" i="6"/>
  <c r="BM125" i="6"/>
  <c r="BM126" i="6"/>
  <c r="BM127" i="6"/>
  <c r="BM128" i="6"/>
  <c r="BM129" i="6"/>
  <c r="BM130" i="6"/>
  <c r="BM131" i="6"/>
  <c r="BM132" i="6"/>
  <c r="BM133" i="6"/>
  <c r="BM134" i="6"/>
  <c r="BM135" i="6"/>
  <c r="BM136" i="6"/>
  <c r="BM137" i="6"/>
  <c r="BM138" i="6"/>
  <c r="BM139" i="6"/>
  <c r="BM140" i="6"/>
  <c r="BM141" i="6"/>
  <c r="BM142" i="6"/>
  <c r="BM143" i="6"/>
  <c r="BM144" i="6"/>
  <c r="BM145" i="6"/>
  <c r="BM146" i="6"/>
  <c r="BM147" i="6"/>
  <c r="BM148" i="6"/>
  <c r="BM149" i="6"/>
  <c r="BM150" i="6"/>
  <c r="BM151" i="6"/>
  <c r="BM152" i="6"/>
  <c r="BM153" i="6"/>
  <c r="BM154" i="6"/>
  <c r="BM155" i="6"/>
  <c r="BM156" i="6"/>
  <c r="BM157" i="6"/>
  <c r="BM158" i="6"/>
  <c r="BM159" i="6"/>
  <c r="BM160" i="6"/>
  <c r="BM161" i="6"/>
  <c r="BM162" i="6"/>
  <c r="BM163" i="6"/>
  <c r="BM164" i="6"/>
  <c r="BM165" i="6"/>
  <c r="BM166" i="6"/>
  <c r="BM167" i="6"/>
  <c r="BM168" i="6"/>
  <c r="BM169" i="6"/>
  <c r="BM170" i="6"/>
  <c r="BM171" i="6"/>
  <c r="BM172" i="6"/>
  <c r="BM174" i="6"/>
  <c r="BM175" i="6"/>
  <c r="BM176" i="6"/>
  <c r="BM177" i="6"/>
  <c r="BM178" i="6"/>
  <c r="BM179" i="6"/>
  <c r="BM180" i="6"/>
  <c r="BM181" i="6"/>
  <c r="BM182" i="6"/>
  <c r="BM183" i="6"/>
  <c r="BM184" i="6"/>
  <c r="BM185" i="6"/>
  <c r="BM186" i="6"/>
  <c r="BM187" i="6"/>
  <c r="BM188" i="6"/>
  <c r="BM189" i="6"/>
  <c r="BM192" i="6"/>
  <c r="BM193" i="6"/>
  <c r="BM197" i="6"/>
  <c r="BM198" i="6"/>
  <c r="BM201" i="6"/>
  <c r="BM202" i="6"/>
  <c r="BM203" i="6"/>
  <c r="BM206" i="6"/>
  <c r="BM207" i="6"/>
  <c r="BM208" i="6"/>
  <c r="BM210" i="6"/>
  <c r="BM211" i="6"/>
  <c r="BM212" i="6"/>
  <c r="BM214" i="6"/>
  <c r="BM215" i="6"/>
  <c r="BM216" i="6"/>
  <c r="AP220" i="6"/>
  <c r="BM220" i="6"/>
  <c r="BM221" i="6"/>
  <c r="BM222" i="6"/>
  <c r="BM223" i="6"/>
  <c r="AP224" i="6"/>
  <c r="BM224" i="6" s="1"/>
  <c r="BN209" i="6"/>
  <c r="BN4" i="6"/>
  <c r="BN5" i="6"/>
  <c r="BN6" i="6"/>
  <c r="BN7" i="6"/>
  <c r="BN8" i="6"/>
  <c r="BN9" i="6"/>
  <c r="BN10" i="6"/>
  <c r="BN11" i="6"/>
  <c r="BN12" i="6"/>
  <c r="BN13" i="6"/>
  <c r="BN14" i="6"/>
  <c r="BN15" i="6"/>
  <c r="BN16" i="6"/>
  <c r="BN17" i="6"/>
  <c r="BN18" i="6"/>
  <c r="BN19" i="6"/>
  <c r="BN20" i="6"/>
  <c r="BN23" i="6"/>
  <c r="BN25" i="6"/>
  <c r="BN27" i="6"/>
  <c r="BN30" i="6"/>
  <c r="BN31" i="6"/>
  <c r="BN32" i="6"/>
  <c r="BN33" i="6"/>
  <c r="BN34" i="6"/>
  <c r="BN35" i="6"/>
  <c r="BN36" i="6"/>
  <c r="BN37" i="6"/>
  <c r="BN38" i="6"/>
  <c r="BN39" i="6"/>
  <c r="BN40" i="6"/>
  <c r="BN41" i="6"/>
  <c r="BN42" i="6"/>
  <c r="BN43" i="6"/>
  <c r="BN44" i="6"/>
  <c r="BN45" i="6"/>
  <c r="BN46" i="6"/>
  <c r="BN47" i="6"/>
  <c r="BN48" i="6"/>
  <c r="BN49" i="6"/>
  <c r="BN50" i="6"/>
  <c r="BN51" i="6"/>
  <c r="BN52" i="6"/>
  <c r="BN53" i="6"/>
  <c r="BN54" i="6"/>
  <c r="BN55" i="6"/>
  <c r="BN56" i="6"/>
  <c r="BN57" i="6"/>
  <c r="BN58" i="6"/>
  <c r="BN59" i="6"/>
  <c r="BN60" i="6"/>
  <c r="BN61" i="6"/>
  <c r="BN62" i="6"/>
  <c r="BN63" i="6"/>
  <c r="BN64" i="6"/>
  <c r="BN65" i="6"/>
  <c r="BN66" i="6"/>
  <c r="BN67" i="6"/>
  <c r="BN68" i="6"/>
  <c r="BN69" i="6"/>
  <c r="BN70" i="6"/>
  <c r="BN71" i="6"/>
  <c r="BN72" i="6"/>
  <c r="BN73" i="6"/>
  <c r="BN74" i="6"/>
  <c r="BN75" i="6"/>
  <c r="BN76" i="6"/>
  <c r="BN77" i="6"/>
  <c r="BN78" i="6"/>
  <c r="BN79" i="6"/>
  <c r="BN80" i="6"/>
  <c r="BN81" i="6"/>
  <c r="BN82" i="6"/>
  <c r="BN83" i="6"/>
  <c r="BN84" i="6"/>
  <c r="BN85" i="6"/>
  <c r="BN86" i="6"/>
  <c r="BN87" i="6"/>
  <c r="BN88" i="6"/>
  <c r="BN89" i="6"/>
  <c r="BN90" i="6"/>
  <c r="BN91" i="6"/>
  <c r="BN92" i="6"/>
  <c r="BN93" i="6"/>
  <c r="BN94" i="6"/>
  <c r="BN95" i="6"/>
  <c r="BN96" i="6"/>
  <c r="BN97" i="6"/>
  <c r="BN98" i="6"/>
  <c r="BN99" i="6"/>
  <c r="BN100" i="6"/>
  <c r="BN101" i="6"/>
  <c r="BN102" i="6"/>
  <c r="BN103" i="6"/>
  <c r="BN104" i="6"/>
  <c r="BN105" i="6"/>
  <c r="BN106" i="6"/>
  <c r="BN107" i="6"/>
  <c r="BN108" i="6"/>
  <c r="BN109" i="6"/>
  <c r="BN110" i="6"/>
  <c r="BN111" i="6"/>
  <c r="BN112" i="6"/>
  <c r="BN113" i="6"/>
  <c r="BN114" i="6"/>
  <c r="BN115" i="6"/>
  <c r="BN116" i="6"/>
  <c r="BN117" i="6"/>
  <c r="BN118" i="6"/>
  <c r="BN119" i="6"/>
  <c r="BN120" i="6"/>
  <c r="BN121" i="6"/>
  <c r="BN122" i="6"/>
  <c r="BN123" i="6"/>
  <c r="BN124" i="6"/>
  <c r="BN125" i="6"/>
  <c r="BN126" i="6"/>
  <c r="BN127" i="6"/>
  <c r="BN128" i="6"/>
  <c r="BN129" i="6"/>
  <c r="BN130" i="6"/>
  <c r="BN131" i="6"/>
  <c r="BN132" i="6"/>
  <c r="BN133" i="6"/>
  <c r="BN134" i="6"/>
  <c r="BN135" i="6"/>
  <c r="BN136" i="6"/>
  <c r="BN137" i="6"/>
  <c r="BN138" i="6"/>
  <c r="BN139" i="6"/>
  <c r="BN140" i="6"/>
  <c r="BN141" i="6"/>
  <c r="BN142" i="6"/>
  <c r="BN143" i="6"/>
  <c r="BN144" i="6"/>
  <c r="BN145" i="6"/>
  <c r="BN146" i="6"/>
  <c r="BN147" i="6"/>
  <c r="BN149" i="6"/>
  <c r="BN150" i="6"/>
  <c r="BN151" i="6"/>
  <c r="BN152" i="6"/>
  <c r="BN154" i="6"/>
  <c r="BN155" i="6"/>
  <c r="BN156" i="6"/>
  <c r="BN157" i="6"/>
  <c r="BN158" i="6"/>
  <c r="BN159" i="6"/>
  <c r="BN160" i="6"/>
  <c r="BN161" i="6"/>
  <c r="BY161" i="6" s="1"/>
  <c r="BN162" i="6"/>
  <c r="BN163" i="6"/>
  <c r="BN164" i="6"/>
  <c r="BN165" i="6"/>
  <c r="BN166" i="6"/>
  <c r="BN167" i="6"/>
  <c r="BN168" i="6"/>
  <c r="BN169" i="6"/>
  <c r="BN170" i="6"/>
  <c r="BN171" i="6"/>
  <c r="BN172" i="6"/>
  <c r="BN174" i="6"/>
  <c r="BN175" i="6"/>
  <c r="BN176" i="6"/>
  <c r="BN177" i="6"/>
  <c r="BN178" i="6"/>
  <c r="BN179" i="6"/>
  <c r="BN180" i="6"/>
  <c r="BN181" i="6"/>
  <c r="BN183" i="6"/>
  <c r="BN184" i="6"/>
  <c r="BN185" i="6"/>
  <c r="BN186" i="6"/>
  <c r="BN187" i="6"/>
  <c r="BN188" i="6"/>
  <c r="BN189" i="6"/>
  <c r="BN192" i="6"/>
  <c r="BN193" i="6"/>
  <c r="BN196" i="6"/>
  <c r="BN203" i="6"/>
  <c r="BN206" i="6"/>
  <c r="BN207" i="6"/>
  <c r="BN208" i="6"/>
  <c r="BN210" i="6"/>
  <c r="BN211" i="6"/>
  <c r="BN212" i="6"/>
  <c r="BN214" i="6"/>
  <c r="BN215" i="6"/>
  <c r="BN216" i="6"/>
  <c r="AQ220" i="6"/>
  <c r="BN220" i="6" s="1"/>
  <c r="BN221" i="6"/>
  <c r="BN222" i="6"/>
  <c r="BN223" i="6"/>
  <c r="BO209" i="6"/>
  <c r="BO4" i="6"/>
  <c r="BO250" i="6" s="1"/>
  <c r="BO5" i="6"/>
  <c r="BO6" i="6"/>
  <c r="BO7" i="6"/>
  <c r="BO8" i="6"/>
  <c r="BO9" i="6"/>
  <c r="BO10" i="6"/>
  <c r="BO11" i="6"/>
  <c r="BO12" i="6"/>
  <c r="BO13" i="6"/>
  <c r="BO14" i="6"/>
  <c r="BO15" i="6"/>
  <c r="BO16" i="6"/>
  <c r="BO17" i="6"/>
  <c r="BO18" i="6"/>
  <c r="BO19" i="6"/>
  <c r="BO20" i="6"/>
  <c r="BO22" i="6"/>
  <c r="BO23" i="6"/>
  <c r="BO25" i="6"/>
  <c r="BO27" i="6"/>
  <c r="BO30" i="6"/>
  <c r="BO31" i="6"/>
  <c r="BO32" i="6"/>
  <c r="BO33" i="6"/>
  <c r="BO34" i="6"/>
  <c r="BO35" i="6"/>
  <c r="BO36" i="6"/>
  <c r="BO37" i="6"/>
  <c r="BO38" i="6"/>
  <c r="BO39" i="6"/>
  <c r="BO40" i="6"/>
  <c r="BO41" i="6"/>
  <c r="BO42" i="6"/>
  <c r="BO43" i="6"/>
  <c r="BO44" i="6"/>
  <c r="BO45" i="6"/>
  <c r="BO46" i="6"/>
  <c r="BO47" i="6"/>
  <c r="BO48" i="6"/>
  <c r="BO49" i="6"/>
  <c r="BO50" i="6"/>
  <c r="BO51" i="6"/>
  <c r="BO52" i="6"/>
  <c r="BO53" i="6"/>
  <c r="BO54" i="6"/>
  <c r="BO55" i="6"/>
  <c r="BO56" i="6"/>
  <c r="BO57" i="6"/>
  <c r="BO58" i="6"/>
  <c r="BO59" i="6"/>
  <c r="BO60" i="6"/>
  <c r="BO61" i="6"/>
  <c r="BO63" i="6"/>
  <c r="BO64" i="6"/>
  <c r="BO65" i="6"/>
  <c r="BO66" i="6"/>
  <c r="BO67" i="6"/>
  <c r="BO68" i="6"/>
  <c r="BO69" i="6"/>
  <c r="BO71" i="6"/>
  <c r="BO72" i="6"/>
  <c r="BO73" i="6"/>
  <c r="BO74" i="6"/>
  <c r="BO75" i="6"/>
  <c r="BO76" i="6"/>
  <c r="BO77" i="6"/>
  <c r="BO78" i="6"/>
  <c r="BO79" i="6"/>
  <c r="BO80" i="6"/>
  <c r="BO81" i="6"/>
  <c r="BO82" i="6"/>
  <c r="BO83" i="6"/>
  <c r="BO84" i="6"/>
  <c r="BO85" i="6"/>
  <c r="BO86" i="6"/>
  <c r="BO87" i="6"/>
  <c r="BO88" i="6"/>
  <c r="BO89" i="6"/>
  <c r="BO90" i="6"/>
  <c r="BO91" i="6"/>
  <c r="BO92" i="6"/>
  <c r="BO93" i="6"/>
  <c r="BO94" i="6"/>
  <c r="BO95" i="6"/>
  <c r="BO96" i="6"/>
  <c r="BO97" i="6"/>
  <c r="BO98" i="6"/>
  <c r="BO99" i="6"/>
  <c r="BO100" i="6"/>
  <c r="BO101" i="6"/>
  <c r="BO102" i="6"/>
  <c r="BO103" i="6"/>
  <c r="BO104" i="6"/>
  <c r="BO105" i="6"/>
  <c r="BO106" i="6"/>
  <c r="BO107" i="6"/>
  <c r="BO108" i="6"/>
  <c r="BO109" i="6"/>
  <c r="BO110" i="6"/>
  <c r="BO111" i="6"/>
  <c r="BO112" i="6"/>
  <c r="BO113" i="6"/>
  <c r="BO114" i="6"/>
  <c r="BO115" i="6"/>
  <c r="BO116" i="6"/>
  <c r="BO117" i="6"/>
  <c r="BO118" i="6"/>
  <c r="BO119" i="6"/>
  <c r="BO120" i="6"/>
  <c r="BO121" i="6"/>
  <c r="BO122" i="6"/>
  <c r="BO123" i="6"/>
  <c r="BO124" i="6"/>
  <c r="BO125" i="6"/>
  <c r="BO126" i="6"/>
  <c r="BO127" i="6"/>
  <c r="BO128" i="6"/>
  <c r="BO129" i="6"/>
  <c r="BO130" i="6"/>
  <c r="BO131" i="6"/>
  <c r="BO132" i="6"/>
  <c r="BO133" i="6"/>
  <c r="BO134" i="6"/>
  <c r="BO135" i="6"/>
  <c r="BO136" i="6"/>
  <c r="BO137" i="6"/>
  <c r="BO138" i="6"/>
  <c r="BO139" i="6"/>
  <c r="BO140" i="6"/>
  <c r="BO141" i="6"/>
  <c r="BO142" i="6"/>
  <c r="BO143" i="6"/>
  <c r="BO144" i="6"/>
  <c r="BO145" i="6"/>
  <c r="BO146" i="6"/>
  <c r="BO147" i="6"/>
  <c r="BO148" i="6"/>
  <c r="BO149" i="6"/>
  <c r="BO150" i="6"/>
  <c r="BO151" i="6"/>
  <c r="BO152" i="6"/>
  <c r="BO153" i="6"/>
  <c r="BO154" i="6"/>
  <c r="BO155" i="6"/>
  <c r="BO156" i="6"/>
  <c r="BO157" i="6"/>
  <c r="BO158" i="6"/>
  <c r="BO159" i="6"/>
  <c r="BO160" i="6"/>
  <c r="BO161" i="6"/>
  <c r="BO162" i="6"/>
  <c r="BO163" i="6"/>
  <c r="BO164" i="6"/>
  <c r="BO165" i="6"/>
  <c r="BO166" i="6"/>
  <c r="BO167" i="6"/>
  <c r="BO168" i="6"/>
  <c r="BO169" i="6"/>
  <c r="BO170" i="6"/>
  <c r="BO171" i="6"/>
  <c r="BO172" i="6"/>
  <c r="BO174" i="6"/>
  <c r="BO175" i="6"/>
  <c r="BO176" i="6"/>
  <c r="BO177" i="6"/>
  <c r="BO178" i="6"/>
  <c r="BO179" i="6"/>
  <c r="BO180" i="6"/>
  <c r="BO181" i="6"/>
  <c r="BO183" i="6"/>
  <c r="BO184" i="6"/>
  <c r="BO185" i="6"/>
  <c r="BO186" i="6"/>
  <c r="BO187" i="6"/>
  <c r="BO188" i="6"/>
  <c r="BO189" i="6"/>
  <c r="BO192" i="6"/>
  <c r="BO193" i="6"/>
  <c r="BO196" i="6"/>
  <c r="BO203" i="6"/>
  <c r="BO206" i="6"/>
  <c r="BO207" i="6"/>
  <c r="BO208" i="6"/>
  <c r="BO210" i="6"/>
  <c r="BO211" i="6"/>
  <c r="BO212" i="6"/>
  <c r="BO214" i="6"/>
  <c r="BO215" i="6"/>
  <c r="BO216" i="6"/>
  <c r="BO221" i="6"/>
  <c r="BO222" i="6"/>
  <c r="BO223" i="6"/>
  <c r="BP209" i="6"/>
  <c r="BP4" i="6"/>
  <c r="BP5" i="6"/>
  <c r="BP6" i="6"/>
  <c r="BP7" i="6"/>
  <c r="BP8" i="6"/>
  <c r="BP9" i="6"/>
  <c r="BP10" i="6"/>
  <c r="BP11" i="6"/>
  <c r="BP12" i="6"/>
  <c r="BP13" i="6"/>
  <c r="BP14" i="6"/>
  <c r="BP15" i="6"/>
  <c r="BP16" i="6"/>
  <c r="BP17" i="6"/>
  <c r="BP18" i="6"/>
  <c r="BP19" i="6"/>
  <c r="BP20" i="6"/>
  <c r="BP21" i="6"/>
  <c r="BP22" i="6"/>
  <c r="BP23" i="6"/>
  <c r="BP24" i="6"/>
  <c r="BP25" i="6"/>
  <c r="BP27" i="6"/>
  <c r="BP29" i="6"/>
  <c r="BP31" i="6"/>
  <c r="BP32" i="6"/>
  <c r="BP33" i="6"/>
  <c r="BP34" i="6"/>
  <c r="BP35" i="6"/>
  <c r="BP36" i="6"/>
  <c r="BP37" i="6"/>
  <c r="BP38" i="6"/>
  <c r="BP39" i="6"/>
  <c r="BP40" i="6"/>
  <c r="BP41" i="6"/>
  <c r="BP42" i="6"/>
  <c r="BP43" i="6"/>
  <c r="BP44" i="6"/>
  <c r="BP45" i="6"/>
  <c r="BP46" i="6"/>
  <c r="BP47" i="6"/>
  <c r="BP48" i="6"/>
  <c r="BP49" i="6"/>
  <c r="BP50" i="6"/>
  <c r="BP51" i="6"/>
  <c r="BP52" i="6"/>
  <c r="BP53" i="6"/>
  <c r="BP54" i="6"/>
  <c r="BP55" i="6"/>
  <c r="BP56" i="6"/>
  <c r="BP57" i="6"/>
  <c r="BP58" i="6"/>
  <c r="BP59" i="6"/>
  <c r="BP60" i="6"/>
  <c r="BP62" i="6"/>
  <c r="BP63" i="6"/>
  <c r="BP64" i="6"/>
  <c r="BP65" i="6"/>
  <c r="BP66" i="6"/>
  <c r="BP67" i="6"/>
  <c r="BP70" i="6"/>
  <c r="BP75" i="6"/>
  <c r="BP76" i="6"/>
  <c r="BP77" i="6"/>
  <c r="BP78" i="6"/>
  <c r="BP79" i="6"/>
  <c r="BP80" i="6"/>
  <c r="BP81" i="6"/>
  <c r="BP82" i="6"/>
  <c r="BP84" i="6"/>
  <c r="BP85" i="6"/>
  <c r="BP86" i="6"/>
  <c r="BP87" i="6"/>
  <c r="BP88" i="6"/>
  <c r="BP89" i="6"/>
  <c r="BP90" i="6"/>
  <c r="BP91" i="6"/>
  <c r="BP92" i="6"/>
  <c r="BP93" i="6"/>
  <c r="BP94" i="6"/>
  <c r="BP95" i="6"/>
  <c r="BP96" i="6"/>
  <c r="BP97" i="6"/>
  <c r="BP98" i="6"/>
  <c r="BP99" i="6"/>
  <c r="BP100" i="6"/>
  <c r="BP101" i="6"/>
  <c r="BP102" i="6"/>
  <c r="BP103" i="6"/>
  <c r="BP104" i="6"/>
  <c r="BP105" i="6"/>
  <c r="BP106" i="6"/>
  <c r="BP107" i="6"/>
  <c r="BP108" i="6"/>
  <c r="BP109" i="6"/>
  <c r="BP110" i="6"/>
  <c r="BP111" i="6"/>
  <c r="BP112" i="6"/>
  <c r="BP113" i="6"/>
  <c r="BP114" i="6"/>
  <c r="BP115" i="6"/>
  <c r="BP116" i="6"/>
  <c r="BP117" i="6"/>
  <c r="BP118" i="6"/>
  <c r="BP119" i="6"/>
  <c r="BP120" i="6"/>
  <c r="BP121" i="6"/>
  <c r="BP122" i="6"/>
  <c r="BP123" i="6"/>
  <c r="BP124" i="6"/>
  <c r="BP125" i="6"/>
  <c r="BP126" i="6"/>
  <c r="BP127" i="6"/>
  <c r="BP128" i="6"/>
  <c r="BP129" i="6"/>
  <c r="BP130" i="6"/>
  <c r="BP131" i="6"/>
  <c r="BP132" i="6"/>
  <c r="BP133" i="6"/>
  <c r="BP134" i="6"/>
  <c r="BP135" i="6"/>
  <c r="BP136" i="6"/>
  <c r="BP137" i="6"/>
  <c r="BP138" i="6"/>
  <c r="BP139" i="6"/>
  <c r="BP140" i="6"/>
  <c r="BP141" i="6"/>
  <c r="BP142" i="6"/>
  <c r="BP143" i="6"/>
  <c r="BP144" i="6"/>
  <c r="BP145" i="6"/>
  <c r="BP148" i="6"/>
  <c r="BP149" i="6"/>
  <c r="BP150" i="6"/>
  <c r="BP151" i="6"/>
  <c r="BP152" i="6"/>
  <c r="BP153" i="6"/>
  <c r="BP154" i="6"/>
  <c r="BP155" i="6"/>
  <c r="BP156" i="6"/>
  <c r="BP157" i="6"/>
  <c r="BP158" i="6"/>
  <c r="BP159" i="6"/>
  <c r="BP160" i="6"/>
  <c r="BP161" i="6"/>
  <c r="BP162" i="6"/>
  <c r="BP163" i="6"/>
  <c r="BP164" i="6"/>
  <c r="BP165" i="6"/>
  <c r="BP166" i="6"/>
  <c r="BP167" i="6"/>
  <c r="BP168" i="6"/>
  <c r="BP169" i="6"/>
  <c r="BP170" i="6"/>
  <c r="BP171" i="6"/>
  <c r="BP172" i="6"/>
  <c r="BP174" i="6"/>
  <c r="BP175" i="6"/>
  <c r="BP176" i="6"/>
  <c r="BP177" i="6"/>
  <c r="BP178" i="6"/>
  <c r="BP179" i="6"/>
  <c r="BP180" i="6"/>
  <c r="BP181" i="6"/>
  <c r="BP183" i="6"/>
  <c r="BP184" i="6"/>
  <c r="BP185" i="6"/>
  <c r="BP186" i="6"/>
  <c r="BP187" i="6"/>
  <c r="BP188" i="6"/>
  <c r="BP189" i="6"/>
  <c r="BP192" i="6"/>
  <c r="BP193" i="6"/>
  <c r="BP203" i="6"/>
  <c r="BP206" i="6"/>
  <c r="BP207" i="6"/>
  <c r="BP208" i="6"/>
  <c r="BP210" i="6"/>
  <c r="BP211" i="6"/>
  <c r="BP212" i="6"/>
  <c r="BP214" i="6"/>
  <c r="BP215" i="6"/>
  <c r="BP216" i="6"/>
  <c r="BP221" i="6"/>
  <c r="BP222" i="6"/>
  <c r="BP223" i="6"/>
  <c r="AS224" i="6"/>
  <c r="BP224" i="6" s="1"/>
  <c r="BQ209" i="6"/>
  <c r="BQ4" i="6"/>
  <c r="BQ5" i="6"/>
  <c r="BQ6" i="6"/>
  <c r="BQ250" i="6" s="1"/>
  <c r="BQ7" i="6"/>
  <c r="BQ8" i="6"/>
  <c r="BQ9" i="6"/>
  <c r="BQ10" i="6"/>
  <c r="BQ11" i="6"/>
  <c r="BQ12" i="6"/>
  <c r="BQ13" i="6"/>
  <c r="BQ14" i="6"/>
  <c r="BQ15" i="6"/>
  <c r="BQ16" i="6"/>
  <c r="BQ17" i="6"/>
  <c r="BQ18" i="6"/>
  <c r="BQ19" i="6"/>
  <c r="BQ20" i="6"/>
  <c r="BQ21" i="6"/>
  <c r="BQ22" i="6"/>
  <c r="BQ23" i="6"/>
  <c r="BQ24" i="6"/>
  <c r="BQ25" i="6"/>
  <c r="BQ26" i="6"/>
  <c r="BQ27" i="6"/>
  <c r="BQ28" i="6"/>
  <c r="BQ29" i="6"/>
  <c r="BQ30" i="6"/>
  <c r="BQ32" i="6"/>
  <c r="BQ33" i="6"/>
  <c r="BQ34" i="6"/>
  <c r="BQ35" i="6"/>
  <c r="BQ36" i="6"/>
  <c r="BQ37" i="6"/>
  <c r="BQ38" i="6"/>
  <c r="BQ39" i="6"/>
  <c r="BQ40" i="6"/>
  <c r="BQ41" i="6"/>
  <c r="BQ42" i="6"/>
  <c r="BQ43" i="6"/>
  <c r="BQ44" i="6"/>
  <c r="BQ45" i="6"/>
  <c r="BQ46" i="6"/>
  <c r="BQ47" i="6"/>
  <c r="BQ48" i="6"/>
  <c r="BQ49" i="6"/>
  <c r="BQ50" i="6"/>
  <c r="BQ51" i="6"/>
  <c r="BQ52" i="6"/>
  <c r="BQ53" i="6"/>
  <c r="BQ54" i="6"/>
  <c r="BQ55" i="6"/>
  <c r="BQ56" i="6"/>
  <c r="BQ57" i="6"/>
  <c r="BQ58" i="6"/>
  <c r="BQ59" i="6"/>
  <c r="BQ60" i="6"/>
  <c r="BQ61" i="6"/>
  <c r="BQ62" i="6"/>
  <c r="BQ63" i="6"/>
  <c r="BQ68" i="6"/>
  <c r="BQ69" i="6"/>
  <c r="BQ70" i="6"/>
  <c r="BQ71" i="6"/>
  <c r="BQ72" i="6"/>
  <c r="BQ73" i="6"/>
  <c r="BQ74" i="6"/>
  <c r="BQ77" i="6"/>
  <c r="BQ78" i="6"/>
  <c r="BQ79" i="6"/>
  <c r="BQ80" i="6"/>
  <c r="BQ81" i="6"/>
  <c r="BQ82" i="6"/>
  <c r="BQ83" i="6"/>
  <c r="BQ84" i="6"/>
  <c r="BQ85" i="6"/>
  <c r="BQ86" i="6"/>
  <c r="BQ87" i="6"/>
  <c r="BQ88" i="6"/>
  <c r="BQ89" i="6"/>
  <c r="BQ90" i="6"/>
  <c r="BQ91" i="6"/>
  <c r="BQ92" i="6"/>
  <c r="BQ93" i="6"/>
  <c r="BQ94" i="6"/>
  <c r="BQ95" i="6"/>
  <c r="BQ96" i="6"/>
  <c r="BQ97" i="6"/>
  <c r="BQ98" i="6"/>
  <c r="BQ99" i="6"/>
  <c r="BQ100" i="6"/>
  <c r="BQ101" i="6"/>
  <c r="BQ102" i="6"/>
  <c r="BQ103" i="6"/>
  <c r="BQ104" i="6"/>
  <c r="BQ105" i="6"/>
  <c r="BQ106" i="6"/>
  <c r="BQ107" i="6"/>
  <c r="BQ108" i="6"/>
  <c r="BQ109" i="6"/>
  <c r="BQ110" i="6"/>
  <c r="BQ111" i="6"/>
  <c r="BQ112" i="6"/>
  <c r="BQ113" i="6"/>
  <c r="BQ114" i="6"/>
  <c r="BQ115" i="6"/>
  <c r="BQ116" i="6"/>
  <c r="BQ117" i="6"/>
  <c r="BQ118" i="6"/>
  <c r="BQ119" i="6"/>
  <c r="BQ120" i="6"/>
  <c r="BQ121" i="6"/>
  <c r="BQ122" i="6"/>
  <c r="BQ123" i="6"/>
  <c r="BQ124" i="6"/>
  <c r="BQ125" i="6"/>
  <c r="BQ126" i="6"/>
  <c r="BQ127" i="6"/>
  <c r="BQ128" i="6"/>
  <c r="BQ129" i="6"/>
  <c r="BQ130" i="6"/>
  <c r="BQ131" i="6"/>
  <c r="BQ132" i="6"/>
  <c r="BQ133" i="6"/>
  <c r="BQ134" i="6"/>
  <c r="BQ135" i="6"/>
  <c r="BQ136" i="6"/>
  <c r="BQ137" i="6"/>
  <c r="BQ138" i="6"/>
  <c r="BQ139" i="6"/>
  <c r="BQ140" i="6"/>
  <c r="BQ141" i="6"/>
  <c r="BQ142" i="6"/>
  <c r="BQ143" i="6"/>
  <c r="BQ144" i="6"/>
  <c r="BQ145" i="6"/>
  <c r="BQ147" i="6"/>
  <c r="BQ148" i="6"/>
  <c r="BQ149" i="6"/>
  <c r="BQ150" i="6"/>
  <c r="BQ151" i="6"/>
  <c r="BQ152" i="6"/>
  <c r="BQ153" i="6"/>
  <c r="BQ154" i="6"/>
  <c r="BQ155" i="6"/>
  <c r="BQ156" i="6"/>
  <c r="BQ157" i="6"/>
  <c r="BQ158" i="6"/>
  <c r="BQ159" i="6"/>
  <c r="BQ160" i="6"/>
  <c r="BQ161" i="6"/>
  <c r="BQ162" i="6"/>
  <c r="BQ163" i="6"/>
  <c r="BQ164" i="6"/>
  <c r="BQ165" i="6"/>
  <c r="BQ166" i="6"/>
  <c r="BQ167" i="6"/>
  <c r="BQ168" i="6"/>
  <c r="BQ169" i="6"/>
  <c r="BQ170" i="6"/>
  <c r="BQ171" i="6"/>
  <c r="BQ172" i="6"/>
  <c r="BQ174" i="6"/>
  <c r="BQ175" i="6"/>
  <c r="BQ176" i="6"/>
  <c r="BQ177" i="6"/>
  <c r="BQ178" i="6"/>
  <c r="BQ179" i="6"/>
  <c r="BQ180" i="6"/>
  <c r="BQ181" i="6"/>
  <c r="BQ182" i="6"/>
  <c r="BQ183" i="6"/>
  <c r="BQ185" i="6"/>
  <c r="BQ186" i="6"/>
  <c r="BQ187" i="6"/>
  <c r="BQ188" i="6"/>
  <c r="BQ189" i="6"/>
  <c r="BQ192" i="6"/>
  <c r="BQ193" i="6"/>
  <c r="BQ203" i="6"/>
  <c r="BQ206" i="6"/>
  <c r="BQ207" i="6"/>
  <c r="BQ208" i="6"/>
  <c r="BQ210" i="6"/>
  <c r="BQ211" i="6"/>
  <c r="BQ212" i="6"/>
  <c r="BQ214" i="6"/>
  <c r="BQ215" i="6"/>
  <c r="BQ216" i="6"/>
  <c r="AT220" i="6"/>
  <c r="BQ220" i="6"/>
  <c r="BQ221" i="6"/>
  <c r="BQ222" i="6"/>
  <c r="BQ223" i="6"/>
  <c r="BR209" i="6"/>
  <c r="BR4" i="6"/>
  <c r="BR5" i="6"/>
  <c r="BR250" i="6" s="1"/>
  <c r="BR6" i="6"/>
  <c r="BR7" i="6"/>
  <c r="BR8" i="6"/>
  <c r="BR9" i="6"/>
  <c r="BR10" i="6"/>
  <c r="BR11" i="6"/>
  <c r="BR12" i="6"/>
  <c r="BR13" i="6"/>
  <c r="BR14" i="6"/>
  <c r="BR15" i="6"/>
  <c r="BR16" i="6"/>
  <c r="BR17" i="6"/>
  <c r="BR18" i="6"/>
  <c r="BR19" i="6"/>
  <c r="BR20" i="6"/>
  <c r="BR21" i="6"/>
  <c r="BR22" i="6"/>
  <c r="BR23" i="6"/>
  <c r="BR24" i="6"/>
  <c r="BR25" i="6"/>
  <c r="BR27" i="6"/>
  <c r="BR28" i="6"/>
  <c r="BR29" i="6"/>
  <c r="BR31" i="6"/>
  <c r="BR32" i="6"/>
  <c r="BR33" i="6"/>
  <c r="BR34" i="6"/>
  <c r="BR35" i="6"/>
  <c r="BR36" i="6"/>
  <c r="BR37" i="6"/>
  <c r="BR38" i="6"/>
  <c r="BR39" i="6"/>
  <c r="BR40" i="6"/>
  <c r="BR41" i="6"/>
  <c r="BR42" i="6"/>
  <c r="BR43" i="6"/>
  <c r="BR44" i="6"/>
  <c r="BR45" i="6"/>
  <c r="BR46" i="6"/>
  <c r="BR47" i="6"/>
  <c r="BR48" i="6"/>
  <c r="BR49" i="6"/>
  <c r="BR50" i="6"/>
  <c r="BR51" i="6"/>
  <c r="BR52" i="6"/>
  <c r="BR53" i="6"/>
  <c r="BR54" i="6"/>
  <c r="BR55" i="6"/>
  <c r="BR56" i="6"/>
  <c r="BR57" i="6"/>
  <c r="BR58" i="6"/>
  <c r="BR59" i="6"/>
  <c r="BR60" i="6"/>
  <c r="BR61" i="6"/>
  <c r="BR62" i="6"/>
  <c r="BR63" i="6"/>
  <c r="BR66" i="6"/>
  <c r="BR67" i="6"/>
  <c r="BR68" i="6"/>
  <c r="BR69" i="6"/>
  <c r="BR70" i="6"/>
  <c r="BR71" i="6"/>
  <c r="BR72" i="6"/>
  <c r="BR73" i="6"/>
  <c r="BR74" i="6"/>
  <c r="BR75" i="6"/>
  <c r="BR77" i="6"/>
  <c r="BR78" i="6"/>
  <c r="BR81" i="6"/>
  <c r="BR82" i="6"/>
  <c r="BR83" i="6"/>
  <c r="BR85" i="6"/>
  <c r="BR86" i="6"/>
  <c r="BR87" i="6"/>
  <c r="BR88" i="6"/>
  <c r="BR89" i="6"/>
  <c r="BR90" i="6"/>
  <c r="BR91" i="6"/>
  <c r="BR92" i="6"/>
  <c r="BR93" i="6"/>
  <c r="BR94" i="6"/>
  <c r="BR95" i="6"/>
  <c r="BR96" i="6"/>
  <c r="BR97" i="6"/>
  <c r="BR98" i="6"/>
  <c r="BR99" i="6"/>
  <c r="BR100" i="6"/>
  <c r="BR101" i="6"/>
  <c r="BR102" i="6"/>
  <c r="BR103" i="6"/>
  <c r="BR104" i="6"/>
  <c r="BR105" i="6"/>
  <c r="BR106" i="6"/>
  <c r="BR107" i="6"/>
  <c r="BR108" i="6"/>
  <c r="BR109" i="6"/>
  <c r="BY109" i="6" s="1"/>
  <c r="BR110" i="6"/>
  <c r="BR111" i="6"/>
  <c r="BR112" i="6"/>
  <c r="BR113" i="6"/>
  <c r="BR114" i="6"/>
  <c r="BR115" i="6"/>
  <c r="BR116" i="6"/>
  <c r="BR117" i="6"/>
  <c r="BR118" i="6"/>
  <c r="BR119" i="6"/>
  <c r="BR120" i="6"/>
  <c r="BR121" i="6"/>
  <c r="BR122" i="6"/>
  <c r="BR123" i="6"/>
  <c r="BR124" i="6"/>
  <c r="BR125" i="6"/>
  <c r="BR126" i="6"/>
  <c r="BR127" i="6"/>
  <c r="BR128" i="6"/>
  <c r="BR129" i="6"/>
  <c r="BR130" i="6"/>
  <c r="BR131" i="6"/>
  <c r="BR132" i="6"/>
  <c r="BR133" i="6"/>
  <c r="BR134" i="6"/>
  <c r="BR135" i="6"/>
  <c r="BR136" i="6"/>
  <c r="BR137" i="6"/>
  <c r="BR138" i="6"/>
  <c r="BR139" i="6"/>
  <c r="BR140" i="6"/>
  <c r="BR141" i="6"/>
  <c r="BR142" i="6"/>
  <c r="BR143" i="6"/>
  <c r="BR144" i="6"/>
  <c r="BR145" i="6"/>
  <c r="BR146" i="6"/>
  <c r="BR147" i="6"/>
  <c r="BR149" i="6"/>
  <c r="BR150" i="6"/>
  <c r="BR151" i="6"/>
  <c r="BR152" i="6"/>
  <c r="BR153" i="6"/>
  <c r="BR154" i="6"/>
  <c r="BR155" i="6"/>
  <c r="BR156" i="6"/>
  <c r="BR157" i="6"/>
  <c r="BR158" i="6"/>
  <c r="BR159" i="6"/>
  <c r="BR160" i="6"/>
  <c r="BR161" i="6"/>
  <c r="BR162" i="6"/>
  <c r="BR163" i="6"/>
  <c r="BR164" i="6"/>
  <c r="BR165" i="6"/>
  <c r="BR166" i="6"/>
  <c r="BR167" i="6"/>
  <c r="BR168" i="6"/>
  <c r="BR169" i="6"/>
  <c r="BR170" i="6"/>
  <c r="BR172" i="6"/>
  <c r="BR174" i="6"/>
  <c r="BR175" i="6"/>
  <c r="BR176" i="6"/>
  <c r="BR177" i="6"/>
  <c r="BR178" i="6"/>
  <c r="BR179" i="6"/>
  <c r="BR180" i="6"/>
  <c r="BR181" i="6"/>
  <c r="BR182" i="6"/>
  <c r="BR183" i="6"/>
  <c r="BR184" i="6"/>
  <c r="BR185" i="6"/>
  <c r="BR186" i="6"/>
  <c r="BR187" i="6"/>
  <c r="BR188" i="6"/>
  <c r="BR189" i="6"/>
  <c r="BR192" i="6"/>
  <c r="BR193" i="6"/>
  <c r="BR203" i="6"/>
  <c r="BR206" i="6"/>
  <c r="BR207" i="6"/>
  <c r="BR208" i="6"/>
  <c r="BR210" i="6"/>
  <c r="BR211" i="6"/>
  <c r="BR212" i="6"/>
  <c r="BR214" i="6"/>
  <c r="BR215" i="6"/>
  <c r="BR216" i="6"/>
  <c r="AU220" i="6"/>
  <c r="BR220" i="6" s="1"/>
  <c r="BR221" i="6"/>
  <c r="BR222" i="6"/>
  <c r="BR223" i="6"/>
  <c r="AU224" i="6"/>
  <c r="BR224" i="6"/>
  <c r="BS209" i="6"/>
  <c r="BS4" i="6"/>
  <c r="BS5" i="6"/>
  <c r="BS6" i="6"/>
  <c r="BS7" i="6"/>
  <c r="BS8" i="6"/>
  <c r="BS9" i="6"/>
  <c r="BS10" i="6"/>
  <c r="BS11" i="6"/>
  <c r="BS12" i="6"/>
  <c r="BS13" i="6"/>
  <c r="BS14" i="6"/>
  <c r="BS15" i="6"/>
  <c r="BS16" i="6"/>
  <c r="BS17" i="6"/>
  <c r="BS18" i="6"/>
  <c r="BS19" i="6"/>
  <c r="BS20" i="6"/>
  <c r="BS21" i="6"/>
  <c r="BS23" i="6"/>
  <c r="BS25" i="6"/>
  <c r="BS26" i="6"/>
  <c r="BS27" i="6"/>
  <c r="BS28" i="6"/>
  <c r="BS29" i="6"/>
  <c r="BS30" i="6"/>
  <c r="BS32" i="6"/>
  <c r="BS33" i="6"/>
  <c r="BS35" i="6"/>
  <c r="BS36" i="6"/>
  <c r="BS38" i="6"/>
  <c r="BS39" i="6"/>
  <c r="BS40" i="6"/>
  <c r="BS41" i="6"/>
  <c r="BS42" i="6"/>
  <c r="BS43" i="6"/>
  <c r="BS44" i="6"/>
  <c r="BS45" i="6"/>
  <c r="BS46" i="6"/>
  <c r="BS47" i="6"/>
  <c r="BS48" i="6"/>
  <c r="BS49" i="6"/>
  <c r="BS50" i="6"/>
  <c r="BS51" i="6"/>
  <c r="BS52" i="6"/>
  <c r="BS53" i="6"/>
  <c r="BS54" i="6"/>
  <c r="BS55" i="6"/>
  <c r="BS56" i="6"/>
  <c r="BS57" i="6"/>
  <c r="BS58" i="6"/>
  <c r="BS59" i="6"/>
  <c r="BS60" i="6"/>
  <c r="BS61" i="6"/>
  <c r="BS62" i="6"/>
  <c r="BS63" i="6"/>
  <c r="BS68" i="6"/>
  <c r="BS70" i="6"/>
  <c r="BS71" i="6"/>
  <c r="BS72" i="6"/>
  <c r="BS73" i="6"/>
  <c r="BS74" i="6"/>
  <c r="BS76" i="6"/>
  <c r="BS77" i="6"/>
  <c r="BS79" i="6"/>
  <c r="BS81" i="6"/>
  <c r="BS82" i="6"/>
  <c r="BS85" i="6"/>
  <c r="BS91" i="6"/>
  <c r="BS92" i="6"/>
  <c r="BS93" i="6"/>
  <c r="BS94" i="6"/>
  <c r="BS95" i="6"/>
  <c r="BS96" i="6"/>
  <c r="BS97" i="6"/>
  <c r="BS98" i="6"/>
  <c r="BS99" i="6"/>
  <c r="BS100" i="6"/>
  <c r="BS101" i="6"/>
  <c r="BS102" i="6"/>
  <c r="BS103" i="6"/>
  <c r="BS104" i="6"/>
  <c r="BS105" i="6"/>
  <c r="BS106" i="6"/>
  <c r="BS107" i="6"/>
  <c r="BS108" i="6"/>
  <c r="BY108" i="6" s="1"/>
  <c r="BS109" i="6"/>
  <c r="BS110" i="6"/>
  <c r="BS111" i="6"/>
  <c r="BS112" i="6"/>
  <c r="BS113" i="6"/>
  <c r="BS114" i="6"/>
  <c r="BS115" i="6"/>
  <c r="BS117" i="6"/>
  <c r="BS118" i="6"/>
  <c r="BS119" i="6"/>
  <c r="BS120" i="6"/>
  <c r="BS121" i="6"/>
  <c r="BS122" i="6"/>
  <c r="BS123" i="6"/>
  <c r="BS124" i="6"/>
  <c r="BS125" i="6"/>
  <c r="BS126" i="6"/>
  <c r="BS127" i="6"/>
  <c r="BS128" i="6"/>
  <c r="BS129" i="6"/>
  <c r="BS130" i="6"/>
  <c r="BS131" i="6"/>
  <c r="BS132" i="6"/>
  <c r="BS133" i="6"/>
  <c r="BS134" i="6"/>
  <c r="BS135" i="6"/>
  <c r="BS136" i="6"/>
  <c r="BS137" i="6"/>
  <c r="BS138" i="6"/>
  <c r="BS139" i="6"/>
  <c r="BS140" i="6"/>
  <c r="BS141" i="6"/>
  <c r="BS142" i="6"/>
  <c r="BS143" i="6"/>
  <c r="BS144" i="6"/>
  <c r="BS145" i="6"/>
  <c r="BS146" i="6"/>
  <c r="BS147" i="6"/>
  <c r="BS149" i="6"/>
  <c r="BS150" i="6"/>
  <c r="BS151" i="6"/>
  <c r="BS152" i="6"/>
  <c r="BS153" i="6"/>
  <c r="BS154" i="6"/>
  <c r="BS155" i="6"/>
  <c r="BS156" i="6"/>
  <c r="BS157" i="6"/>
  <c r="BS158" i="6"/>
  <c r="BS159" i="6"/>
  <c r="BS160" i="6"/>
  <c r="BS161" i="6"/>
  <c r="BS162" i="6"/>
  <c r="BS163" i="6"/>
  <c r="BS164" i="6"/>
  <c r="BS165" i="6"/>
  <c r="BS166" i="6"/>
  <c r="BS167" i="6"/>
  <c r="BS168" i="6"/>
  <c r="BS169" i="6"/>
  <c r="BS170" i="6"/>
  <c r="BS172" i="6"/>
  <c r="BS174" i="6"/>
  <c r="BS175" i="6"/>
  <c r="BS176" i="6"/>
  <c r="BS177" i="6"/>
  <c r="BS178" i="6"/>
  <c r="BS179" i="6"/>
  <c r="BS180" i="6"/>
  <c r="BS181" i="6"/>
  <c r="BS182" i="6"/>
  <c r="BS183" i="6"/>
  <c r="BS184" i="6"/>
  <c r="BS185" i="6"/>
  <c r="BS186" i="6"/>
  <c r="BS187" i="6"/>
  <c r="BS188" i="6"/>
  <c r="BS189" i="6"/>
  <c r="BS192" i="6"/>
  <c r="BS193" i="6"/>
  <c r="BS203" i="6"/>
  <c r="BS206" i="6"/>
  <c r="BS207" i="6"/>
  <c r="BS208" i="6"/>
  <c r="BS210" i="6"/>
  <c r="BS211" i="6"/>
  <c r="BS212" i="6"/>
  <c r="BS214" i="6"/>
  <c r="BS215" i="6"/>
  <c r="BS216" i="6"/>
  <c r="AV220" i="6"/>
  <c r="BS220" i="6" s="1"/>
  <c r="BS221" i="6"/>
  <c r="BS222" i="6"/>
  <c r="BS223" i="6"/>
  <c r="AV224" i="6"/>
  <c r="BS224" i="6"/>
  <c r="BT209" i="6"/>
  <c r="BT4" i="6"/>
  <c r="BT250" i="6" s="1"/>
  <c r="BT5" i="6"/>
  <c r="BT6" i="6"/>
  <c r="BT7" i="6"/>
  <c r="BT8" i="6"/>
  <c r="BT9" i="6"/>
  <c r="BT10" i="6"/>
  <c r="BT11" i="6"/>
  <c r="BT12" i="6"/>
  <c r="BT13" i="6"/>
  <c r="BT14" i="6"/>
  <c r="BT15" i="6"/>
  <c r="BT16" i="6"/>
  <c r="BT17" i="6"/>
  <c r="BT18" i="6"/>
  <c r="BT19" i="6"/>
  <c r="BT20" i="6"/>
  <c r="BT21" i="6"/>
  <c r="BT22" i="6"/>
  <c r="BT23" i="6"/>
  <c r="BT24" i="6"/>
  <c r="BT25" i="6"/>
  <c r="BT27" i="6"/>
  <c r="BT28" i="6"/>
  <c r="BT29" i="6"/>
  <c r="BT30" i="6"/>
  <c r="BT32" i="6"/>
  <c r="BT33" i="6"/>
  <c r="BT35" i="6"/>
  <c r="BT36" i="6"/>
  <c r="BT38" i="6"/>
  <c r="BT39" i="6"/>
  <c r="BT40" i="6"/>
  <c r="BT41" i="6"/>
  <c r="BT42" i="6"/>
  <c r="BT43" i="6"/>
  <c r="BT44" i="6"/>
  <c r="BT45" i="6"/>
  <c r="BT46" i="6"/>
  <c r="BT47" i="6"/>
  <c r="BT48" i="6"/>
  <c r="BT49" i="6"/>
  <c r="BT50" i="6"/>
  <c r="BT51" i="6"/>
  <c r="BT52" i="6"/>
  <c r="BT53" i="6"/>
  <c r="BT54" i="6"/>
  <c r="BT55" i="6"/>
  <c r="BT56" i="6"/>
  <c r="BT57" i="6"/>
  <c r="BT58" i="6"/>
  <c r="BT59" i="6"/>
  <c r="BT60" i="6"/>
  <c r="BT61" i="6"/>
  <c r="BT62" i="6"/>
  <c r="BT63" i="6"/>
  <c r="BT64" i="6"/>
  <c r="BT65" i="6"/>
  <c r="BT66" i="6"/>
  <c r="BT67" i="6"/>
  <c r="BT68" i="6"/>
  <c r="BT69" i="6"/>
  <c r="BT70" i="6"/>
  <c r="BT75" i="6"/>
  <c r="BT76" i="6"/>
  <c r="BT77" i="6"/>
  <c r="BT81" i="6"/>
  <c r="BT82" i="6"/>
  <c r="BT83" i="6"/>
  <c r="BT85" i="6"/>
  <c r="BT92" i="6"/>
  <c r="BT93" i="6"/>
  <c r="BT94" i="6"/>
  <c r="BT95" i="6"/>
  <c r="BT96" i="6"/>
  <c r="BT97" i="6"/>
  <c r="BT98" i="6"/>
  <c r="BT99" i="6"/>
  <c r="BT100" i="6"/>
  <c r="BT101" i="6"/>
  <c r="BT102" i="6"/>
  <c r="BT103" i="6"/>
  <c r="BT104" i="6"/>
  <c r="BT105" i="6"/>
  <c r="BT106" i="6"/>
  <c r="BY106" i="6" s="1"/>
  <c r="BT107" i="6"/>
  <c r="BT108" i="6"/>
  <c r="BT109" i="6"/>
  <c r="BT110" i="6"/>
  <c r="BT111" i="6"/>
  <c r="BT112" i="6"/>
  <c r="BT113" i="6"/>
  <c r="BT114" i="6"/>
  <c r="BT115" i="6"/>
  <c r="BT116" i="6"/>
  <c r="BT117" i="6"/>
  <c r="BT118" i="6"/>
  <c r="BT119" i="6"/>
  <c r="BT120" i="6"/>
  <c r="BT121" i="6"/>
  <c r="BT122" i="6"/>
  <c r="BT123" i="6"/>
  <c r="BT124" i="6"/>
  <c r="BT125" i="6"/>
  <c r="BT126" i="6"/>
  <c r="BT127" i="6"/>
  <c r="BT128" i="6"/>
  <c r="BT129" i="6"/>
  <c r="BT130" i="6"/>
  <c r="BT131" i="6"/>
  <c r="BT132" i="6"/>
  <c r="BT133" i="6"/>
  <c r="BT134" i="6"/>
  <c r="BT135" i="6"/>
  <c r="BT136" i="6"/>
  <c r="BT137" i="6"/>
  <c r="BT138" i="6"/>
  <c r="BT139" i="6"/>
  <c r="BT140" i="6"/>
  <c r="BT141" i="6"/>
  <c r="BT142" i="6"/>
  <c r="BT143" i="6"/>
  <c r="BT144" i="6"/>
  <c r="BT145" i="6"/>
  <c r="BT146" i="6"/>
  <c r="BT147" i="6"/>
  <c r="BT149" i="6"/>
  <c r="BT151" i="6"/>
  <c r="BT152" i="6"/>
  <c r="BT153" i="6"/>
  <c r="BT154" i="6"/>
  <c r="BT155" i="6"/>
  <c r="BT156" i="6"/>
  <c r="BT157" i="6"/>
  <c r="BT158" i="6"/>
  <c r="BT159" i="6"/>
  <c r="BT160" i="6"/>
  <c r="BT161" i="6"/>
  <c r="BT162" i="6"/>
  <c r="BT163" i="6"/>
  <c r="BT164" i="6"/>
  <c r="BT165" i="6"/>
  <c r="BT166" i="6"/>
  <c r="BT167" i="6"/>
  <c r="BT168" i="6"/>
  <c r="BT169" i="6"/>
  <c r="BT170" i="6"/>
  <c r="BT172" i="6"/>
  <c r="BT174" i="6"/>
  <c r="BT175" i="6"/>
  <c r="BT176" i="6"/>
  <c r="BT177" i="6"/>
  <c r="BT178" i="6"/>
  <c r="BT179" i="6"/>
  <c r="BT180" i="6"/>
  <c r="BT181" i="6"/>
  <c r="BT182" i="6"/>
  <c r="BT183" i="6"/>
  <c r="BT184" i="6"/>
  <c r="BT185" i="6"/>
  <c r="BT186" i="6"/>
  <c r="BT187" i="6"/>
  <c r="BT188" i="6"/>
  <c r="BT189" i="6"/>
  <c r="BT192" i="6"/>
  <c r="BT193" i="6"/>
  <c r="BT203" i="6"/>
  <c r="BT206" i="6"/>
  <c r="BT207" i="6"/>
  <c r="BT208" i="6"/>
  <c r="BT210" i="6"/>
  <c r="BT211" i="6"/>
  <c r="BT212" i="6"/>
  <c r="BT214" i="6"/>
  <c r="BT215" i="6"/>
  <c r="BT216" i="6"/>
  <c r="AW220" i="6"/>
  <c r="BT220" i="6"/>
  <c r="BT221" i="6"/>
  <c r="BT222" i="6"/>
  <c r="BT223" i="6"/>
  <c r="BU222" i="6"/>
  <c r="BU209" i="6"/>
  <c r="BU4" i="6"/>
  <c r="BU5" i="6"/>
  <c r="BU6" i="6"/>
  <c r="BU250" i="6" s="1"/>
  <c r="BU254" i="6" s="1"/>
  <c r="BU7" i="6"/>
  <c r="BU8" i="6"/>
  <c r="BU9" i="6"/>
  <c r="BU10" i="6"/>
  <c r="BU11" i="6"/>
  <c r="BU12" i="6"/>
  <c r="BU13" i="6"/>
  <c r="BU14" i="6"/>
  <c r="BU15" i="6"/>
  <c r="BU16" i="6"/>
  <c r="BU17" i="6"/>
  <c r="BU18" i="6"/>
  <c r="BU19" i="6"/>
  <c r="BU20" i="6"/>
  <c r="BU21" i="6"/>
  <c r="BU22" i="6"/>
  <c r="BU23" i="6"/>
  <c r="BU24" i="6"/>
  <c r="BU25" i="6"/>
  <c r="BU26" i="6"/>
  <c r="BU27" i="6"/>
  <c r="BU28" i="6"/>
  <c r="BU29" i="6"/>
  <c r="BU30" i="6"/>
  <c r="BU31" i="6"/>
  <c r="BU32" i="6"/>
  <c r="BU33" i="6"/>
  <c r="BU34" i="6"/>
  <c r="BU35" i="6"/>
  <c r="BU36" i="6"/>
  <c r="BU38" i="6"/>
  <c r="BU40" i="6"/>
  <c r="BU41" i="6"/>
  <c r="BU42" i="6"/>
  <c r="BU43" i="6"/>
  <c r="BU44" i="6"/>
  <c r="BU45" i="6"/>
  <c r="BU46" i="6"/>
  <c r="BU47" i="6"/>
  <c r="BU48" i="6"/>
  <c r="BU49" i="6"/>
  <c r="BU50" i="6"/>
  <c r="BU51" i="6"/>
  <c r="BU52" i="6"/>
  <c r="BU53" i="6"/>
  <c r="BU54" i="6"/>
  <c r="BU55" i="6"/>
  <c r="BU56" i="6"/>
  <c r="BU57" i="6"/>
  <c r="BU58" i="6"/>
  <c r="BU59" i="6"/>
  <c r="BU60" i="6"/>
  <c r="BU61" i="6"/>
  <c r="BU62" i="6"/>
  <c r="BU63" i="6"/>
  <c r="BU64" i="6"/>
  <c r="BU65" i="6"/>
  <c r="BU66" i="6"/>
  <c r="BU67" i="6"/>
  <c r="BU68" i="6"/>
  <c r="BU69" i="6"/>
  <c r="BU70" i="6"/>
  <c r="BU71" i="6"/>
  <c r="BU72" i="6"/>
  <c r="BU73" i="6"/>
  <c r="BU74" i="6"/>
  <c r="BU75" i="6"/>
  <c r="BU76" i="6"/>
  <c r="BU77" i="6"/>
  <c r="BU78" i="6"/>
  <c r="BU79" i="6"/>
  <c r="BU80" i="6"/>
  <c r="BU81" i="6"/>
  <c r="BU82" i="6"/>
  <c r="BU83" i="6"/>
  <c r="BU84" i="6"/>
  <c r="BU85" i="6"/>
  <c r="BU86" i="6"/>
  <c r="BU87" i="6"/>
  <c r="BU88" i="6"/>
  <c r="BU89" i="6"/>
  <c r="BU90" i="6"/>
  <c r="BU91" i="6"/>
  <c r="BU92" i="6"/>
  <c r="BU93" i="6"/>
  <c r="BU94" i="6"/>
  <c r="BU95" i="6"/>
  <c r="BU96" i="6"/>
  <c r="BU97" i="6"/>
  <c r="BU98" i="6"/>
  <c r="BU99" i="6"/>
  <c r="BU100" i="6"/>
  <c r="BU101" i="6"/>
  <c r="BU102" i="6"/>
  <c r="BU103" i="6"/>
  <c r="BU104" i="6"/>
  <c r="BU105" i="6"/>
  <c r="BU106" i="6"/>
  <c r="BU107" i="6"/>
  <c r="BU108" i="6"/>
  <c r="BU109" i="6"/>
  <c r="BU110" i="6"/>
  <c r="BU111" i="6"/>
  <c r="BU112" i="6"/>
  <c r="BU113" i="6"/>
  <c r="BU114" i="6"/>
  <c r="BU115" i="6"/>
  <c r="BU116" i="6"/>
  <c r="BU117" i="6"/>
  <c r="BU118" i="6"/>
  <c r="BU119" i="6"/>
  <c r="BU120" i="6"/>
  <c r="BU121" i="6"/>
  <c r="BU122" i="6"/>
  <c r="BU123" i="6"/>
  <c r="BU124" i="6"/>
  <c r="BU125" i="6"/>
  <c r="BU126" i="6"/>
  <c r="BU127" i="6"/>
  <c r="BU128" i="6"/>
  <c r="BU129" i="6"/>
  <c r="BU130" i="6"/>
  <c r="BU131" i="6"/>
  <c r="BU132" i="6"/>
  <c r="BU133" i="6"/>
  <c r="BU134" i="6"/>
  <c r="BU135" i="6"/>
  <c r="BU136" i="6"/>
  <c r="BU137" i="6"/>
  <c r="BU138" i="6"/>
  <c r="BU139" i="6"/>
  <c r="BU140" i="6"/>
  <c r="BU141" i="6"/>
  <c r="BU142" i="6"/>
  <c r="BU143" i="6"/>
  <c r="BU144" i="6"/>
  <c r="BU145" i="6"/>
  <c r="BU146" i="6"/>
  <c r="BU147" i="6"/>
  <c r="BU148" i="6"/>
  <c r="BU149" i="6"/>
  <c r="BU150" i="6"/>
  <c r="BU151" i="6"/>
  <c r="BU152" i="6"/>
  <c r="BU154" i="6"/>
  <c r="BU155" i="6"/>
  <c r="BU156" i="6"/>
  <c r="BU157" i="6"/>
  <c r="BU158" i="6"/>
  <c r="BU159" i="6"/>
  <c r="BU160" i="6"/>
  <c r="BU161" i="6"/>
  <c r="BU162" i="6"/>
  <c r="BU163" i="6"/>
  <c r="BU164" i="6"/>
  <c r="BU165" i="6"/>
  <c r="BU166" i="6"/>
  <c r="BU167" i="6"/>
  <c r="BU168" i="6"/>
  <c r="BU169" i="6"/>
  <c r="BU170" i="6"/>
  <c r="BU172" i="6"/>
  <c r="BU174" i="6"/>
  <c r="BU175" i="6"/>
  <c r="BU176" i="6"/>
  <c r="BU177" i="6"/>
  <c r="BU178" i="6"/>
  <c r="BU179" i="6"/>
  <c r="BU180" i="6"/>
  <c r="BU181" i="6"/>
  <c r="BU182" i="6"/>
  <c r="BU183" i="6"/>
  <c r="BU185" i="6"/>
  <c r="BU186" i="6"/>
  <c r="BU187" i="6"/>
  <c r="BU188" i="6"/>
  <c r="BU189" i="6"/>
  <c r="BU192" i="6"/>
  <c r="BU193" i="6"/>
  <c r="BU195" i="6"/>
  <c r="BU196" i="6"/>
  <c r="BU197" i="6"/>
  <c r="BU198" i="6"/>
  <c r="BU203" i="6"/>
  <c r="BU206" i="6"/>
  <c r="BU207" i="6"/>
  <c r="BU208" i="6"/>
  <c r="BU210" i="6"/>
  <c r="BU211" i="6"/>
  <c r="BU212" i="6"/>
  <c r="BU214" i="6"/>
  <c r="BU215" i="6"/>
  <c r="BU216" i="6"/>
  <c r="AX220" i="6"/>
  <c r="BU220" i="6" s="1"/>
  <c r="BU221" i="6"/>
  <c r="BU223" i="6"/>
  <c r="AE212" i="6"/>
  <c r="BZ212" i="6" s="1"/>
  <c r="AF212" i="6"/>
  <c r="AG212" i="6"/>
  <c r="AH212" i="6"/>
  <c r="AI212" i="6"/>
  <c r="AJ212" i="6"/>
  <c r="AK212" i="6"/>
  <c r="AL212" i="6"/>
  <c r="AM212" i="6"/>
  <c r="AN212" i="6"/>
  <c r="AO212" i="6"/>
  <c r="AP212" i="6"/>
  <c r="AQ212" i="6"/>
  <c r="AR212" i="6"/>
  <c r="AS212" i="6"/>
  <c r="AT212" i="6"/>
  <c r="AU212" i="6"/>
  <c r="AV212" i="6"/>
  <c r="AW212" i="6"/>
  <c r="AX212" i="6"/>
  <c r="AY212" i="6"/>
  <c r="AZ212" i="6"/>
  <c r="BV212" i="6"/>
  <c r="BW212" i="6"/>
  <c r="AC212" i="6"/>
  <c r="AE187" i="6"/>
  <c r="AF187" i="6"/>
  <c r="AG187" i="6"/>
  <c r="BZ187" i="6" s="1"/>
  <c r="AH187" i="6"/>
  <c r="AI187" i="6"/>
  <c r="AJ187" i="6"/>
  <c r="AK187" i="6"/>
  <c r="AL187" i="6"/>
  <c r="AM187" i="6"/>
  <c r="AN187" i="6"/>
  <c r="AO187" i="6"/>
  <c r="AP187" i="6"/>
  <c r="AQ187" i="6"/>
  <c r="AR187" i="6"/>
  <c r="AS187" i="6"/>
  <c r="AT187" i="6"/>
  <c r="AU187" i="6"/>
  <c r="AV187" i="6"/>
  <c r="AW187" i="6"/>
  <c r="AX187" i="6"/>
  <c r="AY187" i="6"/>
  <c r="AZ187" i="6"/>
  <c r="BV187" i="6"/>
  <c r="BW187" i="6"/>
  <c r="BX187" i="6"/>
  <c r="AC187" i="6"/>
  <c r="BV188" i="6"/>
  <c r="BW188" i="6"/>
  <c r="AE186" i="6"/>
  <c r="BX186" i="6" s="1"/>
  <c r="AF186" i="6"/>
  <c r="AG186" i="6"/>
  <c r="AH186" i="6"/>
  <c r="AI186" i="6"/>
  <c r="AJ186" i="6"/>
  <c r="AK186" i="6"/>
  <c r="AL186" i="6"/>
  <c r="AM186" i="6"/>
  <c r="AN186" i="6"/>
  <c r="AO186" i="6"/>
  <c r="AP186" i="6"/>
  <c r="AQ186" i="6"/>
  <c r="AR186" i="6"/>
  <c r="AS186" i="6"/>
  <c r="AT186" i="6"/>
  <c r="AU186" i="6"/>
  <c r="AV186" i="6"/>
  <c r="AW186" i="6"/>
  <c r="AX186" i="6"/>
  <c r="AY186" i="6"/>
  <c r="AZ186" i="6"/>
  <c r="BV186" i="6"/>
  <c r="BY186" i="6" s="1"/>
  <c r="BW186" i="6"/>
  <c r="AC186" i="6"/>
  <c r="AE211" i="6"/>
  <c r="BX211" i="6" s="1"/>
  <c r="AF211" i="6"/>
  <c r="AG211" i="6"/>
  <c r="AH211" i="6"/>
  <c r="AI211" i="6"/>
  <c r="AJ211" i="6"/>
  <c r="AK211" i="6"/>
  <c r="AL211" i="6"/>
  <c r="AM211" i="6"/>
  <c r="AN211" i="6"/>
  <c r="AO211" i="6"/>
  <c r="AP211" i="6"/>
  <c r="AQ211" i="6"/>
  <c r="AR211" i="6"/>
  <c r="AS211" i="6"/>
  <c r="AT211" i="6"/>
  <c r="AU211" i="6"/>
  <c r="AV211" i="6"/>
  <c r="AW211" i="6"/>
  <c r="AX211" i="6"/>
  <c r="AY211" i="6"/>
  <c r="AZ211" i="6"/>
  <c r="BZ211" i="6"/>
  <c r="BV211" i="6"/>
  <c r="BW211" i="6"/>
  <c r="AC211" i="6"/>
  <c r="AE166" i="6"/>
  <c r="AE167" i="6"/>
  <c r="AE168" i="6"/>
  <c r="AE169" i="6"/>
  <c r="AE4" i="6"/>
  <c r="AE5" i="6"/>
  <c r="AE6" i="6"/>
  <c r="AE7" i="6"/>
  <c r="AE8" i="6"/>
  <c r="AE10" i="6"/>
  <c r="AE11" i="6"/>
  <c r="AE12" i="6"/>
  <c r="AE13" i="6"/>
  <c r="AE17" i="6"/>
  <c r="AE18" i="6"/>
  <c r="AE19" i="6"/>
  <c r="AE20" i="6"/>
  <c r="AE21" i="6"/>
  <c r="AE23" i="6"/>
  <c r="AE24" i="6"/>
  <c r="AE25" i="6"/>
  <c r="AE26" i="6"/>
  <c r="AE27" i="6"/>
  <c r="AE28" i="6"/>
  <c r="AE29" i="6"/>
  <c r="AE30" i="6"/>
  <c r="AE31" i="6"/>
  <c r="AE32" i="6"/>
  <c r="AE33" i="6"/>
  <c r="AE34" i="6"/>
  <c r="AE35" i="6"/>
  <c r="AE36" i="6"/>
  <c r="E37" i="6"/>
  <c r="AE37" i="6"/>
  <c r="AE40" i="6"/>
  <c r="AE41" i="6"/>
  <c r="AE42" i="6"/>
  <c r="AE43" i="6"/>
  <c r="AE44" i="6"/>
  <c r="AE45" i="6"/>
  <c r="AE46" i="6"/>
  <c r="AE47" i="6"/>
  <c r="AE48" i="6"/>
  <c r="AE50" i="6"/>
  <c r="AE51" i="6"/>
  <c r="AE52" i="6"/>
  <c r="AE53" i="6"/>
  <c r="AE54" i="6"/>
  <c r="AE55" i="6"/>
  <c r="AE56" i="6"/>
  <c r="AE57" i="6"/>
  <c r="AE58" i="6"/>
  <c r="AE59" i="6"/>
  <c r="AE60" i="6"/>
  <c r="AE61" i="6"/>
  <c r="AE62" i="6"/>
  <c r="AE63" i="6"/>
  <c r="AE64" i="6"/>
  <c r="E65" i="6"/>
  <c r="AM65" i="6" s="1"/>
  <c r="AE65" i="6"/>
  <c r="AE66" i="6"/>
  <c r="AE67" i="6"/>
  <c r="AE68" i="6"/>
  <c r="AE69" i="6"/>
  <c r="AE70" i="6"/>
  <c r="AE71" i="6"/>
  <c r="AE72" i="6"/>
  <c r="AE73" i="6"/>
  <c r="AE74" i="6"/>
  <c r="AE75" i="6"/>
  <c r="AE76" i="6"/>
  <c r="AE77" i="6"/>
  <c r="AE78" i="6"/>
  <c r="AE79" i="6"/>
  <c r="AE80" i="6"/>
  <c r="AE81" i="6"/>
  <c r="AE82" i="6"/>
  <c r="AE83" i="6"/>
  <c r="AE84" i="6"/>
  <c r="AE85" i="6"/>
  <c r="AE86" i="6"/>
  <c r="AE87" i="6"/>
  <c r="AE88" i="6"/>
  <c r="AE89" i="6"/>
  <c r="AE90" i="6"/>
  <c r="AE91" i="6"/>
  <c r="AE92" i="6"/>
  <c r="AE93" i="6"/>
  <c r="AE94" i="6"/>
  <c r="AE95" i="6"/>
  <c r="AE96" i="6"/>
  <c r="AE97" i="6"/>
  <c r="AE98" i="6"/>
  <c r="AE99" i="6"/>
  <c r="AE100" i="6"/>
  <c r="AE101" i="6"/>
  <c r="AE102" i="6"/>
  <c r="AE103" i="6"/>
  <c r="AE104" i="6"/>
  <c r="AE105" i="6"/>
  <c r="AE106" i="6"/>
  <c r="AE107" i="6"/>
  <c r="AE108" i="6"/>
  <c r="BZ108" i="6" s="1"/>
  <c r="AE109" i="6"/>
  <c r="AE111" i="6"/>
  <c r="AE112" i="6"/>
  <c r="AE113" i="6"/>
  <c r="AE114" i="6"/>
  <c r="AE115" i="6"/>
  <c r="AE116" i="6"/>
  <c r="AE117" i="6"/>
  <c r="AE118" i="6"/>
  <c r="AE119" i="6"/>
  <c r="AE120" i="6"/>
  <c r="AE121" i="6"/>
  <c r="AE122" i="6"/>
  <c r="AE123" i="6"/>
  <c r="AE124" i="6"/>
  <c r="AE125" i="6"/>
  <c r="AE126" i="6"/>
  <c r="AE127" i="6"/>
  <c r="AE128" i="6"/>
  <c r="AE129" i="6"/>
  <c r="AE130" i="6"/>
  <c r="AE131" i="6"/>
  <c r="AE132" i="6"/>
  <c r="AE133" i="6"/>
  <c r="AE134" i="6"/>
  <c r="AE135" i="6"/>
  <c r="AE136" i="6"/>
  <c r="AE137" i="6"/>
  <c r="AE138" i="6"/>
  <c r="AE139" i="6"/>
  <c r="AE140" i="6"/>
  <c r="AE141" i="6"/>
  <c r="AE142" i="6"/>
  <c r="AE144" i="6"/>
  <c r="AE145" i="6"/>
  <c r="AE146" i="6"/>
  <c r="AE147" i="6"/>
  <c r="AE148" i="6"/>
  <c r="AE149" i="6"/>
  <c r="AE151" i="6"/>
  <c r="AE152" i="6"/>
  <c r="AE153" i="6"/>
  <c r="AE154" i="6"/>
  <c r="AE155" i="6"/>
  <c r="AE156" i="6"/>
  <c r="AE157" i="6"/>
  <c r="AE158" i="6"/>
  <c r="AE159" i="6"/>
  <c r="AE160" i="6"/>
  <c r="AE162" i="6"/>
  <c r="AE163" i="6"/>
  <c r="AE164" i="6"/>
  <c r="AE170" i="6"/>
  <c r="AE171" i="6"/>
  <c r="AE175" i="6"/>
  <c r="AE176" i="6"/>
  <c r="AE177" i="6"/>
  <c r="AE178" i="6"/>
  <c r="AE180" i="6"/>
  <c r="AE181" i="6"/>
  <c r="AE182" i="6"/>
  <c r="AE183" i="6"/>
  <c r="AE184" i="6"/>
  <c r="AE185" i="6"/>
  <c r="AE189" i="6"/>
  <c r="AE192" i="6"/>
  <c r="AE193" i="6"/>
  <c r="AE194" i="6"/>
  <c r="AE195" i="6"/>
  <c r="AE196" i="6"/>
  <c r="AE197" i="6"/>
  <c r="AE199" i="6"/>
  <c r="AE200" i="6"/>
  <c r="AE201" i="6"/>
  <c r="AE202" i="6"/>
  <c r="AE204" i="6"/>
  <c r="AE205" i="6"/>
  <c r="AE206" i="6"/>
  <c r="AE207" i="6"/>
  <c r="AE208" i="6"/>
  <c r="AE214" i="6"/>
  <c r="AE215" i="6"/>
  <c r="AE216" i="6"/>
  <c r="AE188" i="6"/>
  <c r="AE172" i="6"/>
  <c r="AE174" i="6"/>
  <c r="AE203" i="6"/>
  <c r="AE209" i="6"/>
  <c r="AE9" i="6"/>
  <c r="AE14" i="6"/>
  <c r="AE15" i="6"/>
  <c r="AE16" i="6"/>
  <c r="AE38" i="6"/>
  <c r="AE39" i="6"/>
  <c r="AE49" i="6"/>
  <c r="AE110" i="6"/>
  <c r="BZ110" i="6" s="1"/>
  <c r="AE150" i="6"/>
  <c r="AE161" i="6"/>
  <c r="BX161" i="6" s="1"/>
  <c r="AE165" i="6"/>
  <c r="AE173" i="6"/>
  <c r="AE179" i="6"/>
  <c r="AE210" i="6"/>
  <c r="AE217" i="6"/>
  <c r="AE221" i="6"/>
  <c r="AE222" i="6"/>
  <c r="AE223" i="6"/>
  <c r="AF166" i="6"/>
  <c r="AF167" i="6"/>
  <c r="AF168" i="6"/>
  <c r="AF169" i="6"/>
  <c r="AF4" i="6"/>
  <c r="AF5" i="6"/>
  <c r="AF250" i="6" s="1"/>
  <c r="AF6" i="6"/>
  <c r="AF7" i="6"/>
  <c r="AF8" i="6"/>
  <c r="AF10" i="6"/>
  <c r="AF11" i="6"/>
  <c r="AF12" i="6"/>
  <c r="AF13" i="6"/>
  <c r="AF17" i="6"/>
  <c r="AF18" i="6"/>
  <c r="AF19" i="6"/>
  <c r="AF20" i="6"/>
  <c r="AF21" i="6"/>
  <c r="AF23" i="6"/>
  <c r="AF24" i="6"/>
  <c r="AF25" i="6"/>
  <c r="AF26" i="6"/>
  <c r="AF27" i="6"/>
  <c r="AF28" i="6"/>
  <c r="AF29" i="6"/>
  <c r="AF30" i="6"/>
  <c r="AF31" i="6"/>
  <c r="AF32" i="6"/>
  <c r="AF33" i="6"/>
  <c r="AF34" i="6"/>
  <c r="AF35" i="6"/>
  <c r="AF36" i="6"/>
  <c r="AF37" i="6"/>
  <c r="AF40" i="6"/>
  <c r="AF41" i="6"/>
  <c r="AF42" i="6"/>
  <c r="AF43" i="6"/>
  <c r="AF44" i="6"/>
  <c r="AF45" i="6"/>
  <c r="AF46" i="6"/>
  <c r="AF47" i="6"/>
  <c r="AF48" i="6"/>
  <c r="AF50" i="6"/>
  <c r="AF51" i="6"/>
  <c r="AF52" i="6"/>
  <c r="AF53" i="6"/>
  <c r="AF54" i="6"/>
  <c r="AF55" i="6"/>
  <c r="AF56" i="6"/>
  <c r="AF57" i="6"/>
  <c r="AF58" i="6"/>
  <c r="AF59" i="6"/>
  <c r="AF60" i="6"/>
  <c r="AF61" i="6"/>
  <c r="AF62" i="6"/>
  <c r="AF63" i="6"/>
  <c r="AF64" i="6"/>
  <c r="AF65" i="6"/>
  <c r="AF66" i="6"/>
  <c r="AF67" i="6"/>
  <c r="AF68" i="6"/>
  <c r="AF69" i="6"/>
  <c r="AF70" i="6"/>
  <c r="AF71" i="6"/>
  <c r="AF72" i="6"/>
  <c r="AF73" i="6"/>
  <c r="AF74" i="6"/>
  <c r="AF75" i="6"/>
  <c r="AF76" i="6"/>
  <c r="AF77" i="6"/>
  <c r="AF78" i="6"/>
  <c r="AF79" i="6"/>
  <c r="AF80" i="6"/>
  <c r="AF81" i="6"/>
  <c r="AF82" i="6"/>
  <c r="AF83" i="6"/>
  <c r="AF84" i="6"/>
  <c r="AF85" i="6"/>
  <c r="AF86" i="6"/>
  <c r="AF87" i="6"/>
  <c r="AF88" i="6"/>
  <c r="AF89" i="6"/>
  <c r="AF90" i="6"/>
  <c r="AF91" i="6"/>
  <c r="AF92" i="6"/>
  <c r="AF93" i="6"/>
  <c r="AF94" i="6"/>
  <c r="AF95" i="6"/>
  <c r="AF96" i="6"/>
  <c r="AF97" i="6"/>
  <c r="AF98" i="6"/>
  <c r="AF99" i="6"/>
  <c r="AF100" i="6"/>
  <c r="AF101" i="6"/>
  <c r="AF102" i="6"/>
  <c r="AF103" i="6"/>
  <c r="AF104" i="6"/>
  <c r="AF105" i="6"/>
  <c r="AF106" i="6"/>
  <c r="AF107" i="6"/>
  <c r="AF108" i="6"/>
  <c r="AF109" i="6"/>
  <c r="BZ109" i="6" s="1"/>
  <c r="AF111" i="6"/>
  <c r="AF112" i="6"/>
  <c r="AF113" i="6"/>
  <c r="AF114" i="6"/>
  <c r="AF115" i="6"/>
  <c r="AF116" i="6"/>
  <c r="AF117" i="6"/>
  <c r="AF118" i="6"/>
  <c r="AF119" i="6"/>
  <c r="AF120" i="6"/>
  <c r="AF121" i="6"/>
  <c r="AF122" i="6"/>
  <c r="AF123" i="6"/>
  <c r="AF124" i="6"/>
  <c r="AF125" i="6"/>
  <c r="AF126" i="6"/>
  <c r="AF127" i="6"/>
  <c r="AF128" i="6"/>
  <c r="AF129" i="6"/>
  <c r="AF130" i="6"/>
  <c r="AF131" i="6"/>
  <c r="AF132" i="6"/>
  <c r="AF133" i="6"/>
  <c r="AF134" i="6"/>
  <c r="AF135" i="6"/>
  <c r="AF136" i="6"/>
  <c r="AF137" i="6"/>
  <c r="AF138" i="6"/>
  <c r="AF139" i="6"/>
  <c r="AF140" i="6"/>
  <c r="AF141" i="6"/>
  <c r="AF142" i="6"/>
  <c r="AF143" i="6"/>
  <c r="AF144" i="6"/>
  <c r="AF145" i="6"/>
  <c r="AF146" i="6"/>
  <c r="AF147" i="6"/>
  <c r="AF148" i="6"/>
  <c r="AF149" i="6"/>
  <c r="AF151" i="6"/>
  <c r="AF152" i="6"/>
  <c r="AF153" i="6"/>
  <c r="AF154" i="6"/>
  <c r="AF155" i="6"/>
  <c r="AF156" i="6"/>
  <c r="AF157" i="6"/>
  <c r="AF158" i="6"/>
  <c r="AF159" i="6"/>
  <c r="AF160" i="6"/>
  <c r="AF162" i="6"/>
  <c r="AF163" i="6"/>
  <c r="AF164" i="6"/>
  <c r="AF170" i="6"/>
  <c r="AF171" i="6"/>
  <c r="AF175" i="6"/>
  <c r="AF176" i="6"/>
  <c r="AF177" i="6"/>
  <c r="AF178" i="6"/>
  <c r="AF180" i="6"/>
  <c r="AF181" i="6"/>
  <c r="AF182" i="6"/>
  <c r="AF183" i="6"/>
  <c r="AF184" i="6"/>
  <c r="AF185" i="6"/>
  <c r="AF189" i="6"/>
  <c r="AF192" i="6"/>
  <c r="AF193" i="6"/>
  <c r="AF194" i="6"/>
  <c r="AF195" i="6"/>
  <c r="AF196" i="6"/>
  <c r="AF197" i="6"/>
  <c r="AF199" i="6"/>
  <c r="AF200" i="6"/>
  <c r="AF201" i="6"/>
  <c r="AF202" i="6"/>
  <c r="AF204" i="6"/>
  <c r="AF205" i="6"/>
  <c r="AF206" i="6"/>
  <c r="AF207" i="6"/>
  <c r="AF208" i="6"/>
  <c r="AF214" i="6"/>
  <c r="AF215" i="6"/>
  <c r="AF216" i="6"/>
  <c r="AF188" i="6"/>
  <c r="AF172" i="6"/>
  <c r="AF174" i="6"/>
  <c r="AF203" i="6"/>
  <c r="AF209" i="6"/>
  <c r="AF9" i="6"/>
  <c r="AF14" i="6"/>
  <c r="AF15" i="6"/>
  <c r="AF16" i="6"/>
  <c r="AF22" i="6"/>
  <c r="AF38" i="6"/>
  <c r="AF39" i="6"/>
  <c r="AF49" i="6"/>
  <c r="AF110" i="6"/>
  <c r="AF150" i="6"/>
  <c r="AF161" i="6"/>
  <c r="AF165" i="6"/>
  <c r="AF173" i="6"/>
  <c r="AF179" i="6"/>
  <c r="AF210" i="6"/>
  <c r="AF217" i="6"/>
  <c r="AF221" i="6"/>
  <c r="AF222" i="6"/>
  <c r="AF223" i="6"/>
  <c r="AG166" i="6"/>
  <c r="AG167" i="6"/>
  <c r="AG168" i="6"/>
  <c r="AG169" i="6"/>
  <c r="AG4" i="6"/>
  <c r="AG5" i="6"/>
  <c r="AG6" i="6"/>
  <c r="AG7" i="6"/>
  <c r="AG8" i="6"/>
  <c r="AG10" i="6"/>
  <c r="AG11" i="6"/>
  <c r="AG12" i="6"/>
  <c r="AG13" i="6"/>
  <c r="AG17" i="6"/>
  <c r="AG18" i="6"/>
  <c r="AG19" i="6"/>
  <c r="AG20" i="6"/>
  <c r="AG21" i="6"/>
  <c r="AG23" i="6"/>
  <c r="AG24" i="6"/>
  <c r="AG25" i="6"/>
  <c r="AG26" i="6"/>
  <c r="AG27" i="6"/>
  <c r="AG28" i="6"/>
  <c r="AG29" i="6"/>
  <c r="AG30" i="6"/>
  <c r="AG31" i="6"/>
  <c r="AG32" i="6"/>
  <c r="AG33" i="6"/>
  <c r="AG34" i="6"/>
  <c r="AG35" i="6"/>
  <c r="AG36" i="6"/>
  <c r="AG37" i="6"/>
  <c r="AG40" i="6"/>
  <c r="AG41" i="6"/>
  <c r="AG42" i="6"/>
  <c r="AG43" i="6"/>
  <c r="AG44" i="6"/>
  <c r="AG45" i="6"/>
  <c r="AG46" i="6"/>
  <c r="AG47" i="6"/>
  <c r="AG48" i="6"/>
  <c r="AG50" i="6"/>
  <c r="AG51" i="6"/>
  <c r="AG52" i="6"/>
  <c r="AG53" i="6"/>
  <c r="AG54" i="6"/>
  <c r="AG55" i="6"/>
  <c r="AG56" i="6"/>
  <c r="AG57" i="6"/>
  <c r="AG58" i="6"/>
  <c r="AG59" i="6"/>
  <c r="AG60" i="6"/>
  <c r="AG61" i="6"/>
  <c r="AG62" i="6"/>
  <c r="AG63" i="6"/>
  <c r="AG64" i="6"/>
  <c r="AG66" i="6"/>
  <c r="AG67" i="6"/>
  <c r="AG68" i="6"/>
  <c r="AG69" i="6"/>
  <c r="AG70" i="6"/>
  <c r="AG71" i="6"/>
  <c r="AG72" i="6"/>
  <c r="AG73" i="6"/>
  <c r="AG74" i="6"/>
  <c r="AG75" i="6"/>
  <c r="AG76" i="6"/>
  <c r="AG77" i="6"/>
  <c r="AG78" i="6"/>
  <c r="AG79" i="6"/>
  <c r="AG80" i="6"/>
  <c r="AG81" i="6"/>
  <c r="AG82" i="6"/>
  <c r="AG83" i="6"/>
  <c r="AG84" i="6"/>
  <c r="AG85" i="6"/>
  <c r="AG86" i="6"/>
  <c r="AG87" i="6"/>
  <c r="AG88" i="6"/>
  <c r="AG89" i="6"/>
  <c r="AG90" i="6"/>
  <c r="AG91" i="6"/>
  <c r="AG92" i="6"/>
  <c r="AG93" i="6"/>
  <c r="AG94" i="6"/>
  <c r="AG95" i="6"/>
  <c r="AG96" i="6"/>
  <c r="AG97" i="6"/>
  <c r="AG98" i="6"/>
  <c r="AG99" i="6"/>
  <c r="AG100" i="6"/>
  <c r="AG101" i="6"/>
  <c r="AG102" i="6"/>
  <c r="AG103" i="6"/>
  <c r="AG104" i="6"/>
  <c r="AG105" i="6"/>
  <c r="AG106" i="6"/>
  <c r="BX106" i="6" s="1"/>
  <c r="AG107" i="6"/>
  <c r="AG108" i="6"/>
  <c r="BX108" i="6" s="1"/>
  <c r="AG109" i="6"/>
  <c r="AG111" i="6"/>
  <c r="AG112" i="6"/>
  <c r="AG113" i="6"/>
  <c r="AG114" i="6"/>
  <c r="AG115" i="6"/>
  <c r="AG116" i="6"/>
  <c r="AG117" i="6"/>
  <c r="AG118" i="6"/>
  <c r="AG119" i="6"/>
  <c r="AG120" i="6"/>
  <c r="AG121" i="6"/>
  <c r="AG122" i="6"/>
  <c r="AG123" i="6"/>
  <c r="AG124" i="6"/>
  <c r="AG125" i="6"/>
  <c r="AG126" i="6"/>
  <c r="AG127" i="6"/>
  <c r="AG128" i="6"/>
  <c r="AG129" i="6"/>
  <c r="AG130" i="6"/>
  <c r="AG131" i="6"/>
  <c r="AG132" i="6"/>
  <c r="AG133" i="6"/>
  <c r="AG134" i="6"/>
  <c r="AG135" i="6"/>
  <c r="AG136" i="6"/>
  <c r="AG137" i="6"/>
  <c r="AG138" i="6"/>
  <c r="AG139" i="6"/>
  <c r="AG140" i="6"/>
  <c r="AG141" i="6"/>
  <c r="AG142" i="6"/>
  <c r="AG143" i="6"/>
  <c r="AG144" i="6"/>
  <c r="AG145" i="6"/>
  <c r="AG146" i="6"/>
  <c r="AG147" i="6"/>
  <c r="AG148" i="6"/>
  <c r="AG149" i="6"/>
  <c r="AG151" i="6"/>
  <c r="AG152" i="6"/>
  <c r="AG153" i="6"/>
  <c r="AG154" i="6"/>
  <c r="AG155" i="6"/>
  <c r="AG156" i="6"/>
  <c r="AG157" i="6"/>
  <c r="AG158" i="6"/>
  <c r="AG159" i="6"/>
  <c r="AG160" i="6"/>
  <c r="AG162" i="6"/>
  <c r="AG163" i="6"/>
  <c r="AG164" i="6"/>
  <c r="AG171" i="6"/>
  <c r="AG175" i="6"/>
  <c r="AG176" i="6"/>
  <c r="AG177" i="6"/>
  <c r="AG178" i="6"/>
  <c r="AG180" i="6"/>
  <c r="AG181" i="6"/>
  <c r="AG182" i="6"/>
  <c r="AG183" i="6"/>
  <c r="AG184" i="6"/>
  <c r="AG185" i="6"/>
  <c r="AG189" i="6"/>
  <c r="AG192" i="6"/>
  <c r="AG193" i="6"/>
  <c r="AG194" i="6"/>
  <c r="AG195" i="6"/>
  <c r="AG196" i="6"/>
  <c r="AG197" i="6"/>
  <c r="AG199" i="6"/>
  <c r="AG200" i="6"/>
  <c r="I201" i="6"/>
  <c r="AG201" i="6" s="1"/>
  <c r="AG202" i="6"/>
  <c r="AG204" i="6"/>
  <c r="AG205" i="6"/>
  <c r="AG206" i="6"/>
  <c r="AG207" i="6"/>
  <c r="AG208" i="6"/>
  <c r="AG214" i="6"/>
  <c r="AG215" i="6"/>
  <c r="AG216" i="6"/>
  <c r="AG188" i="6"/>
  <c r="AG172" i="6"/>
  <c r="AG174" i="6"/>
  <c r="AG203" i="6"/>
  <c r="AG209" i="6"/>
  <c r="AG9" i="6"/>
  <c r="AG14" i="6"/>
  <c r="AG15" i="6"/>
  <c r="AG16" i="6"/>
  <c r="AG22" i="6"/>
  <c r="AG38" i="6"/>
  <c r="AG39" i="6"/>
  <c r="AG49" i="6"/>
  <c r="AG110" i="6"/>
  <c r="AG150" i="6"/>
  <c r="AG161" i="6"/>
  <c r="AG165" i="6"/>
  <c r="AG173" i="6"/>
  <c r="AG179" i="6"/>
  <c r="AG210" i="6"/>
  <c r="AG217" i="6"/>
  <c r="AG221" i="6"/>
  <c r="AG222" i="6"/>
  <c r="AG223" i="6"/>
  <c r="AH166" i="6"/>
  <c r="AH167" i="6"/>
  <c r="AH168" i="6"/>
  <c r="AH169" i="6"/>
  <c r="AH4" i="6"/>
  <c r="AH5" i="6"/>
  <c r="AH6" i="6"/>
  <c r="AH7" i="6"/>
  <c r="AH8" i="6"/>
  <c r="AH10" i="6"/>
  <c r="AH11" i="6"/>
  <c r="AH12" i="6"/>
  <c r="AH13" i="6"/>
  <c r="AH17" i="6"/>
  <c r="AH18" i="6"/>
  <c r="AH19" i="6"/>
  <c r="AH20" i="6"/>
  <c r="AH21" i="6"/>
  <c r="AH23" i="6"/>
  <c r="AH24" i="6"/>
  <c r="AH25" i="6"/>
  <c r="AH26" i="6"/>
  <c r="AH27" i="6"/>
  <c r="AH28" i="6"/>
  <c r="AH29" i="6"/>
  <c r="AH30" i="6"/>
  <c r="AH31" i="6"/>
  <c r="AH32" i="6"/>
  <c r="AH33" i="6"/>
  <c r="AH34" i="6"/>
  <c r="AH35" i="6"/>
  <c r="AH36" i="6"/>
  <c r="AH37" i="6"/>
  <c r="AH40" i="6"/>
  <c r="AH41" i="6"/>
  <c r="AH42" i="6"/>
  <c r="AH43" i="6"/>
  <c r="AH44" i="6"/>
  <c r="AH45" i="6"/>
  <c r="AH46" i="6"/>
  <c r="AH47" i="6"/>
  <c r="AH48" i="6"/>
  <c r="AH50" i="6"/>
  <c r="AH51" i="6"/>
  <c r="AH52" i="6"/>
  <c r="AH53" i="6"/>
  <c r="AH54" i="6"/>
  <c r="AH55" i="6"/>
  <c r="AH56" i="6"/>
  <c r="AH57" i="6"/>
  <c r="AH58" i="6"/>
  <c r="AH59" i="6"/>
  <c r="AH60" i="6"/>
  <c r="AH61" i="6"/>
  <c r="AH62" i="6"/>
  <c r="AH63" i="6"/>
  <c r="AH64" i="6"/>
  <c r="AH65" i="6"/>
  <c r="AH66" i="6"/>
  <c r="AH67" i="6"/>
  <c r="AH68" i="6"/>
  <c r="AH69" i="6"/>
  <c r="AH70" i="6"/>
  <c r="AH71" i="6"/>
  <c r="AH72" i="6"/>
  <c r="AH73" i="6"/>
  <c r="AH74" i="6"/>
  <c r="AH75" i="6"/>
  <c r="AH76" i="6"/>
  <c r="AH77" i="6"/>
  <c r="AH78" i="6"/>
  <c r="AH79" i="6"/>
  <c r="AH80" i="6"/>
  <c r="AH81" i="6"/>
  <c r="AH82" i="6"/>
  <c r="AH83" i="6"/>
  <c r="AH84" i="6"/>
  <c r="AH85" i="6"/>
  <c r="AH86" i="6"/>
  <c r="AH87" i="6"/>
  <c r="AH88" i="6"/>
  <c r="AH89" i="6"/>
  <c r="AH90" i="6"/>
  <c r="AH91" i="6"/>
  <c r="AH92" i="6"/>
  <c r="AH93" i="6"/>
  <c r="AH94" i="6"/>
  <c r="AH95" i="6"/>
  <c r="AH96" i="6"/>
  <c r="AH97" i="6"/>
  <c r="AH98" i="6"/>
  <c r="AH99" i="6"/>
  <c r="AH100" i="6"/>
  <c r="AH101" i="6"/>
  <c r="AH102" i="6"/>
  <c r="AH103" i="6"/>
  <c r="AH104" i="6"/>
  <c r="AH105" i="6"/>
  <c r="AH106" i="6"/>
  <c r="AH107" i="6"/>
  <c r="AH108" i="6"/>
  <c r="AH109" i="6"/>
  <c r="AH111" i="6"/>
  <c r="AH112" i="6"/>
  <c r="AH113" i="6"/>
  <c r="AH114" i="6"/>
  <c r="AH115" i="6"/>
  <c r="AH116" i="6"/>
  <c r="AH117" i="6"/>
  <c r="AH118" i="6"/>
  <c r="AH119" i="6"/>
  <c r="AH120" i="6"/>
  <c r="AH121" i="6"/>
  <c r="AH122" i="6"/>
  <c r="AH123" i="6"/>
  <c r="AH124" i="6"/>
  <c r="AH125" i="6"/>
  <c r="AH126" i="6"/>
  <c r="AH127" i="6"/>
  <c r="AH128" i="6"/>
  <c r="AH129" i="6"/>
  <c r="AH130" i="6"/>
  <c r="AH131" i="6"/>
  <c r="AH132" i="6"/>
  <c r="AH133" i="6"/>
  <c r="AH134" i="6"/>
  <c r="AH135" i="6"/>
  <c r="AH136" i="6"/>
  <c r="AH137" i="6"/>
  <c r="AH138" i="6"/>
  <c r="AH139" i="6"/>
  <c r="AH140" i="6"/>
  <c r="AH141" i="6"/>
  <c r="AH142" i="6"/>
  <c r="AH144" i="6"/>
  <c r="AH145" i="6"/>
  <c r="AH146" i="6"/>
  <c r="AH147" i="6"/>
  <c r="AH148" i="6"/>
  <c r="AH149" i="6"/>
  <c r="AH151" i="6"/>
  <c r="AH152" i="6"/>
  <c r="AH153" i="6"/>
  <c r="AH154" i="6"/>
  <c r="AH155" i="6"/>
  <c r="AH156" i="6"/>
  <c r="AH157" i="6"/>
  <c r="AH158" i="6"/>
  <c r="AH159" i="6"/>
  <c r="AH160" i="6"/>
  <c r="AH162" i="6"/>
  <c r="AH163" i="6"/>
  <c r="AH164" i="6"/>
  <c r="AH171" i="6"/>
  <c r="AH180" i="6"/>
  <c r="AH181" i="6"/>
  <c r="AH182" i="6"/>
  <c r="AH183" i="6"/>
  <c r="AH184" i="6"/>
  <c r="AH185" i="6"/>
  <c r="AH189" i="6"/>
  <c r="AH192" i="6"/>
  <c r="AH193" i="6"/>
  <c r="AH194" i="6"/>
  <c r="AH195" i="6"/>
  <c r="AH196" i="6"/>
  <c r="AH197" i="6"/>
  <c r="AH199" i="6"/>
  <c r="AH200" i="6"/>
  <c r="J201" i="6"/>
  <c r="AH201" i="6"/>
  <c r="AH202" i="6"/>
  <c r="AH204" i="6"/>
  <c r="AH205" i="6"/>
  <c r="AH206" i="6"/>
  <c r="AH207" i="6"/>
  <c r="AH208" i="6"/>
  <c r="AH214" i="6"/>
  <c r="AH215" i="6"/>
  <c r="AH216" i="6"/>
  <c r="AH177" i="6"/>
  <c r="AH178" i="6"/>
  <c r="AH188" i="6"/>
  <c r="AH172" i="6"/>
  <c r="AH174" i="6"/>
  <c r="AH176" i="6"/>
  <c r="AH203" i="6"/>
  <c r="AH9" i="6"/>
  <c r="AH14" i="6"/>
  <c r="AH15" i="6"/>
  <c r="AH16" i="6"/>
  <c r="AH22" i="6"/>
  <c r="AH38" i="6"/>
  <c r="AH39" i="6"/>
  <c r="AH49" i="6"/>
  <c r="AH110" i="6"/>
  <c r="AH150" i="6"/>
  <c r="AH161" i="6"/>
  <c r="AH165" i="6"/>
  <c r="AH173" i="6"/>
  <c r="AH179" i="6"/>
  <c r="AH209" i="6"/>
  <c r="AH210" i="6"/>
  <c r="AH217" i="6"/>
  <c r="AH221" i="6"/>
  <c r="AH222" i="6"/>
  <c r="AH223" i="6"/>
  <c r="AI166" i="6"/>
  <c r="AI167" i="6"/>
  <c r="AI168" i="6"/>
  <c r="AI169" i="6"/>
  <c r="AI4" i="6"/>
  <c r="AI5" i="6"/>
  <c r="AI250" i="6" s="1"/>
  <c r="AI6" i="6"/>
  <c r="AI7" i="6"/>
  <c r="AI8" i="6"/>
  <c r="AI10" i="6"/>
  <c r="AI11" i="6"/>
  <c r="AI12" i="6"/>
  <c r="AI13" i="6"/>
  <c r="AI17" i="6"/>
  <c r="AI18" i="6"/>
  <c r="AI19" i="6"/>
  <c r="AI20" i="6"/>
  <c r="AI21" i="6"/>
  <c r="AI23" i="6"/>
  <c r="AI24" i="6"/>
  <c r="AI25" i="6"/>
  <c r="AI26" i="6"/>
  <c r="AI27" i="6"/>
  <c r="AI28" i="6"/>
  <c r="AI29" i="6"/>
  <c r="AI30" i="6"/>
  <c r="AI31" i="6"/>
  <c r="AI32" i="6"/>
  <c r="AI33" i="6"/>
  <c r="AI34" i="6"/>
  <c r="AI35" i="6"/>
  <c r="AI36" i="6"/>
  <c r="AI37" i="6"/>
  <c r="AI40" i="6"/>
  <c r="AI41" i="6"/>
  <c r="AI42" i="6"/>
  <c r="AI43" i="6"/>
  <c r="AI44" i="6"/>
  <c r="AI45" i="6"/>
  <c r="AI46" i="6"/>
  <c r="AI47" i="6"/>
  <c r="AI48" i="6"/>
  <c r="AI50" i="6"/>
  <c r="AI51" i="6"/>
  <c r="AI52" i="6"/>
  <c r="AI53" i="6"/>
  <c r="AI54" i="6"/>
  <c r="AI55" i="6"/>
  <c r="AI56" i="6"/>
  <c r="AI57" i="6"/>
  <c r="AI58" i="6"/>
  <c r="AI59" i="6"/>
  <c r="AI60" i="6"/>
  <c r="AI61" i="6"/>
  <c r="AI62" i="6"/>
  <c r="AI63" i="6"/>
  <c r="AI64" i="6"/>
  <c r="AI65" i="6"/>
  <c r="AI66" i="6"/>
  <c r="AI67" i="6"/>
  <c r="AI68" i="6"/>
  <c r="AI69" i="6"/>
  <c r="AI70" i="6"/>
  <c r="AI71" i="6"/>
  <c r="AI72" i="6"/>
  <c r="AI73" i="6"/>
  <c r="AI74" i="6"/>
  <c r="AI75" i="6"/>
  <c r="AI76" i="6"/>
  <c r="AI77" i="6"/>
  <c r="AI78" i="6"/>
  <c r="AI79" i="6"/>
  <c r="AI80" i="6"/>
  <c r="AI81" i="6"/>
  <c r="AI82" i="6"/>
  <c r="AI83" i="6"/>
  <c r="AI84" i="6"/>
  <c r="AI85" i="6"/>
  <c r="AI86" i="6"/>
  <c r="AI87" i="6"/>
  <c r="AI88" i="6"/>
  <c r="AI89" i="6"/>
  <c r="AI90" i="6"/>
  <c r="AI91" i="6"/>
  <c r="AI92" i="6"/>
  <c r="AI93" i="6"/>
  <c r="AI94" i="6"/>
  <c r="AI95" i="6"/>
  <c r="AI96" i="6"/>
  <c r="AI97" i="6"/>
  <c r="AI98" i="6"/>
  <c r="AI99" i="6"/>
  <c r="AI100" i="6"/>
  <c r="AI101" i="6"/>
  <c r="AI102" i="6"/>
  <c r="AI103" i="6"/>
  <c r="AI104" i="6"/>
  <c r="AI105" i="6"/>
  <c r="AI106" i="6"/>
  <c r="AI107" i="6"/>
  <c r="AI108" i="6"/>
  <c r="AI109" i="6"/>
  <c r="AI111" i="6"/>
  <c r="AI112" i="6"/>
  <c r="AI113" i="6"/>
  <c r="AI114" i="6"/>
  <c r="AI115" i="6"/>
  <c r="AI116" i="6"/>
  <c r="AI117" i="6"/>
  <c r="AI118" i="6"/>
  <c r="AI119" i="6"/>
  <c r="AI120" i="6"/>
  <c r="AI121" i="6"/>
  <c r="AI122" i="6"/>
  <c r="AI123" i="6"/>
  <c r="AI124" i="6"/>
  <c r="AI125" i="6"/>
  <c r="AI126" i="6"/>
  <c r="AI127" i="6"/>
  <c r="AI128" i="6"/>
  <c r="AI129" i="6"/>
  <c r="AI130" i="6"/>
  <c r="AI131" i="6"/>
  <c r="AI132" i="6"/>
  <c r="AI133" i="6"/>
  <c r="AI134" i="6"/>
  <c r="AI135" i="6"/>
  <c r="AI136" i="6"/>
  <c r="AI137" i="6"/>
  <c r="AI138" i="6"/>
  <c r="AI139" i="6"/>
  <c r="AI140" i="6"/>
  <c r="AI141" i="6"/>
  <c r="AI142" i="6"/>
  <c r="AI143" i="6"/>
  <c r="AI144" i="6"/>
  <c r="AI145" i="6"/>
  <c r="AI146" i="6"/>
  <c r="AI147" i="6"/>
  <c r="AI148" i="6"/>
  <c r="AI149" i="6"/>
  <c r="AI151" i="6"/>
  <c r="AI152" i="6"/>
  <c r="AI153" i="6"/>
  <c r="AI154" i="6"/>
  <c r="AI155" i="6"/>
  <c r="AI156" i="6"/>
  <c r="AI157" i="6"/>
  <c r="AI158" i="6"/>
  <c r="AI159" i="6"/>
  <c r="AI160" i="6"/>
  <c r="AI162" i="6"/>
  <c r="AI163" i="6"/>
  <c r="AI164" i="6"/>
  <c r="AI171" i="6"/>
  <c r="AI175" i="6"/>
  <c r="AI176" i="6"/>
  <c r="AI177" i="6"/>
  <c r="AI178" i="6"/>
  <c r="AI180" i="6"/>
  <c r="AI181" i="6"/>
  <c r="AI182" i="6"/>
  <c r="AI183" i="6"/>
  <c r="AI184" i="6"/>
  <c r="AI185" i="6"/>
  <c r="AI189" i="6"/>
  <c r="AI192" i="6"/>
  <c r="AI193" i="6"/>
  <c r="AI194" i="6"/>
  <c r="AI195" i="6"/>
  <c r="AI196" i="6"/>
  <c r="AI197" i="6"/>
  <c r="AI199" i="6"/>
  <c r="AI200" i="6"/>
  <c r="AI201" i="6"/>
  <c r="AI202" i="6"/>
  <c r="AI204" i="6"/>
  <c r="AI205" i="6"/>
  <c r="AI206" i="6"/>
  <c r="AI207" i="6"/>
  <c r="AI208" i="6"/>
  <c r="AI214" i="6"/>
  <c r="AI215" i="6"/>
  <c r="AI216" i="6"/>
  <c r="AI188" i="6"/>
  <c r="AI172" i="6"/>
  <c r="AI174" i="6"/>
  <c r="AI203" i="6"/>
  <c r="AI209" i="6"/>
  <c r="AI9" i="6"/>
  <c r="AI14" i="6"/>
  <c r="AI15" i="6"/>
  <c r="AI16" i="6"/>
  <c r="AI22" i="6"/>
  <c r="AI38" i="6"/>
  <c r="AI39" i="6"/>
  <c r="AI49" i="6"/>
  <c r="AI110" i="6"/>
  <c r="BX110" i="6" s="1"/>
  <c r="AI150" i="6"/>
  <c r="AI161" i="6"/>
  <c r="AI165" i="6"/>
  <c r="AI173" i="6"/>
  <c r="AI179" i="6"/>
  <c r="AI210" i="6"/>
  <c r="AI217" i="6"/>
  <c r="AI221" i="6"/>
  <c r="AI222" i="6"/>
  <c r="AI223" i="6"/>
  <c r="AJ166" i="6"/>
  <c r="AJ167" i="6"/>
  <c r="AJ168" i="6"/>
  <c r="AJ169" i="6"/>
  <c r="AJ4" i="6"/>
  <c r="AJ5" i="6"/>
  <c r="AJ6" i="6"/>
  <c r="AJ7" i="6"/>
  <c r="AJ10" i="6"/>
  <c r="AJ11" i="6"/>
  <c r="AJ12" i="6"/>
  <c r="AJ13" i="6"/>
  <c r="AJ23" i="6"/>
  <c r="AJ24" i="6"/>
  <c r="AJ25" i="6"/>
  <c r="AJ26" i="6"/>
  <c r="AJ27" i="6"/>
  <c r="AJ28" i="6"/>
  <c r="AJ29" i="6"/>
  <c r="AJ30" i="6"/>
  <c r="AJ31" i="6"/>
  <c r="AJ32" i="6"/>
  <c r="AJ33" i="6"/>
  <c r="AJ34" i="6"/>
  <c r="AJ35" i="6"/>
  <c r="AJ36" i="6"/>
  <c r="AJ37" i="6"/>
  <c r="AJ40" i="6"/>
  <c r="AJ41" i="6"/>
  <c r="AJ42" i="6"/>
  <c r="AJ43" i="6"/>
  <c r="AJ44" i="6"/>
  <c r="AJ45" i="6"/>
  <c r="AJ46" i="6"/>
  <c r="AJ47" i="6"/>
  <c r="AJ48" i="6"/>
  <c r="AJ50" i="6"/>
  <c r="AJ51" i="6"/>
  <c r="AJ52" i="6"/>
  <c r="AJ53" i="6"/>
  <c r="AJ54" i="6"/>
  <c r="AJ55" i="6"/>
  <c r="AJ56" i="6"/>
  <c r="AJ57" i="6"/>
  <c r="AJ58" i="6"/>
  <c r="AJ59" i="6"/>
  <c r="AJ60" i="6"/>
  <c r="AJ61" i="6"/>
  <c r="AJ62" i="6"/>
  <c r="AJ63" i="6"/>
  <c r="AJ64" i="6"/>
  <c r="AJ65" i="6"/>
  <c r="AJ66" i="6"/>
  <c r="AJ67" i="6"/>
  <c r="AJ68" i="6"/>
  <c r="AJ69" i="6"/>
  <c r="AJ70" i="6"/>
  <c r="AJ71" i="6"/>
  <c r="AJ72" i="6"/>
  <c r="AJ73" i="6"/>
  <c r="AJ74" i="6"/>
  <c r="AJ75" i="6"/>
  <c r="AJ76" i="6"/>
  <c r="AJ77" i="6"/>
  <c r="AJ78" i="6"/>
  <c r="AJ79" i="6"/>
  <c r="AJ80" i="6"/>
  <c r="AJ81" i="6"/>
  <c r="AJ82" i="6"/>
  <c r="AJ83" i="6"/>
  <c r="AJ84" i="6"/>
  <c r="AJ85" i="6"/>
  <c r="AJ86" i="6"/>
  <c r="AJ87" i="6"/>
  <c r="AJ88" i="6"/>
  <c r="AJ89" i="6"/>
  <c r="AJ90" i="6"/>
  <c r="AJ91" i="6"/>
  <c r="AJ92" i="6"/>
  <c r="AJ93" i="6"/>
  <c r="AJ94" i="6"/>
  <c r="AJ95" i="6"/>
  <c r="AJ96" i="6"/>
  <c r="AJ97" i="6"/>
  <c r="AJ98" i="6"/>
  <c r="AJ99" i="6"/>
  <c r="AJ100" i="6"/>
  <c r="AJ101" i="6"/>
  <c r="AJ102" i="6"/>
  <c r="AJ103" i="6"/>
  <c r="AJ104" i="6"/>
  <c r="AJ105" i="6"/>
  <c r="BX105" i="6" s="1"/>
  <c r="AJ106" i="6"/>
  <c r="AJ107" i="6"/>
  <c r="AJ108" i="6"/>
  <c r="AJ109" i="6"/>
  <c r="AJ111" i="6"/>
  <c r="AJ112" i="6"/>
  <c r="AJ113" i="6"/>
  <c r="AJ114" i="6"/>
  <c r="AJ115" i="6"/>
  <c r="AJ116" i="6"/>
  <c r="AJ117" i="6"/>
  <c r="AJ118" i="6"/>
  <c r="AJ119" i="6"/>
  <c r="AJ120" i="6"/>
  <c r="AJ121" i="6"/>
  <c r="AJ122" i="6"/>
  <c r="AJ123" i="6"/>
  <c r="AJ124" i="6"/>
  <c r="AJ125" i="6"/>
  <c r="AJ126" i="6"/>
  <c r="AJ127" i="6"/>
  <c r="AJ128" i="6"/>
  <c r="AJ129" i="6"/>
  <c r="AJ130" i="6"/>
  <c r="AJ131" i="6"/>
  <c r="AJ132" i="6"/>
  <c r="AJ133" i="6"/>
  <c r="AJ134" i="6"/>
  <c r="AJ135" i="6"/>
  <c r="AJ136" i="6"/>
  <c r="AJ137" i="6"/>
  <c r="AJ138" i="6"/>
  <c r="AJ139" i="6"/>
  <c r="AJ140" i="6"/>
  <c r="AJ141" i="6"/>
  <c r="AJ142" i="6"/>
  <c r="AJ143" i="6"/>
  <c r="AJ144" i="6"/>
  <c r="AJ145" i="6"/>
  <c r="AJ146" i="6"/>
  <c r="AJ147" i="6"/>
  <c r="AJ148" i="6"/>
  <c r="AJ149" i="6"/>
  <c r="AJ151" i="6"/>
  <c r="AJ152" i="6"/>
  <c r="AJ153" i="6"/>
  <c r="AJ154" i="6"/>
  <c r="AJ155" i="6"/>
  <c r="AJ156" i="6"/>
  <c r="AJ157" i="6"/>
  <c r="AJ158" i="6"/>
  <c r="AJ159" i="6"/>
  <c r="AJ160" i="6"/>
  <c r="AJ162" i="6"/>
  <c r="AJ163" i="6"/>
  <c r="AJ164" i="6"/>
  <c r="AJ171" i="6"/>
  <c r="AJ175" i="6"/>
  <c r="AJ176" i="6"/>
  <c r="L177" i="6"/>
  <c r="AJ177" i="6" s="1"/>
  <c r="AJ178" i="6"/>
  <c r="AJ180" i="6"/>
  <c r="AJ181" i="6"/>
  <c r="AJ182" i="6"/>
  <c r="AJ183" i="6"/>
  <c r="AJ184" i="6"/>
  <c r="AJ185" i="6"/>
  <c r="AJ189" i="6"/>
  <c r="AJ192" i="6"/>
  <c r="AJ193" i="6"/>
  <c r="AJ194" i="6"/>
  <c r="AJ195" i="6"/>
  <c r="AJ196" i="6"/>
  <c r="AJ197" i="6"/>
  <c r="AJ199" i="6"/>
  <c r="AJ200" i="6"/>
  <c r="AJ201" i="6"/>
  <c r="AJ202" i="6"/>
  <c r="AJ204" i="6"/>
  <c r="AJ205" i="6"/>
  <c r="AJ206" i="6"/>
  <c r="AJ207" i="6"/>
  <c r="AJ208" i="6"/>
  <c r="AJ214" i="6"/>
  <c r="AJ215" i="6"/>
  <c r="AJ216" i="6"/>
  <c r="AJ188" i="6"/>
  <c r="AJ172" i="6"/>
  <c r="AJ174" i="6"/>
  <c r="AJ203" i="6"/>
  <c r="AJ209" i="6"/>
  <c r="AJ14" i="6"/>
  <c r="AJ15" i="6"/>
  <c r="AJ16" i="6"/>
  <c r="AJ17" i="6"/>
  <c r="AJ18" i="6"/>
  <c r="AJ19" i="6"/>
  <c r="AJ20" i="6"/>
  <c r="AJ21" i="6"/>
  <c r="AJ22" i="6"/>
  <c r="AJ38" i="6"/>
  <c r="AJ39" i="6"/>
  <c r="AJ49" i="6"/>
  <c r="AJ110" i="6"/>
  <c r="AJ150" i="6"/>
  <c r="AJ161" i="6"/>
  <c r="AJ165" i="6"/>
  <c r="AJ173" i="6"/>
  <c r="AJ179" i="6"/>
  <c r="AJ210" i="6"/>
  <c r="AJ217" i="6"/>
  <c r="AJ221" i="6"/>
  <c r="AJ222" i="6"/>
  <c r="AJ223" i="6"/>
  <c r="AK166" i="6"/>
  <c r="AK167" i="6"/>
  <c r="AK168" i="6"/>
  <c r="AK169" i="6"/>
  <c r="AK4" i="6"/>
  <c r="AK5" i="6"/>
  <c r="AK6" i="6"/>
  <c r="AK7" i="6"/>
  <c r="AK8" i="6"/>
  <c r="AK10" i="6"/>
  <c r="AK11" i="6"/>
  <c r="AK12" i="6"/>
  <c r="AK13" i="6"/>
  <c r="AK17" i="6"/>
  <c r="AK18" i="6"/>
  <c r="AK19" i="6"/>
  <c r="AK20" i="6"/>
  <c r="AK21" i="6"/>
  <c r="AK23" i="6"/>
  <c r="AK24" i="6"/>
  <c r="AK25" i="6"/>
  <c r="AK26" i="6"/>
  <c r="AK27" i="6"/>
  <c r="AK28" i="6"/>
  <c r="AK29" i="6"/>
  <c r="AK30" i="6"/>
  <c r="AK31" i="6"/>
  <c r="AK32" i="6"/>
  <c r="AK33" i="6"/>
  <c r="AK34" i="6"/>
  <c r="AK35" i="6"/>
  <c r="AK36" i="6"/>
  <c r="AK37" i="6"/>
  <c r="AK40" i="6"/>
  <c r="AK41" i="6"/>
  <c r="AK42" i="6"/>
  <c r="AK43" i="6"/>
  <c r="AK44" i="6"/>
  <c r="AK45" i="6"/>
  <c r="AK46" i="6"/>
  <c r="AK47" i="6"/>
  <c r="AK48" i="6"/>
  <c r="AK50" i="6"/>
  <c r="AK51" i="6"/>
  <c r="AK52" i="6"/>
  <c r="AK53" i="6"/>
  <c r="AK54" i="6"/>
  <c r="AK55" i="6"/>
  <c r="AK56" i="6"/>
  <c r="AK57" i="6"/>
  <c r="AK58" i="6"/>
  <c r="AK59" i="6"/>
  <c r="AK60" i="6"/>
  <c r="AK61" i="6"/>
  <c r="AK62" i="6"/>
  <c r="AK63" i="6"/>
  <c r="AK64" i="6"/>
  <c r="AK66" i="6"/>
  <c r="AK67" i="6"/>
  <c r="AK68" i="6"/>
  <c r="AK69" i="6"/>
  <c r="AK70" i="6"/>
  <c r="AK71" i="6"/>
  <c r="AK72" i="6"/>
  <c r="AK73" i="6"/>
  <c r="AK74" i="6"/>
  <c r="AK75" i="6"/>
  <c r="AK76" i="6"/>
  <c r="AK77" i="6"/>
  <c r="AK78" i="6"/>
  <c r="AK79" i="6"/>
  <c r="AK80" i="6"/>
  <c r="AK81" i="6"/>
  <c r="AK82" i="6"/>
  <c r="AK83" i="6"/>
  <c r="AK84" i="6"/>
  <c r="AK85" i="6"/>
  <c r="AK86" i="6"/>
  <c r="AK87" i="6"/>
  <c r="AK88" i="6"/>
  <c r="AK89" i="6"/>
  <c r="AK90" i="6"/>
  <c r="AK91" i="6"/>
  <c r="AK92" i="6"/>
  <c r="AK93" i="6"/>
  <c r="AK94" i="6"/>
  <c r="AK95" i="6"/>
  <c r="AK96" i="6"/>
  <c r="AK97" i="6"/>
  <c r="AK98" i="6"/>
  <c r="AK99" i="6"/>
  <c r="AK100" i="6"/>
  <c r="AK101" i="6"/>
  <c r="AK102" i="6"/>
  <c r="AK103" i="6"/>
  <c r="AK104" i="6"/>
  <c r="AK105" i="6"/>
  <c r="AK106" i="6"/>
  <c r="AK107" i="6"/>
  <c r="AK108" i="6"/>
  <c r="AK109" i="6"/>
  <c r="AK111" i="6"/>
  <c r="AK112" i="6"/>
  <c r="AK113" i="6"/>
  <c r="AK114" i="6"/>
  <c r="AK115" i="6"/>
  <c r="AK116" i="6"/>
  <c r="AK117" i="6"/>
  <c r="AK118" i="6"/>
  <c r="AK119" i="6"/>
  <c r="AK120" i="6"/>
  <c r="AK121" i="6"/>
  <c r="AK122" i="6"/>
  <c r="AK123" i="6"/>
  <c r="AK124" i="6"/>
  <c r="AK125" i="6"/>
  <c r="AK126" i="6"/>
  <c r="AK127" i="6"/>
  <c r="AK128" i="6"/>
  <c r="AK129" i="6"/>
  <c r="AK130" i="6"/>
  <c r="AK131" i="6"/>
  <c r="AK132" i="6"/>
  <c r="AK133" i="6"/>
  <c r="AK134" i="6"/>
  <c r="AK135" i="6"/>
  <c r="AK136" i="6"/>
  <c r="AK137" i="6"/>
  <c r="AK138" i="6"/>
  <c r="AK139" i="6"/>
  <c r="AK140" i="6"/>
  <c r="AK141" i="6"/>
  <c r="AK142" i="6"/>
  <c r="AK143" i="6"/>
  <c r="AK144" i="6"/>
  <c r="AK145" i="6"/>
  <c r="AK146" i="6"/>
  <c r="AK147" i="6"/>
  <c r="AK148" i="6"/>
  <c r="AK149" i="6"/>
  <c r="AK151" i="6"/>
  <c r="AK152" i="6"/>
  <c r="AK153" i="6"/>
  <c r="AK154" i="6"/>
  <c r="AK155" i="6"/>
  <c r="AK156" i="6"/>
  <c r="AK157" i="6"/>
  <c r="AK158" i="6"/>
  <c r="AK159" i="6"/>
  <c r="AK160" i="6"/>
  <c r="AK162" i="6"/>
  <c r="AK163" i="6"/>
  <c r="AK164" i="6"/>
  <c r="AK170" i="6"/>
  <c r="AK171" i="6"/>
  <c r="AK175" i="6"/>
  <c r="AK176" i="6"/>
  <c r="AK177" i="6"/>
  <c r="AK178" i="6"/>
  <c r="AK180" i="6"/>
  <c r="AK181" i="6"/>
  <c r="AK182" i="6"/>
  <c r="AK183" i="6"/>
  <c r="AK184" i="6"/>
  <c r="AK185" i="6"/>
  <c r="AK189" i="6"/>
  <c r="AK192" i="6"/>
  <c r="AK193" i="6"/>
  <c r="AK194" i="6"/>
  <c r="AK195" i="6"/>
  <c r="AK196" i="6"/>
  <c r="AK197" i="6"/>
  <c r="AK199" i="6"/>
  <c r="AK200" i="6"/>
  <c r="AK201" i="6"/>
  <c r="AK202" i="6"/>
  <c r="AK204" i="6"/>
  <c r="AK205" i="6"/>
  <c r="AK206" i="6"/>
  <c r="AK207" i="6"/>
  <c r="AK208" i="6"/>
  <c r="AK214" i="6"/>
  <c r="AK215" i="6"/>
  <c r="AK216" i="6"/>
  <c r="AK188" i="6"/>
  <c r="AK172" i="6"/>
  <c r="AK174" i="6"/>
  <c r="AK203" i="6"/>
  <c r="AK209" i="6"/>
  <c r="AK9" i="6"/>
  <c r="AK14" i="6"/>
  <c r="AK15" i="6"/>
  <c r="AK16" i="6"/>
  <c r="AK22" i="6"/>
  <c r="AK38" i="6"/>
  <c r="AK39" i="6"/>
  <c r="AK49" i="6"/>
  <c r="AK110" i="6"/>
  <c r="AK150" i="6"/>
  <c r="AK161" i="6"/>
  <c r="AK165" i="6"/>
  <c r="AK173" i="6"/>
  <c r="AK179" i="6"/>
  <c r="AK210" i="6"/>
  <c r="AK217" i="6"/>
  <c r="AK221" i="6"/>
  <c r="AK222" i="6"/>
  <c r="AK223" i="6"/>
  <c r="AL166" i="6"/>
  <c r="AL167" i="6"/>
  <c r="AL168" i="6"/>
  <c r="AL169" i="6"/>
  <c r="AL4" i="6"/>
  <c r="AL5" i="6"/>
  <c r="AL6" i="6"/>
  <c r="AL7" i="6"/>
  <c r="AL8" i="6"/>
  <c r="AL10" i="6"/>
  <c r="AL11" i="6"/>
  <c r="AL12" i="6"/>
  <c r="AL13" i="6"/>
  <c r="AL17" i="6"/>
  <c r="AL18" i="6"/>
  <c r="AL19" i="6"/>
  <c r="AL20" i="6"/>
  <c r="AL21" i="6"/>
  <c r="AL23" i="6"/>
  <c r="AL24" i="6"/>
  <c r="AL25" i="6"/>
  <c r="AL26" i="6"/>
  <c r="AL27" i="6"/>
  <c r="AL28" i="6"/>
  <c r="AL29" i="6"/>
  <c r="AL30" i="6"/>
  <c r="AL31" i="6"/>
  <c r="AL32" i="6"/>
  <c r="AL33" i="6"/>
  <c r="AL34" i="6"/>
  <c r="AL35" i="6"/>
  <c r="AL36" i="6"/>
  <c r="AL37" i="6"/>
  <c r="AL40" i="6"/>
  <c r="AL41" i="6"/>
  <c r="AL42" i="6"/>
  <c r="AL43" i="6"/>
  <c r="AL44" i="6"/>
  <c r="AL45" i="6"/>
  <c r="AL46" i="6"/>
  <c r="AL47" i="6"/>
  <c r="AL48" i="6"/>
  <c r="AL50" i="6"/>
  <c r="AL51" i="6"/>
  <c r="AL52" i="6"/>
  <c r="AL53" i="6"/>
  <c r="AL54" i="6"/>
  <c r="AL55" i="6"/>
  <c r="AL56" i="6"/>
  <c r="AL57" i="6"/>
  <c r="AL58" i="6"/>
  <c r="AL59" i="6"/>
  <c r="AL60" i="6"/>
  <c r="AL61" i="6"/>
  <c r="AL62" i="6"/>
  <c r="AL63" i="6"/>
  <c r="AL64" i="6"/>
  <c r="AL65" i="6"/>
  <c r="AL66" i="6"/>
  <c r="AL67" i="6"/>
  <c r="AL68" i="6"/>
  <c r="AL69" i="6"/>
  <c r="AL70" i="6"/>
  <c r="AL71" i="6"/>
  <c r="AL72" i="6"/>
  <c r="AL73" i="6"/>
  <c r="AL74" i="6"/>
  <c r="AL75" i="6"/>
  <c r="AL76" i="6"/>
  <c r="AL77" i="6"/>
  <c r="AL78" i="6"/>
  <c r="AL79" i="6"/>
  <c r="AL80" i="6"/>
  <c r="AL81" i="6"/>
  <c r="AL82" i="6"/>
  <c r="AL83" i="6"/>
  <c r="AL84" i="6"/>
  <c r="AL85" i="6"/>
  <c r="AL86" i="6"/>
  <c r="AL87" i="6"/>
  <c r="AL88" i="6"/>
  <c r="AL89" i="6"/>
  <c r="AL90" i="6"/>
  <c r="AL91" i="6"/>
  <c r="AL92" i="6"/>
  <c r="AL93" i="6"/>
  <c r="AL94" i="6"/>
  <c r="AL95" i="6"/>
  <c r="AL96" i="6"/>
  <c r="AL97" i="6"/>
  <c r="AL98" i="6"/>
  <c r="AL99" i="6"/>
  <c r="AL100" i="6"/>
  <c r="AL101" i="6"/>
  <c r="AL102" i="6"/>
  <c r="AL103" i="6"/>
  <c r="AL104" i="6"/>
  <c r="AL105" i="6"/>
  <c r="AL106" i="6"/>
  <c r="AL107" i="6"/>
  <c r="AL108" i="6"/>
  <c r="AL109" i="6"/>
  <c r="AL111" i="6"/>
  <c r="AL112" i="6"/>
  <c r="AL113" i="6"/>
  <c r="AL114" i="6"/>
  <c r="AL115" i="6"/>
  <c r="AL116" i="6"/>
  <c r="AL117" i="6"/>
  <c r="AL118" i="6"/>
  <c r="AL119" i="6"/>
  <c r="AL120" i="6"/>
  <c r="AL121" i="6"/>
  <c r="AL122" i="6"/>
  <c r="AL123" i="6"/>
  <c r="AL124" i="6"/>
  <c r="AL125" i="6"/>
  <c r="AL126" i="6"/>
  <c r="AL127" i="6"/>
  <c r="AL128" i="6"/>
  <c r="AL129" i="6"/>
  <c r="AL130" i="6"/>
  <c r="AL131" i="6"/>
  <c r="AL132" i="6"/>
  <c r="AL133" i="6"/>
  <c r="AL134" i="6"/>
  <c r="AL135" i="6"/>
  <c r="AL136" i="6"/>
  <c r="AL137" i="6"/>
  <c r="AL138" i="6"/>
  <c r="AL139" i="6"/>
  <c r="AL140" i="6"/>
  <c r="AL141" i="6"/>
  <c r="AL142" i="6"/>
  <c r="AL144" i="6"/>
  <c r="AL145" i="6"/>
  <c r="AL146" i="6"/>
  <c r="AL147" i="6"/>
  <c r="AL148" i="6"/>
  <c r="AL149" i="6"/>
  <c r="AL151" i="6"/>
  <c r="AL152" i="6"/>
  <c r="AL153" i="6"/>
  <c r="AL154" i="6"/>
  <c r="AL155" i="6"/>
  <c r="AL156" i="6"/>
  <c r="AL157" i="6"/>
  <c r="AL158" i="6"/>
  <c r="AL159" i="6"/>
  <c r="AL160" i="6"/>
  <c r="AL162" i="6"/>
  <c r="AL163" i="6"/>
  <c r="AL164" i="6"/>
  <c r="AL170" i="6"/>
  <c r="AL171" i="6"/>
  <c r="AL175" i="6"/>
  <c r="AL176" i="6"/>
  <c r="AL177" i="6"/>
  <c r="AL178" i="6"/>
  <c r="AL180" i="6"/>
  <c r="AL181" i="6"/>
  <c r="AL182" i="6"/>
  <c r="AL183" i="6"/>
  <c r="AL184" i="6"/>
  <c r="AL185" i="6"/>
  <c r="AL189" i="6"/>
  <c r="AL192" i="6"/>
  <c r="AL193" i="6"/>
  <c r="AL194" i="6"/>
  <c r="AL195" i="6"/>
  <c r="AL196" i="6"/>
  <c r="AL197" i="6"/>
  <c r="AL199" i="6"/>
  <c r="AL200" i="6"/>
  <c r="AL201" i="6"/>
  <c r="AL202" i="6"/>
  <c r="AL204" i="6"/>
  <c r="AL205" i="6"/>
  <c r="AL206" i="6"/>
  <c r="AL207" i="6"/>
  <c r="AL208" i="6"/>
  <c r="AL214" i="6"/>
  <c r="AL215" i="6"/>
  <c r="AL216" i="6"/>
  <c r="AL188" i="6"/>
  <c r="AL172" i="6"/>
  <c r="AL174" i="6"/>
  <c r="AL203" i="6"/>
  <c r="AL209" i="6"/>
  <c r="AL9" i="6"/>
  <c r="AL14" i="6"/>
  <c r="AL15" i="6"/>
  <c r="AL16" i="6"/>
  <c r="AL22" i="6"/>
  <c r="AL38" i="6"/>
  <c r="AL39" i="6"/>
  <c r="AL49" i="6"/>
  <c r="AL110" i="6"/>
  <c r="AL150" i="6"/>
  <c r="AL161" i="6"/>
  <c r="AL165" i="6"/>
  <c r="AL173" i="6"/>
  <c r="AL179" i="6"/>
  <c r="AL210" i="6"/>
  <c r="AL217" i="6"/>
  <c r="AL221" i="6"/>
  <c r="AL222" i="6"/>
  <c r="AL223" i="6"/>
  <c r="AM166" i="6"/>
  <c r="AM167" i="6"/>
  <c r="AM168" i="6"/>
  <c r="AM169" i="6"/>
  <c r="AM4" i="6"/>
  <c r="AM250" i="6" s="1"/>
  <c r="AM5" i="6"/>
  <c r="AM6" i="6"/>
  <c r="AM7" i="6"/>
  <c r="AM8" i="6"/>
  <c r="AM10" i="6"/>
  <c r="AM11" i="6"/>
  <c r="AM12" i="6"/>
  <c r="AM13" i="6"/>
  <c r="AM17" i="6"/>
  <c r="AM18" i="6"/>
  <c r="AM19" i="6"/>
  <c r="AM20" i="6"/>
  <c r="AM21" i="6"/>
  <c r="AM23" i="6"/>
  <c r="AM24" i="6"/>
  <c r="AM25" i="6"/>
  <c r="AM26" i="6"/>
  <c r="AM27" i="6"/>
  <c r="AM28" i="6"/>
  <c r="AM29" i="6"/>
  <c r="AM30" i="6"/>
  <c r="AM31" i="6"/>
  <c r="AM32" i="6"/>
  <c r="AM33" i="6"/>
  <c r="AM34" i="6"/>
  <c r="AM35" i="6"/>
  <c r="AM36" i="6"/>
  <c r="AM37" i="6"/>
  <c r="AM40" i="6"/>
  <c r="AM41" i="6"/>
  <c r="AM42" i="6"/>
  <c r="AM43" i="6"/>
  <c r="AM44" i="6"/>
  <c r="AM45" i="6"/>
  <c r="AM46" i="6"/>
  <c r="AM47" i="6"/>
  <c r="AM48" i="6"/>
  <c r="AM50" i="6"/>
  <c r="AM51" i="6"/>
  <c r="AM52" i="6"/>
  <c r="AM53" i="6"/>
  <c r="AM54" i="6"/>
  <c r="AM55" i="6"/>
  <c r="AM56" i="6"/>
  <c r="AM57" i="6"/>
  <c r="AM58" i="6"/>
  <c r="AM59" i="6"/>
  <c r="AM60" i="6"/>
  <c r="AM61" i="6"/>
  <c r="AM62" i="6"/>
  <c r="AM63" i="6"/>
  <c r="AM64" i="6"/>
  <c r="AM66" i="6"/>
  <c r="AM67" i="6"/>
  <c r="AM68" i="6"/>
  <c r="AM69" i="6"/>
  <c r="AM70" i="6"/>
  <c r="AM71" i="6"/>
  <c r="AM72" i="6"/>
  <c r="AM73" i="6"/>
  <c r="AM74" i="6"/>
  <c r="AM75" i="6"/>
  <c r="AM76" i="6"/>
  <c r="AM77" i="6"/>
  <c r="AM78" i="6"/>
  <c r="AM79" i="6"/>
  <c r="AM80" i="6"/>
  <c r="AM81" i="6"/>
  <c r="AM82" i="6"/>
  <c r="AM83" i="6"/>
  <c r="AM84" i="6"/>
  <c r="AM85" i="6"/>
  <c r="AM86" i="6"/>
  <c r="AM87" i="6"/>
  <c r="AM88" i="6"/>
  <c r="AM89" i="6"/>
  <c r="AM90" i="6"/>
  <c r="AM91" i="6"/>
  <c r="AM92" i="6"/>
  <c r="AM93" i="6"/>
  <c r="AM94" i="6"/>
  <c r="AM95" i="6"/>
  <c r="AM96" i="6"/>
  <c r="AM97" i="6"/>
  <c r="AM98" i="6"/>
  <c r="AM99" i="6"/>
  <c r="AM100" i="6"/>
  <c r="AM101" i="6"/>
  <c r="AM102" i="6"/>
  <c r="AM103" i="6"/>
  <c r="AM104" i="6"/>
  <c r="AM105" i="6"/>
  <c r="AM106" i="6"/>
  <c r="AM107" i="6"/>
  <c r="AM108" i="6"/>
  <c r="AM109" i="6"/>
  <c r="AM111" i="6"/>
  <c r="AM112" i="6"/>
  <c r="AM113" i="6"/>
  <c r="AM114" i="6"/>
  <c r="AM115" i="6"/>
  <c r="AM116" i="6"/>
  <c r="AM117" i="6"/>
  <c r="AM118" i="6"/>
  <c r="AM119" i="6"/>
  <c r="AM120" i="6"/>
  <c r="AM121" i="6"/>
  <c r="AM122" i="6"/>
  <c r="AM123" i="6"/>
  <c r="AM124" i="6"/>
  <c r="AM125" i="6"/>
  <c r="AM126" i="6"/>
  <c r="AM127" i="6"/>
  <c r="AM128" i="6"/>
  <c r="AM129" i="6"/>
  <c r="AM130" i="6"/>
  <c r="AM131" i="6"/>
  <c r="AM132" i="6"/>
  <c r="AM133" i="6"/>
  <c r="AM134" i="6"/>
  <c r="AM135" i="6"/>
  <c r="AM136" i="6"/>
  <c r="AM137" i="6"/>
  <c r="AM138" i="6"/>
  <c r="AM139" i="6"/>
  <c r="AM140" i="6"/>
  <c r="AM141" i="6"/>
  <c r="AM142" i="6"/>
  <c r="AM143" i="6"/>
  <c r="AM144" i="6"/>
  <c r="AM145" i="6"/>
  <c r="AM146" i="6"/>
  <c r="AM147" i="6"/>
  <c r="AM148" i="6"/>
  <c r="AM149" i="6"/>
  <c r="AM151" i="6"/>
  <c r="AM152" i="6"/>
  <c r="AM153" i="6"/>
  <c r="AM154" i="6"/>
  <c r="AM155" i="6"/>
  <c r="AM156" i="6"/>
  <c r="AM157" i="6"/>
  <c r="AM158" i="6"/>
  <c r="AM159" i="6"/>
  <c r="AM160" i="6"/>
  <c r="AM162" i="6"/>
  <c r="AM163" i="6"/>
  <c r="AM164" i="6"/>
  <c r="AM170" i="6"/>
  <c r="AM171" i="6"/>
  <c r="AM175" i="6"/>
  <c r="AM176" i="6"/>
  <c r="AM177" i="6"/>
  <c r="AM178" i="6"/>
  <c r="AM180" i="6"/>
  <c r="AM181" i="6"/>
  <c r="AM182" i="6"/>
  <c r="AM183" i="6"/>
  <c r="AM184" i="6"/>
  <c r="AM185" i="6"/>
  <c r="AM189" i="6"/>
  <c r="AM192" i="6"/>
  <c r="AM193" i="6"/>
  <c r="AM194" i="6"/>
  <c r="AM195" i="6"/>
  <c r="AM196" i="6"/>
  <c r="AM197" i="6"/>
  <c r="AM198" i="6"/>
  <c r="AM199" i="6"/>
  <c r="AM200" i="6"/>
  <c r="AM201" i="6"/>
  <c r="AM202" i="6"/>
  <c r="AM204" i="6"/>
  <c r="AM205" i="6"/>
  <c r="AM206" i="6"/>
  <c r="AM207" i="6"/>
  <c r="AM208" i="6"/>
  <c r="AM214" i="6"/>
  <c r="AM215" i="6"/>
  <c r="AM216" i="6"/>
  <c r="AM188" i="6"/>
  <c r="AM172" i="6"/>
  <c r="AM174" i="6"/>
  <c r="AM203" i="6"/>
  <c r="AM209" i="6"/>
  <c r="AM9" i="6"/>
  <c r="AM14" i="6"/>
  <c r="AM15" i="6"/>
  <c r="AM16" i="6"/>
  <c r="AM22" i="6"/>
  <c r="AM38" i="6"/>
  <c r="AM39" i="6"/>
  <c r="AM49" i="6"/>
  <c r="AM110" i="6"/>
  <c r="AM150" i="6"/>
  <c r="AM161" i="6"/>
  <c r="AM165" i="6"/>
  <c r="AM173" i="6"/>
  <c r="AM179" i="6"/>
  <c r="AM210" i="6"/>
  <c r="AM217" i="6"/>
  <c r="AM221" i="6"/>
  <c r="AM222" i="6"/>
  <c r="AM223" i="6"/>
  <c r="AN166" i="6"/>
  <c r="AN167" i="6"/>
  <c r="AN168" i="6"/>
  <c r="AN169" i="6"/>
  <c r="AN4" i="6"/>
  <c r="AN5" i="6"/>
  <c r="AN6" i="6"/>
  <c r="AN7" i="6"/>
  <c r="AN8" i="6"/>
  <c r="AN250" i="6" s="1"/>
  <c r="AN10" i="6"/>
  <c r="AN11" i="6"/>
  <c r="AN12" i="6"/>
  <c r="AN13" i="6"/>
  <c r="AN17" i="6"/>
  <c r="AN18" i="6"/>
  <c r="AN19" i="6"/>
  <c r="AN20" i="6"/>
  <c r="AN21" i="6"/>
  <c r="AN23" i="6"/>
  <c r="AN24" i="6"/>
  <c r="AN25" i="6"/>
  <c r="AN26" i="6"/>
  <c r="AN27" i="6"/>
  <c r="AN28" i="6"/>
  <c r="AN29" i="6"/>
  <c r="AN30" i="6"/>
  <c r="AN31" i="6"/>
  <c r="AN32" i="6"/>
  <c r="AN33" i="6"/>
  <c r="AN34" i="6"/>
  <c r="AN35" i="6"/>
  <c r="AN36" i="6"/>
  <c r="AN37" i="6"/>
  <c r="AN40" i="6"/>
  <c r="AN41" i="6"/>
  <c r="AN42" i="6"/>
  <c r="AN43" i="6"/>
  <c r="AN44" i="6"/>
  <c r="AN45" i="6"/>
  <c r="AN46" i="6"/>
  <c r="AN47" i="6"/>
  <c r="AN48" i="6"/>
  <c r="AN50" i="6"/>
  <c r="AN51" i="6"/>
  <c r="AN52" i="6"/>
  <c r="AN53" i="6"/>
  <c r="AN54" i="6"/>
  <c r="AN55" i="6"/>
  <c r="AN56" i="6"/>
  <c r="AN57" i="6"/>
  <c r="AN58" i="6"/>
  <c r="AN59" i="6"/>
  <c r="AN60" i="6"/>
  <c r="AN61" i="6"/>
  <c r="AN62" i="6"/>
  <c r="AN63" i="6"/>
  <c r="AN64" i="6"/>
  <c r="AN65" i="6"/>
  <c r="AN66" i="6"/>
  <c r="AN67" i="6"/>
  <c r="AN68" i="6"/>
  <c r="AN69" i="6"/>
  <c r="AN70" i="6"/>
  <c r="AN71" i="6"/>
  <c r="AN72" i="6"/>
  <c r="AN73" i="6"/>
  <c r="AN74" i="6"/>
  <c r="AN75" i="6"/>
  <c r="AN76" i="6"/>
  <c r="AN77" i="6"/>
  <c r="AN78" i="6"/>
  <c r="AN79" i="6"/>
  <c r="AN80" i="6"/>
  <c r="AN81" i="6"/>
  <c r="AN82" i="6"/>
  <c r="AN83" i="6"/>
  <c r="AN84" i="6"/>
  <c r="AN85" i="6"/>
  <c r="AN86" i="6"/>
  <c r="AN87" i="6"/>
  <c r="AN88" i="6"/>
  <c r="AN89" i="6"/>
  <c r="AN90" i="6"/>
  <c r="AN91" i="6"/>
  <c r="AN92" i="6"/>
  <c r="AN93" i="6"/>
  <c r="AN94" i="6"/>
  <c r="AN95" i="6"/>
  <c r="AN96" i="6"/>
  <c r="AN97" i="6"/>
  <c r="AN98" i="6"/>
  <c r="AN99" i="6"/>
  <c r="AN100" i="6"/>
  <c r="AN101" i="6"/>
  <c r="AN102" i="6"/>
  <c r="AN103" i="6"/>
  <c r="AN104" i="6"/>
  <c r="AN105" i="6"/>
  <c r="AN106" i="6"/>
  <c r="AN107" i="6"/>
  <c r="AN108" i="6"/>
  <c r="AN109" i="6"/>
  <c r="AN111" i="6"/>
  <c r="AN112" i="6"/>
  <c r="AN113" i="6"/>
  <c r="AN114" i="6"/>
  <c r="AN115" i="6"/>
  <c r="AN116" i="6"/>
  <c r="AN117" i="6"/>
  <c r="AN118" i="6"/>
  <c r="AN119" i="6"/>
  <c r="AN120" i="6"/>
  <c r="AN121" i="6"/>
  <c r="AN122" i="6"/>
  <c r="AN123" i="6"/>
  <c r="AN124" i="6"/>
  <c r="AN125" i="6"/>
  <c r="AN126" i="6"/>
  <c r="AN127" i="6"/>
  <c r="AN128" i="6"/>
  <c r="AN129" i="6"/>
  <c r="AN130" i="6"/>
  <c r="AN131" i="6"/>
  <c r="AN132" i="6"/>
  <c r="AN133" i="6"/>
  <c r="AN134" i="6"/>
  <c r="AN135" i="6"/>
  <c r="AN136" i="6"/>
  <c r="AN137" i="6"/>
  <c r="AN138" i="6"/>
  <c r="AN139" i="6"/>
  <c r="AN140" i="6"/>
  <c r="AN141" i="6"/>
  <c r="AN142" i="6"/>
  <c r="AN143" i="6"/>
  <c r="AN144" i="6"/>
  <c r="AN145" i="6"/>
  <c r="AN146" i="6"/>
  <c r="AN147" i="6"/>
  <c r="AN148" i="6"/>
  <c r="AN149" i="6"/>
  <c r="AN151" i="6"/>
  <c r="AN152" i="6"/>
  <c r="AN153" i="6"/>
  <c r="AN154" i="6"/>
  <c r="AN155" i="6"/>
  <c r="AN156" i="6"/>
  <c r="AN157" i="6"/>
  <c r="AN158" i="6"/>
  <c r="AN159" i="6"/>
  <c r="AN160" i="6"/>
  <c r="AN162" i="6"/>
  <c r="AN163" i="6"/>
  <c r="AN164" i="6"/>
  <c r="AN170" i="6"/>
  <c r="AN171" i="6"/>
  <c r="AN175" i="6"/>
  <c r="AN176" i="6"/>
  <c r="AN177" i="6"/>
  <c r="AN178" i="6"/>
  <c r="AN180" i="6"/>
  <c r="AN181" i="6"/>
  <c r="AN182" i="6"/>
  <c r="AN183" i="6"/>
  <c r="AN184" i="6"/>
  <c r="AN185" i="6"/>
  <c r="AN189" i="6"/>
  <c r="AN192" i="6"/>
  <c r="AN193" i="6"/>
  <c r="AN194" i="6"/>
  <c r="AN195" i="6"/>
  <c r="AN196" i="6"/>
  <c r="AN197" i="6"/>
  <c r="AN198" i="6"/>
  <c r="AN199" i="6"/>
  <c r="AN200" i="6"/>
  <c r="AN201" i="6"/>
  <c r="AN202" i="6"/>
  <c r="AN204" i="6"/>
  <c r="AN205" i="6"/>
  <c r="AN206" i="6"/>
  <c r="AN207" i="6"/>
  <c r="AN208" i="6"/>
  <c r="AN214" i="6"/>
  <c r="AN215" i="6"/>
  <c r="AN216" i="6"/>
  <c r="AN188" i="6"/>
  <c r="AN172" i="6"/>
  <c r="AN174" i="6"/>
  <c r="AN203" i="6"/>
  <c r="AN209" i="6"/>
  <c r="AN9" i="6"/>
  <c r="AN14" i="6"/>
  <c r="AN15" i="6"/>
  <c r="AN16" i="6"/>
  <c r="AN22" i="6"/>
  <c r="AN38" i="6"/>
  <c r="AN39" i="6"/>
  <c r="AN49" i="6"/>
  <c r="AN110" i="6"/>
  <c r="AN150" i="6"/>
  <c r="AN161" i="6"/>
  <c r="AN165" i="6"/>
  <c r="AN173" i="6"/>
  <c r="AN179" i="6"/>
  <c r="AN210" i="6"/>
  <c r="AN217" i="6"/>
  <c r="AN221" i="6"/>
  <c r="AN222" i="6"/>
  <c r="AN223" i="6"/>
  <c r="AO166" i="6"/>
  <c r="AO167" i="6"/>
  <c r="AO168" i="6"/>
  <c r="AO169" i="6"/>
  <c r="AO4" i="6"/>
  <c r="AO5" i="6"/>
  <c r="AO6" i="6"/>
  <c r="AO7" i="6"/>
  <c r="AO8" i="6"/>
  <c r="AO10" i="6"/>
  <c r="AO11" i="6"/>
  <c r="AO12" i="6"/>
  <c r="AO13" i="6"/>
  <c r="AO17" i="6"/>
  <c r="AO18" i="6"/>
  <c r="AO19" i="6"/>
  <c r="AO20" i="6"/>
  <c r="AO21" i="6"/>
  <c r="AO23" i="6"/>
  <c r="AO24" i="6"/>
  <c r="AO25" i="6"/>
  <c r="AO26" i="6"/>
  <c r="AO27" i="6"/>
  <c r="AO28" i="6"/>
  <c r="AO29" i="6"/>
  <c r="AO30" i="6"/>
  <c r="AO31" i="6"/>
  <c r="AO32" i="6"/>
  <c r="AO33" i="6"/>
  <c r="AO34" i="6"/>
  <c r="AO35" i="6"/>
  <c r="AO36" i="6"/>
  <c r="AO37" i="6"/>
  <c r="AO40" i="6"/>
  <c r="AO41" i="6"/>
  <c r="AO42" i="6"/>
  <c r="AO43" i="6"/>
  <c r="AO44" i="6"/>
  <c r="AO45" i="6"/>
  <c r="AO46" i="6"/>
  <c r="AO47" i="6"/>
  <c r="AO48" i="6"/>
  <c r="AO50" i="6"/>
  <c r="AO51" i="6"/>
  <c r="AO52" i="6"/>
  <c r="AO53" i="6"/>
  <c r="Q54" i="6"/>
  <c r="AO54" i="6" s="1"/>
  <c r="AO55" i="6"/>
  <c r="AO56" i="6"/>
  <c r="AO57" i="6"/>
  <c r="AO58" i="6"/>
  <c r="AO59" i="6"/>
  <c r="AO60" i="6"/>
  <c r="AO61" i="6"/>
  <c r="AO62" i="6"/>
  <c r="AO63" i="6"/>
  <c r="AO64" i="6"/>
  <c r="AO65" i="6"/>
  <c r="AO66" i="6"/>
  <c r="AO67" i="6"/>
  <c r="AO68" i="6"/>
  <c r="AO69" i="6"/>
  <c r="AO70" i="6"/>
  <c r="AO71" i="6"/>
  <c r="AO72" i="6"/>
  <c r="AO73" i="6"/>
  <c r="AO74" i="6"/>
  <c r="AO75" i="6"/>
  <c r="AO76" i="6"/>
  <c r="AO77" i="6"/>
  <c r="AO78" i="6"/>
  <c r="AO79" i="6"/>
  <c r="AO80" i="6"/>
  <c r="AO81" i="6"/>
  <c r="AO82" i="6"/>
  <c r="AO83" i="6"/>
  <c r="AO84" i="6"/>
  <c r="AO85" i="6"/>
  <c r="AO86" i="6"/>
  <c r="AO87" i="6"/>
  <c r="AO88" i="6"/>
  <c r="AO89" i="6"/>
  <c r="AO90" i="6"/>
  <c r="AO91" i="6"/>
  <c r="AO92" i="6"/>
  <c r="AO93" i="6"/>
  <c r="AO94" i="6"/>
  <c r="AO95" i="6"/>
  <c r="AO96" i="6"/>
  <c r="AO97" i="6"/>
  <c r="AO98" i="6"/>
  <c r="AO99" i="6"/>
  <c r="AO100" i="6"/>
  <c r="AO101" i="6"/>
  <c r="AO102" i="6"/>
  <c r="AO103" i="6"/>
  <c r="AO104" i="6"/>
  <c r="AO105" i="6"/>
  <c r="AO106" i="6"/>
  <c r="AO107" i="6"/>
  <c r="BX107" i="6" s="1"/>
  <c r="AO108" i="6"/>
  <c r="AO109" i="6"/>
  <c r="AO111" i="6"/>
  <c r="AO112" i="6"/>
  <c r="AO113" i="6"/>
  <c r="AO114" i="6"/>
  <c r="AO115" i="6"/>
  <c r="AO116" i="6"/>
  <c r="AO117" i="6"/>
  <c r="AO118" i="6"/>
  <c r="AO119" i="6"/>
  <c r="AO120" i="6"/>
  <c r="AO121" i="6"/>
  <c r="AO122" i="6"/>
  <c r="AO123" i="6"/>
  <c r="AO124" i="6"/>
  <c r="AO125" i="6"/>
  <c r="AO126" i="6"/>
  <c r="AO127" i="6"/>
  <c r="AO128" i="6"/>
  <c r="AO129" i="6"/>
  <c r="AO130" i="6"/>
  <c r="AO131" i="6"/>
  <c r="AO132" i="6"/>
  <c r="AO133" i="6"/>
  <c r="AO134" i="6"/>
  <c r="AO135" i="6"/>
  <c r="Q136" i="6"/>
  <c r="AO136" i="6" s="1"/>
  <c r="AO137" i="6"/>
  <c r="AO138" i="6"/>
  <c r="AO139" i="6"/>
  <c r="AO140" i="6"/>
  <c r="AO141" i="6"/>
  <c r="Q142" i="6"/>
  <c r="AO142" i="6"/>
  <c r="AO143" i="6"/>
  <c r="AO144" i="6"/>
  <c r="AO145" i="6"/>
  <c r="AO146" i="6"/>
  <c r="AO147" i="6"/>
  <c r="AO148" i="6"/>
  <c r="AO149" i="6"/>
  <c r="AO151" i="6"/>
  <c r="AO152" i="6"/>
  <c r="AO153" i="6"/>
  <c r="AO154" i="6"/>
  <c r="AO155" i="6"/>
  <c r="AO156" i="6"/>
  <c r="AO157" i="6"/>
  <c r="AO158" i="6"/>
  <c r="AO159" i="6"/>
  <c r="AO160" i="6"/>
  <c r="AO162" i="6"/>
  <c r="AO163" i="6"/>
  <c r="AO164" i="6"/>
  <c r="AO170" i="6"/>
  <c r="AO175" i="6"/>
  <c r="AO176" i="6"/>
  <c r="AO177" i="6"/>
  <c r="AO178" i="6"/>
  <c r="AO180" i="6"/>
  <c r="AO181" i="6"/>
  <c r="AO182" i="6"/>
  <c r="AO183" i="6"/>
  <c r="AO184" i="6"/>
  <c r="AO185" i="6"/>
  <c r="AO189" i="6"/>
  <c r="AO192" i="6"/>
  <c r="AO193" i="6"/>
  <c r="AO194" i="6"/>
  <c r="AO195" i="6"/>
  <c r="AO196" i="6"/>
  <c r="AO197" i="6"/>
  <c r="AO198" i="6"/>
  <c r="AO199" i="6"/>
  <c r="AO200" i="6"/>
  <c r="AO201" i="6"/>
  <c r="AO202" i="6"/>
  <c r="AO204" i="6"/>
  <c r="AO205" i="6"/>
  <c r="AO206" i="6"/>
  <c r="AO207" i="6"/>
  <c r="AO208" i="6"/>
  <c r="AO214" i="6"/>
  <c r="AO215" i="6"/>
  <c r="AO216" i="6"/>
  <c r="AO188" i="6"/>
  <c r="AO172" i="6"/>
  <c r="AO174" i="6"/>
  <c r="AO203" i="6"/>
  <c r="AO209" i="6"/>
  <c r="AO9" i="6"/>
  <c r="AO14" i="6"/>
  <c r="AO15" i="6"/>
  <c r="AO16" i="6"/>
  <c r="AO22" i="6"/>
  <c r="AO38" i="6"/>
  <c r="AO39" i="6"/>
  <c r="AO49" i="6"/>
  <c r="AO110" i="6"/>
  <c r="AO150" i="6"/>
  <c r="AO161" i="6"/>
  <c r="AO165" i="6"/>
  <c r="AO173" i="6"/>
  <c r="AO179" i="6"/>
  <c r="AO210" i="6"/>
  <c r="AO217" i="6"/>
  <c r="AO221" i="6"/>
  <c r="AO222" i="6"/>
  <c r="AO223" i="6"/>
  <c r="AP166" i="6"/>
  <c r="AP167" i="6"/>
  <c r="AP168" i="6"/>
  <c r="AP169" i="6"/>
  <c r="AP4" i="6"/>
  <c r="AP5" i="6"/>
  <c r="AP6" i="6"/>
  <c r="AP7" i="6"/>
  <c r="AP8" i="6"/>
  <c r="AP10" i="6"/>
  <c r="AP11" i="6"/>
  <c r="AP12" i="6"/>
  <c r="AP13" i="6"/>
  <c r="AP17" i="6"/>
  <c r="AP18" i="6"/>
  <c r="AP19" i="6"/>
  <c r="AP20" i="6"/>
  <c r="AP21" i="6"/>
  <c r="AP23" i="6"/>
  <c r="AP24" i="6"/>
  <c r="AP25" i="6"/>
  <c r="AP26" i="6"/>
  <c r="AP27" i="6"/>
  <c r="AP28" i="6"/>
  <c r="AP29" i="6"/>
  <c r="AP30" i="6"/>
  <c r="AP31" i="6"/>
  <c r="AP32" i="6"/>
  <c r="AP33" i="6"/>
  <c r="AP34" i="6"/>
  <c r="AP35" i="6"/>
  <c r="AP36" i="6"/>
  <c r="AP37" i="6"/>
  <c r="AP40" i="6"/>
  <c r="AP41" i="6"/>
  <c r="AP42" i="6"/>
  <c r="AP43" i="6"/>
  <c r="AP44" i="6"/>
  <c r="AP45" i="6"/>
  <c r="AP46" i="6"/>
  <c r="AP47" i="6"/>
  <c r="AP48" i="6"/>
  <c r="AP50" i="6"/>
  <c r="AP51" i="6"/>
  <c r="AP52" i="6"/>
  <c r="AP53" i="6"/>
  <c r="AP54" i="6"/>
  <c r="AP55" i="6"/>
  <c r="AP56" i="6"/>
  <c r="AP57" i="6"/>
  <c r="AP58" i="6"/>
  <c r="AP59" i="6"/>
  <c r="AP60" i="6"/>
  <c r="AP61" i="6"/>
  <c r="AP62" i="6"/>
  <c r="AP63" i="6"/>
  <c r="AP64" i="6"/>
  <c r="AP66" i="6"/>
  <c r="AP67" i="6"/>
  <c r="AP68" i="6"/>
  <c r="AP69" i="6"/>
  <c r="AP70" i="6"/>
  <c r="AP71" i="6"/>
  <c r="AP72" i="6"/>
  <c r="AP73" i="6"/>
  <c r="AP74" i="6"/>
  <c r="AP75" i="6"/>
  <c r="AP76" i="6"/>
  <c r="AP77" i="6"/>
  <c r="AP78" i="6"/>
  <c r="AP79" i="6"/>
  <c r="AP80" i="6"/>
  <c r="AP81" i="6"/>
  <c r="AP82" i="6"/>
  <c r="AP83" i="6"/>
  <c r="AP84" i="6"/>
  <c r="AP85" i="6"/>
  <c r="AP86" i="6"/>
  <c r="AP87" i="6"/>
  <c r="AP88" i="6"/>
  <c r="AP89" i="6"/>
  <c r="AP90" i="6"/>
  <c r="AP91" i="6"/>
  <c r="AP92" i="6"/>
  <c r="AP93" i="6"/>
  <c r="AP94" i="6"/>
  <c r="AP95" i="6"/>
  <c r="AP96" i="6"/>
  <c r="AP97" i="6"/>
  <c r="AP98" i="6"/>
  <c r="AP99" i="6"/>
  <c r="AP100" i="6"/>
  <c r="AP101" i="6"/>
  <c r="AP102" i="6"/>
  <c r="AP103" i="6"/>
  <c r="AP104" i="6"/>
  <c r="AP105" i="6"/>
  <c r="AP106" i="6"/>
  <c r="AP107" i="6"/>
  <c r="AP108" i="6"/>
  <c r="AP109" i="6"/>
  <c r="AP111" i="6"/>
  <c r="AP112" i="6"/>
  <c r="AP113" i="6"/>
  <c r="AP114" i="6"/>
  <c r="AP115" i="6"/>
  <c r="AP116" i="6"/>
  <c r="AP117" i="6"/>
  <c r="AP118" i="6"/>
  <c r="AP119" i="6"/>
  <c r="AP120" i="6"/>
  <c r="AP121" i="6"/>
  <c r="AP122" i="6"/>
  <c r="AP123" i="6"/>
  <c r="AP124" i="6"/>
  <c r="AP125" i="6"/>
  <c r="AP126" i="6"/>
  <c r="AP127" i="6"/>
  <c r="R128" i="6"/>
  <c r="AP128" i="6"/>
  <c r="AP129" i="6"/>
  <c r="AP130" i="6"/>
  <c r="AP131" i="6"/>
  <c r="AP132" i="6"/>
  <c r="AP133" i="6"/>
  <c r="AP134" i="6"/>
  <c r="AP135" i="6"/>
  <c r="AP136" i="6"/>
  <c r="AP137" i="6"/>
  <c r="AP138" i="6"/>
  <c r="AP139" i="6"/>
  <c r="AP140" i="6"/>
  <c r="AP141" i="6"/>
  <c r="AP142" i="6"/>
  <c r="AP143" i="6"/>
  <c r="AP144" i="6"/>
  <c r="AP145" i="6"/>
  <c r="AP146" i="6"/>
  <c r="AP147" i="6"/>
  <c r="AP148" i="6"/>
  <c r="AP149" i="6"/>
  <c r="AP151" i="6"/>
  <c r="AP152" i="6"/>
  <c r="AP153" i="6"/>
  <c r="AP154" i="6"/>
  <c r="AP155" i="6"/>
  <c r="AP156" i="6"/>
  <c r="AP157" i="6"/>
  <c r="AP158" i="6"/>
  <c r="AP159" i="6"/>
  <c r="AP160" i="6"/>
  <c r="AP162" i="6"/>
  <c r="AP163" i="6"/>
  <c r="AP164" i="6"/>
  <c r="AP170" i="6"/>
  <c r="AP175" i="6"/>
  <c r="AP176" i="6"/>
  <c r="AP177" i="6"/>
  <c r="AP178" i="6"/>
  <c r="AP180" i="6"/>
  <c r="AP181" i="6"/>
  <c r="AP182" i="6"/>
  <c r="AP183" i="6"/>
  <c r="AP184" i="6"/>
  <c r="AP185" i="6"/>
  <c r="AP189" i="6"/>
  <c r="AP192" i="6"/>
  <c r="AP193" i="6"/>
  <c r="AP194" i="6"/>
  <c r="AP195" i="6"/>
  <c r="AP196" i="6"/>
  <c r="AP197" i="6"/>
  <c r="AP198" i="6"/>
  <c r="AP199" i="6"/>
  <c r="AP200" i="6"/>
  <c r="AP201" i="6"/>
  <c r="AP202" i="6"/>
  <c r="AP204" i="6"/>
  <c r="AP205" i="6"/>
  <c r="AP206" i="6"/>
  <c r="AP207" i="6"/>
  <c r="AP208" i="6"/>
  <c r="AP214" i="6"/>
  <c r="AP215" i="6"/>
  <c r="AP216" i="6"/>
  <c r="AP188" i="6"/>
  <c r="AP172" i="6"/>
  <c r="AP174" i="6"/>
  <c r="AP203" i="6"/>
  <c r="AP209" i="6"/>
  <c r="AP9" i="6"/>
  <c r="AP14" i="6"/>
  <c r="AP15" i="6"/>
  <c r="AP16" i="6"/>
  <c r="AP22" i="6"/>
  <c r="AP38" i="6"/>
  <c r="AP39" i="6"/>
  <c r="AP49" i="6"/>
  <c r="AP110" i="6"/>
  <c r="AP150" i="6"/>
  <c r="AP161" i="6"/>
  <c r="AP165" i="6"/>
  <c r="AP173" i="6"/>
  <c r="AP179" i="6"/>
  <c r="AP210" i="6"/>
  <c r="AP217" i="6"/>
  <c r="AP221" i="6"/>
  <c r="AP222" i="6"/>
  <c r="AP223" i="6"/>
  <c r="AQ166" i="6"/>
  <c r="AQ167" i="6"/>
  <c r="AQ168" i="6"/>
  <c r="AQ169" i="6"/>
  <c r="AQ4" i="6"/>
  <c r="AQ5" i="6"/>
  <c r="AQ6" i="6"/>
  <c r="AQ7" i="6"/>
  <c r="AQ8" i="6"/>
  <c r="AQ10" i="6"/>
  <c r="AQ11" i="6"/>
  <c r="AQ12" i="6"/>
  <c r="AQ13" i="6"/>
  <c r="AQ17" i="6"/>
  <c r="AQ18" i="6"/>
  <c r="AQ19" i="6"/>
  <c r="AQ20" i="6"/>
  <c r="AQ21" i="6"/>
  <c r="AQ23" i="6"/>
  <c r="AQ24" i="6"/>
  <c r="AQ25" i="6"/>
  <c r="AQ26" i="6"/>
  <c r="AQ27" i="6"/>
  <c r="AQ28" i="6"/>
  <c r="AQ29" i="6"/>
  <c r="AQ30" i="6"/>
  <c r="AQ31" i="6"/>
  <c r="AQ32" i="6"/>
  <c r="AQ33" i="6"/>
  <c r="AQ34" i="6"/>
  <c r="AQ35" i="6"/>
  <c r="AQ36" i="6"/>
  <c r="AQ37" i="6"/>
  <c r="AQ40" i="6"/>
  <c r="AQ41" i="6"/>
  <c r="AQ42" i="6"/>
  <c r="AQ43" i="6"/>
  <c r="AQ44" i="6"/>
  <c r="AQ45" i="6"/>
  <c r="AQ46" i="6"/>
  <c r="AQ47" i="6"/>
  <c r="AQ48" i="6"/>
  <c r="AQ50" i="6"/>
  <c r="AQ51" i="6"/>
  <c r="AQ52" i="6"/>
  <c r="AQ53" i="6"/>
  <c r="AQ54" i="6"/>
  <c r="AQ55" i="6"/>
  <c r="AQ56" i="6"/>
  <c r="AQ57" i="6"/>
  <c r="AQ58" i="6"/>
  <c r="AQ59" i="6"/>
  <c r="AQ60" i="6"/>
  <c r="AQ61" i="6"/>
  <c r="AQ62" i="6"/>
  <c r="AQ63" i="6"/>
  <c r="AQ64" i="6"/>
  <c r="AQ66" i="6"/>
  <c r="AQ67" i="6"/>
  <c r="AQ68" i="6"/>
  <c r="AQ69" i="6"/>
  <c r="AQ70" i="6"/>
  <c r="AQ71" i="6"/>
  <c r="AQ72" i="6"/>
  <c r="AQ73" i="6"/>
  <c r="AQ74" i="6"/>
  <c r="AQ75" i="6"/>
  <c r="AQ76" i="6"/>
  <c r="AQ77" i="6"/>
  <c r="AQ78" i="6"/>
  <c r="AQ79" i="6"/>
  <c r="AQ80" i="6"/>
  <c r="AQ81" i="6"/>
  <c r="AQ82" i="6"/>
  <c r="AQ83" i="6"/>
  <c r="AQ84" i="6"/>
  <c r="AQ85" i="6"/>
  <c r="AQ86" i="6"/>
  <c r="AQ87" i="6"/>
  <c r="AQ88" i="6"/>
  <c r="AQ89" i="6"/>
  <c r="AQ90" i="6"/>
  <c r="AQ91" i="6"/>
  <c r="AQ92" i="6"/>
  <c r="AQ93" i="6"/>
  <c r="AQ94" i="6"/>
  <c r="AQ95" i="6"/>
  <c r="AQ96" i="6"/>
  <c r="AQ97" i="6"/>
  <c r="AQ98" i="6"/>
  <c r="AQ99" i="6"/>
  <c r="AQ100" i="6"/>
  <c r="AQ101" i="6"/>
  <c r="AQ102" i="6"/>
  <c r="AQ103" i="6"/>
  <c r="AQ104" i="6"/>
  <c r="AQ105" i="6"/>
  <c r="AQ106" i="6"/>
  <c r="AQ107" i="6"/>
  <c r="AQ108" i="6"/>
  <c r="AQ109" i="6"/>
  <c r="AQ111" i="6"/>
  <c r="AQ112" i="6"/>
  <c r="AQ113" i="6"/>
  <c r="AQ114" i="6"/>
  <c r="AQ115" i="6"/>
  <c r="AQ116" i="6"/>
  <c r="AQ117" i="6"/>
  <c r="AQ118" i="6"/>
  <c r="AQ119" i="6"/>
  <c r="AQ120" i="6"/>
  <c r="S121" i="6"/>
  <c r="AQ121" i="6" s="1"/>
  <c r="AQ122" i="6"/>
  <c r="AQ123" i="6"/>
  <c r="AQ124" i="6"/>
  <c r="AQ125" i="6"/>
  <c r="AQ126" i="6"/>
  <c r="AQ127" i="6"/>
  <c r="AQ128" i="6"/>
  <c r="AQ129" i="6"/>
  <c r="AQ130" i="6"/>
  <c r="AQ131" i="6"/>
  <c r="AQ132" i="6"/>
  <c r="AQ133" i="6"/>
  <c r="AQ134" i="6"/>
  <c r="AQ135" i="6"/>
  <c r="AQ136" i="6"/>
  <c r="AQ137" i="6"/>
  <c r="AQ138" i="6"/>
  <c r="AQ139" i="6"/>
  <c r="AQ140" i="6"/>
  <c r="AQ141" i="6"/>
  <c r="AQ142" i="6"/>
  <c r="AQ143" i="6"/>
  <c r="AQ144" i="6"/>
  <c r="AQ145" i="6"/>
  <c r="AQ146" i="6"/>
  <c r="AQ147" i="6"/>
  <c r="AQ148" i="6"/>
  <c r="AQ149" i="6"/>
  <c r="AQ151" i="6"/>
  <c r="AQ152" i="6"/>
  <c r="AQ153" i="6"/>
  <c r="AQ154" i="6"/>
  <c r="AQ155" i="6"/>
  <c r="AQ156" i="6"/>
  <c r="AQ157" i="6"/>
  <c r="AQ158" i="6"/>
  <c r="AQ159" i="6"/>
  <c r="AQ160" i="6"/>
  <c r="AQ162" i="6"/>
  <c r="AQ163" i="6"/>
  <c r="AQ164" i="6"/>
  <c r="AQ170" i="6"/>
  <c r="AQ175" i="6"/>
  <c r="AQ176" i="6"/>
  <c r="AQ177" i="6"/>
  <c r="AQ178" i="6"/>
  <c r="AQ180" i="6"/>
  <c r="S181" i="6"/>
  <c r="AQ181" i="6"/>
  <c r="AQ182" i="6"/>
  <c r="AQ183" i="6"/>
  <c r="AQ184" i="6"/>
  <c r="AQ185" i="6"/>
  <c r="AQ189" i="6"/>
  <c r="AQ192" i="6"/>
  <c r="AQ193" i="6"/>
  <c r="AQ194" i="6"/>
  <c r="AQ195" i="6"/>
  <c r="AQ196" i="6"/>
  <c r="AQ197" i="6"/>
  <c r="AQ198" i="6"/>
  <c r="AQ199" i="6"/>
  <c r="AQ200" i="6"/>
  <c r="AQ201" i="6"/>
  <c r="AQ202" i="6"/>
  <c r="AQ204" i="6"/>
  <c r="AQ205" i="6"/>
  <c r="AQ206" i="6"/>
  <c r="AQ207" i="6"/>
  <c r="AQ208" i="6"/>
  <c r="AQ214" i="6"/>
  <c r="AQ215" i="6"/>
  <c r="AQ216" i="6"/>
  <c r="AQ188" i="6"/>
  <c r="AQ172" i="6"/>
  <c r="AQ174" i="6"/>
  <c r="AQ203" i="6"/>
  <c r="AQ209" i="6"/>
  <c r="AQ9" i="6"/>
  <c r="AQ14" i="6"/>
  <c r="AQ15" i="6"/>
  <c r="AQ16" i="6"/>
  <c r="AQ22" i="6"/>
  <c r="AQ38" i="6"/>
  <c r="AQ39" i="6"/>
  <c r="AQ49" i="6"/>
  <c r="AQ110" i="6"/>
  <c r="AQ150" i="6"/>
  <c r="AQ161" i="6"/>
  <c r="AQ165" i="6"/>
  <c r="AQ173" i="6"/>
  <c r="AQ179" i="6"/>
  <c r="AQ210" i="6"/>
  <c r="AQ217" i="6"/>
  <c r="AQ221" i="6"/>
  <c r="AQ222" i="6"/>
  <c r="AQ223" i="6"/>
  <c r="AQ224" i="6"/>
  <c r="AR166" i="6"/>
  <c r="AR167" i="6"/>
  <c r="AR168" i="6"/>
  <c r="AR169" i="6"/>
  <c r="AR4" i="6"/>
  <c r="AR5" i="6"/>
  <c r="AR6" i="6"/>
  <c r="AR7" i="6"/>
  <c r="AR8" i="6"/>
  <c r="AR10" i="6"/>
  <c r="AR11" i="6"/>
  <c r="AR12" i="6"/>
  <c r="AR13" i="6"/>
  <c r="AR17" i="6"/>
  <c r="AR18" i="6"/>
  <c r="AR19" i="6"/>
  <c r="AR20" i="6"/>
  <c r="AR21" i="6"/>
  <c r="AR23" i="6"/>
  <c r="AR24" i="6"/>
  <c r="AR25" i="6"/>
  <c r="AR26" i="6"/>
  <c r="AR27" i="6"/>
  <c r="AR28" i="6"/>
  <c r="AR29" i="6"/>
  <c r="AR30" i="6"/>
  <c r="AR31" i="6"/>
  <c r="AR32" i="6"/>
  <c r="AR33" i="6"/>
  <c r="AR34" i="6"/>
  <c r="AR35" i="6"/>
  <c r="AR36" i="6"/>
  <c r="AR37" i="6"/>
  <c r="AR40" i="6"/>
  <c r="AR41" i="6"/>
  <c r="AR42" i="6"/>
  <c r="AR43" i="6"/>
  <c r="AR44" i="6"/>
  <c r="AR45" i="6"/>
  <c r="AR46" i="6"/>
  <c r="AR47" i="6"/>
  <c r="AR48" i="6"/>
  <c r="AR50" i="6"/>
  <c r="AR51" i="6"/>
  <c r="AR52" i="6"/>
  <c r="AR53" i="6"/>
  <c r="AR54" i="6"/>
  <c r="AR55" i="6"/>
  <c r="AR56" i="6"/>
  <c r="AR57" i="6"/>
  <c r="AR58" i="6"/>
  <c r="AR59" i="6"/>
  <c r="AR60" i="6"/>
  <c r="AR61" i="6"/>
  <c r="AR62" i="6"/>
  <c r="AR63" i="6"/>
  <c r="AR64"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1" i="6"/>
  <c r="AR112" i="6"/>
  <c r="AR113" i="6"/>
  <c r="AR114" i="6"/>
  <c r="AR115" i="6"/>
  <c r="AR116" i="6"/>
  <c r="AR117" i="6"/>
  <c r="T118" i="6"/>
  <c r="AR118" i="6"/>
  <c r="AR119" i="6"/>
  <c r="AR120" i="6"/>
  <c r="AR121" i="6"/>
  <c r="AR122" i="6"/>
  <c r="AR123" i="6"/>
  <c r="AR124" i="6"/>
  <c r="AR125" i="6"/>
  <c r="AR126" i="6"/>
  <c r="AR127" i="6"/>
  <c r="AR128" i="6"/>
  <c r="AR129" i="6"/>
  <c r="AR130" i="6"/>
  <c r="AR131" i="6"/>
  <c r="AR132" i="6"/>
  <c r="AR133" i="6"/>
  <c r="AR134" i="6"/>
  <c r="AR135" i="6"/>
  <c r="AR136" i="6"/>
  <c r="AR137" i="6"/>
  <c r="AR138" i="6"/>
  <c r="AR139" i="6"/>
  <c r="AR140" i="6"/>
  <c r="AR141" i="6"/>
  <c r="AR142" i="6"/>
  <c r="AR143" i="6"/>
  <c r="AR144" i="6"/>
  <c r="AR145" i="6"/>
  <c r="AR146" i="6"/>
  <c r="AR147" i="6"/>
  <c r="AR148" i="6"/>
  <c r="AR149" i="6"/>
  <c r="AR151" i="6"/>
  <c r="AR152" i="6"/>
  <c r="AR153" i="6"/>
  <c r="AR154" i="6"/>
  <c r="AR155" i="6"/>
  <c r="AR156" i="6"/>
  <c r="AR157" i="6"/>
  <c r="AR158" i="6"/>
  <c r="AR159" i="6"/>
  <c r="AR160" i="6"/>
  <c r="AR162" i="6"/>
  <c r="AR163" i="6"/>
  <c r="AR164" i="6"/>
  <c r="AR170" i="6"/>
  <c r="AR175" i="6"/>
  <c r="AR176" i="6"/>
  <c r="AR177" i="6"/>
  <c r="AR178" i="6"/>
  <c r="AR180" i="6"/>
  <c r="AR181" i="6"/>
  <c r="AR182" i="6"/>
  <c r="AR183" i="6"/>
  <c r="AR184" i="6"/>
  <c r="AR185" i="6"/>
  <c r="AR189" i="6"/>
  <c r="AR192" i="6"/>
  <c r="AR193" i="6"/>
  <c r="AR194" i="6"/>
  <c r="AR195" i="6"/>
  <c r="AR196" i="6"/>
  <c r="AR197" i="6"/>
  <c r="AR198" i="6"/>
  <c r="AR199" i="6"/>
  <c r="AR200" i="6"/>
  <c r="AR201" i="6"/>
  <c r="AR202" i="6"/>
  <c r="AR204" i="6"/>
  <c r="AR205" i="6"/>
  <c r="AR206" i="6"/>
  <c r="AR207" i="6"/>
  <c r="AR208" i="6"/>
  <c r="AR214" i="6"/>
  <c r="AR215" i="6"/>
  <c r="AR216" i="6"/>
  <c r="AR188" i="6"/>
  <c r="AR172" i="6"/>
  <c r="AR174" i="6"/>
  <c r="AR203" i="6"/>
  <c r="AR209" i="6"/>
  <c r="AR9" i="6"/>
  <c r="AR14" i="6"/>
  <c r="AR15" i="6"/>
  <c r="AR16" i="6"/>
  <c r="AR22" i="6"/>
  <c r="AR38" i="6"/>
  <c r="AR39" i="6"/>
  <c r="AR49" i="6"/>
  <c r="AR110" i="6"/>
  <c r="AR150" i="6"/>
  <c r="AR161" i="6"/>
  <c r="AR165" i="6"/>
  <c r="AR173" i="6"/>
  <c r="AR179" i="6"/>
  <c r="AR210" i="6"/>
  <c r="AR217" i="6"/>
  <c r="AR220" i="6"/>
  <c r="AR221" i="6"/>
  <c r="AR222" i="6"/>
  <c r="AR223" i="6"/>
  <c r="T224" i="6"/>
  <c r="AR224" i="6"/>
  <c r="AS166" i="6"/>
  <c r="AS167" i="6"/>
  <c r="AS168" i="6"/>
  <c r="AS169" i="6"/>
  <c r="AS4" i="6"/>
  <c r="U5" i="6"/>
  <c r="AS5" i="6" s="1"/>
  <c r="AS6" i="6"/>
  <c r="AS7" i="6"/>
  <c r="AS8" i="6"/>
  <c r="AS10" i="6"/>
  <c r="AS11" i="6"/>
  <c r="AS12" i="6"/>
  <c r="AS13" i="6"/>
  <c r="AS17" i="6"/>
  <c r="AS18" i="6"/>
  <c r="AS19" i="6"/>
  <c r="AS20" i="6"/>
  <c r="AS21" i="6"/>
  <c r="AS23" i="6"/>
  <c r="AS24" i="6"/>
  <c r="AS25" i="6"/>
  <c r="AS26" i="6"/>
  <c r="AS27" i="6"/>
  <c r="AS28" i="6"/>
  <c r="AS29" i="6"/>
  <c r="AS30" i="6"/>
  <c r="AS31" i="6"/>
  <c r="AS32" i="6"/>
  <c r="AS33" i="6"/>
  <c r="AS34" i="6"/>
  <c r="AS35" i="6"/>
  <c r="AS36" i="6"/>
  <c r="AS37" i="6"/>
  <c r="AS40" i="6"/>
  <c r="AS41" i="6"/>
  <c r="AS42" i="6"/>
  <c r="AS43" i="6"/>
  <c r="AS44" i="6"/>
  <c r="AS45" i="6"/>
  <c r="AS46" i="6"/>
  <c r="AS47" i="6"/>
  <c r="AS48" i="6"/>
  <c r="AS50" i="6"/>
  <c r="AS51" i="6"/>
  <c r="AS52" i="6"/>
  <c r="AS53" i="6"/>
  <c r="AS54" i="6"/>
  <c r="AS55" i="6"/>
  <c r="AS56" i="6"/>
  <c r="AS57" i="6"/>
  <c r="AS58" i="6"/>
  <c r="AS59" i="6"/>
  <c r="AS60" i="6"/>
  <c r="AS61" i="6"/>
  <c r="AS62" i="6"/>
  <c r="AS63" i="6"/>
  <c r="AS64" i="6"/>
  <c r="AS66" i="6"/>
  <c r="AS67" i="6"/>
  <c r="AS68" i="6"/>
  <c r="AS69" i="6"/>
  <c r="AS70" i="6"/>
  <c r="AS71" i="6"/>
  <c r="AS72" i="6"/>
  <c r="AS73" i="6"/>
  <c r="AS74" i="6"/>
  <c r="AS75" i="6"/>
  <c r="AS76" i="6"/>
  <c r="AS77" i="6"/>
  <c r="AS78" i="6"/>
  <c r="AS79" i="6"/>
  <c r="AS80" i="6"/>
  <c r="AS81" i="6"/>
  <c r="AS82" i="6"/>
  <c r="AS83" i="6"/>
  <c r="AS84" i="6"/>
  <c r="AS85" i="6"/>
  <c r="AS86" i="6"/>
  <c r="AS87" i="6"/>
  <c r="AS88" i="6"/>
  <c r="AS89" i="6"/>
  <c r="AS90" i="6"/>
  <c r="AS91" i="6"/>
  <c r="AS92" i="6"/>
  <c r="AS93" i="6"/>
  <c r="AS94" i="6"/>
  <c r="AS95" i="6"/>
  <c r="AS96" i="6"/>
  <c r="AS97" i="6"/>
  <c r="AS98" i="6"/>
  <c r="AS99" i="6"/>
  <c r="AS100" i="6"/>
  <c r="AS101" i="6"/>
  <c r="AS102" i="6"/>
  <c r="AS103" i="6"/>
  <c r="AS104" i="6"/>
  <c r="AS105" i="6"/>
  <c r="AS106" i="6"/>
  <c r="AS107" i="6"/>
  <c r="AS108" i="6"/>
  <c r="AS109" i="6"/>
  <c r="AS111" i="6"/>
  <c r="AS112" i="6"/>
  <c r="AS113" i="6"/>
  <c r="AS114" i="6"/>
  <c r="AS115" i="6"/>
  <c r="AS116" i="6"/>
  <c r="AS117" i="6"/>
  <c r="AS118" i="6"/>
  <c r="AS119" i="6"/>
  <c r="AS120" i="6"/>
  <c r="AS121" i="6"/>
  <c r="AS122" i="6"/>
  <c r="AS123" i="6"/>
  <c r="AS124" i="6"/>
  <c r="AS125" i="6"/>
  <c r="AS126" i="6"/>
  <c r="AS127" i="6"/>
  <c r="AS128" i="6"/>
  <c r="AS129" i="6"/>
  <c r="AS130" i="6"/>
  <c r="AS131" i="6"/>
  <c r="AS132" i="6"/>
  <c r="AS133" i="6"/>
  <c r="AS134" i="6"/>
  <c r="AS135" i="6"/>
  <c r="AS136" i="6"/>
  <c r="AS137" i="6"/>
  <c r="AS138" i="6"/>
  <c r="AS139" i="6"/>
  <c r="AS140" i="6"/>
  <c r="AS141" i="6"/>
  <c r="AS142" i="6"/>
  <c r="AS143" i="6"/>
  <c r="AS144" i="6"/>
  <c r="AS145" i="6"/>
  <c r="AS146" i="6"/>
  <c r="AS147" i="6"/>
  <c r="AS148" i="6"/>
  <c r="AS149" i="6"/>
  <c r="AS151" i="6"/>
  <c r="AS152" i="6"/>
  <c r="AS153" i="6"/>
  <c r="AS154" i="6"/>
  <c r="AS155" i="6"/>
  <c r="AS156" i="6"/>
  <c r="AS157" i="6"/>
  <c r="AS158" i="6"/>
  <c r="AS159" i="6"/>
  <c r="AS160" i="6"/>
  <c r="AS162" i="6"/>
  <c r="AS163" i="6"/>
  <c r="AS164" i="6"/>
  <c r="AS170" i="6"/>
  <c r="AS171" i="6"/>
  <c r="AS175" i="6"/>
  <c r="AS176" i="6"/>
  <c r="AS177" i="6"/>
  <c r="AS178" i="6"/>
  <c r="AS180" i="6"/>
  <c r="AS181" i="6"/>
  <c r="AS182" i="6"/>
  <c r="AS183" i="6"/>
  <c r="AS184" i="6"/>
  <c r="AS185" i="6"/>
  <c r="AS189" i="6"/>
  <c r="AS192" i="6"/>
  <c r="AS193" i="6"/>
  <c r="AS194" i="6"/>
  <c r="AS195" i="6"/>
  <c r="AS196" i="6"/>
  <c r="AS197" i="6"/>
  <c r="AS198" i="6"/>
  <c r="AS199" i="6"/>
  <c r="AS200" i="6"/>
  <c r="AS201" i="6"/>
  <c r="AS202" i="6"/>
  <c r="AS206" i="6"/>
  <c r="AS207" i="6"/>
  <c r="AS208" i="6"/>
  <c r="AS214" i="6"/>
  <c r="AS215" i="6"/>
  <c r="AS216" i="6"/>
  <c r="AS188" i="6"/>
  <c r="AS172" i="6"/>
  <c r="AS174" i="6"/>
  <c r="AS203" i="6"/>
  <c r="AS209" i="6"/>
  <c r="AS9" i="6"/>
  <c r="AS14" i="6"/>
  <c r="AS15" i="6"/>
  <c r="AS16" i="6"/>
  <c r="AS22" i="6"/>
  <c r="AS38" i="6"/>
  <c r="AS39" i="6"/>
  <c r="AS49" i="6"/>
  <c r="AS110" i="6"/>
  <c r="AS150" i="6"/>
  <c r="AS161" i="6"/>
  <c r="AS165" i="6"/>
  <c r="AS173" i="6"/>
  <c r="AS179" i="6"/>
  <c r="AS204" i="6"/>
  <c r="AS205" i="6"/>
  <c r="AS210" i="6"/>
  <c r="AS217" i="6"/>
  <c r="AS220" i="6"/>
  <c r="AS221" i="6"/>
  <c r="AS222" i="6"/>
  <c r="AS223" i="6"/>
  <c r="AT166" i="6"/>
  <c r="AT167" i="6"/>
  <c r="AT168" i="6"/>
  <c r="AT169" i="6"/>
  <c r="AT4" i="6"/>
  <c r="AT5" i="6"/>
  <c r="AT6" i="6"/>
  <c r="AT7" i="6"/>
  <c r="AT250" i="6" s="1"/>
  <c r="AT8" i="6"/>
  <c r="AT10" i="6"/>
  <c r="AT11" i="6"/>
  <c r="AT12" i="6"/>
  <c r="AT13" i="6"/>
  <c r="AT17" i="6"/>
  <c r="AT18" i="6"/>
  <c r="AT19" i="6"/>
  <c r="AT20" i="6"/>
  <c r="AT21" i="6"/>
  <c r="AT23" i="6"/>
  <c r="AT24" i="6"/>
  <c r="AT25" i="6"/>
  <c r="AT26" i="6"/>
  <c r="AT27" i="6"/>
  <c r="AT28" i="6"/>
  <c r="AT29" i="6"/>
  <c r="AT30" i="6"/>
  <c r="AT31" i="6"/>
  <c r="AT32" i="6"/>
  <c r="AT33" i="6"/>
  <c r="AT34" i="6"/>
  <c r="AT35" i="6"/>
  <c r="AT36" i="6"/>
  <c r="AT37" i="6"/>
  <c r="AT40" i="6"/>
  <c r="AT41" i="6"/>
  <c r="AT42" i="6"/>
  <c r="AT43" i="6"/>
  <c r="AT44" i="6"/>
  <c r="AT45" i="6"/>
  <c r="AT46" i="6"/>
  <c r="AT47" i="6"/>
  <c r="AT48" i="6"/>
  <c r="AT50" i="6"/>
  <c r="AT51" i="6"/>
  <c r="AT52" i="6"/>
  <c r="AT53" i="6"/>
  <c r="AT54" i="6"/>
  <c r="AT55" i="6"/>
  <c r="AT56" i="6"/>
  <c r="AT57" i="6"/>
  <c r="AT58" i="6"/>
  <c r="AT59" i="6"/>
  <c r="AT60" i="6"/>
  <c r="AT61" i="6"/>
  <c r="AT62" i="6"/>
  <c r="AT63" i="6"/>
  <c r="AT64" i="6"/>
  <c r="AT65" i="6"/>
  <c r="AT66" i="6"/>
  <c r="AT67" i="6"/>
  <c r="AT68" i="6"/>
  <c r="AT69" i="6"/>
  <c r="AT70" i="6"/>
  <c r="AT71" i="6"/>
  <c r="AT72" i="6"/>
  <c r="AT73" i="6"/>
  <c r="AT74" i="6"/>
  <c r="AT75" i="6"/>
  <c r="AT76" i="6"/>
  <c r="AT77" i="6"/>
  <c r="AT78" i="6"/>
  <c r="AT79" i="6"/>
  <c r="AT80" i="6"/>
  <c r="AT81" i="6"/>
  <c r="AT82" i="6"/>
  <c r="AT83" i="6"/>
  <c r="AT84" i="6"/>
  <c r="AT85" i="6"/>
  <c r="AT86" i="6"/>
  <c r="AT87" i="6"/>
  <c r="AT88" i="6"/>
  <c r="AT89" i="6"/>
  <c r="AT90" i="6"/>
  <c r="AT91" i="6"/>
  <c r="AT92" i="6"/>
  <c r="AT93" i="6"/>
  <c r="AT94" i="6"/>
  <c r="AT95" i="6"/>
  <c r="AT96" i="6"/>
  <c r="AT97" i="6"/>
  <c r="AT98" i="6"/>
  <c r="AT99" i="6"/>
  <c r="AT100" i="6"/>
  <c r="AT101" i="6"/>
  <c r="AT102" i="6"/>
  <c r="AT103" i="6"/>
  <c r="AT104" i="6"/>
  <c r="AT105" i="6"/>
  <c r="AT106" i="6"/>
  <c r="AT107" i="6"/>
  <c r="AT108" i="6"/>
  <c r="AT109" i="6"/>
  <c r="AT111" i="6"/>
  <c r="AT112" i="6"/>
  <c r="AT113" i="6"/>
  <c r="AT114" i="6"/>
  <c r="AT115" i="6"/>
  <c r="AT116" i="6"/>
  <c r="AT117" i="6"/>
  <c r="AT118" i="6"/>
  <c r="AT119" i="6"/>
  <c r="AT120" i="6"/>
  <c r="AT121" i="6"/>
  <c r="AT122" i="6"/>
  <c r="AT123" i="6"/>
  <c r="AT124" i="6"/>
  <c r="AT125" i="6"/>
  <c r="AT126" i="6"/>
  <c r="AT127" i="6"/>
  <c r="AT128" i="6"/>
  <c r="AT129" i="6"/>
  <c r="AT130" i="6"/>
  <c r="AT131" i="6"/>
  <c r="AT132" i="6"/>
  <c r="AT133" i="6"/>
  <c r="AT134" i="6"/>
  <c r="AT135" i="6"/>
  <c r="AT136" i="6"/>
  <c r="AT137" i="6"/>
  <c r="AT138" i="6"/>
  <c r="AT139" i="6"/>
  <c r="AT140" i="6"/>
  <c r="AT141" i="6"/>
  <c r="AT142" i="6"/>
  <c r="AT143" i="6"/>
  <c r="AT144" i="6"/>
  <c r="AT145" i="6"/>
  <c r="AT146" i="6"/>
  <c r="AT147" i="6"/>
  <c r="AT148" i="6"/>
  <c r="AT149" i="6"/>
  <c r="AT151" i="6"/>
  <c r="AT152" i="6"/>
  <c r="AT153" i="6"/>
  <c r="AT154" i="6"/>
  <c r="AT155" i="6"/>
  <c r="AT156" i="6"/>
  <c r="AT157" i="6"/>
  <c r="AT158" i="6"/>
  <c r="AT159" i="6"/>
  <c r="AT160" i="6"/>
  <c r="AT162" i="6"/>
  <c r="AT163" i="6"/>
  <c r="AT164" i="6"/>
  <c r="AT170" i="6"/>
  <c r="AT171" i="6"/>
  <c r="AT175" i="6"/>
  <c r="AT176" i="6"/>
  <c r="AT177" i="6"/>
  <c r="AT178" i="6"/>
  <c r="AT180" i="6"/>
  <c r="AT181" i="6"/>
  <c r="AT182" i="6"/>
  <c r="AT183" i="6"/>
  <c r="AT184" i="6"/>
  <c r="AT185" i="6"/>
  <c r="AT189" i="6"/>
  <c r="AT192" i="6"/>
  <c r="AT193" i="6"/>
  <c r="AT194" i="6"/>
  <c r="AT195" i="6"/>
  <c r="AT196" i="6"/>
  <c r="AT197" i="6"/>
  <c r="AT198" i="6"/>
  <c r="AT199" i="6"/>
  <c r="AT200" i="6"/>
  <c r="AT201" i="6"/>
  <c r="AT202" i="6"/>
  <c r="AT204" i="6"/>
  <c r="AT205" i="6"/>
  <c r="AT206" i="6"/>
  <c r="AT207" i="6"/>
  <c r="AT208" i="6"/>
  <c r="AT214" i="6"/>
  <c r="AT215" i="6"/>
  <c r="AT216" i="6"/>
  <c r="AT188" i="6"/>
  <c r="AT172" i="6"/>
  <c r="AT174" i="6"/>
  <c r="AT203" i="6"/>
  <c r="AT209" i="6"/>
  <c r="AT9" i="6"/>
  <c r="AT14" i="6"/>
  <c r="AT15" i="6"/>
  <c r="AT16" i="6"/>
  <c r="AT22" i="6"/>
  <c r="AT38" i="6"/>
  <c r="AT39" i="6"/>
  <c r="AT49" i="6"/>
  <c r="AT110" i="6"/>
  <c r="AT150" i="6"/>
  <c r="AT161" i="6"/>
  <c r="AT165" i="6"/>
  <c r="AT173" i="6"/>
  <c r="AT179" i="6"/>
  <c r="AT210" i="6"/>
  <c r="AT217" i="6"/>
  <c r="AT221" i="6"/>
  <c r="AT222" i="6"/>
  <c r="AT223" i="6"/>
  <c r="AT224" i="6"/>
  <c r="AU166" i="6"/>
  <c r="AU167" i="6"/>
  <c r="AU168" i="6"/>
  <c r="AU169" i="6"/>
  <c r="AU4" i="6"/>
  <c r="AU5" i="6"/>
  <c r="AU6" i="6"/>
  <c r="AU7" i="6"/>
  <c r="AU8" i="6"/>
  <c r="AU10" i="6"/>
  <c r="AU11" i="6"/>
  <c r="AU12" i="6"/>
  <c r="AU13" i="6"/>
  <c r="AU17" i="6"/>
  <c r="AU18" i="6"/>
  <c r="AU19" i="6"/>
  <c r="AU20" i="6"/>
  <c r="AU21" i="6"/>
  <c r="AU23" i="6"/>
  <c r="AU24" i="6"/>
  <c r="AU25" i="6"/>
  <c r="AU26" i="6"/>
  <c r="AU27" i="6"/>
  <c r="AU28" i="6"/>
  <c r="AU29" i="6"/>
  <c r="AU30" i="6"/>
  <c r="AU31" i="6"/>
  <c r="AU32" i="6"/>
  <c r="AU33" i="6"/>
  <c r="AU34" i="6"/>
  <c r="AU35" i="6"/>
  <c r="AU36" i="6"/>
  <c r="AU37" i="6"/>
  <c r="AU40" i="6"/>
  <c r="AU41" i="6"/>
  <c r="AU42" i="6"/>
  <c r="AU43" i="6"/>
  <c r="AU44" i="6"/>
  <c r="AU45" i="6"/>
  <c r="AU46" i="6"/>
  <c r="AU47" i="6"/>
  <c r="AU48" i="6"/>
  <c r="AU50" i="6"/>
  <c r="AU51" i="6"/>
  <c r="AU52" i="6"/>
  <c r="AU53" i="6"/>
  <c r="AU54" i="6"/>
  <c r="AU55" i="6"/>
  <c r="AU56" i="6"/>
  <c r="AU57" i="6"/>
  <c r="AU58" i="6"/>
  <c r="AU59" i="6"/>
  <c r="AU60" i="6"/>
  <c r="AU61" i="6"/>
  <c r="AU62" i="6"/>
  <c r="AU63" i="6"/>
  <c r="AU64" i="6"/>
  <c r="AU66" i="6"/>
  <c r="AU67" i="6"/>
  <c r="AU68" i="6"/>
  <c r="AU69" i="6"/>
  <c r="AU70" i="6"/>
  <c r="AU71" i="6"/>
  <c r="AU72" i="6"/>
  <c r="AU73" i="6"/>
  <c r="AU74" i="6"/>
  <c r="AU75" i="6"/>
  <c r="AU76" i="6"/>
  <c r="AU77" i="6"/>
  <c r="AU78" i="6"/>
  <c r="AU79" i="6"/>
  <c r="AU80" i="6"/>
  <c r="AU81" i="6"/>
  <c r="AU82" i="6"/>
  <c r="AU83" i="6"/>
  <c r="AU84" i="6"/>
  <c r="AU85" i="6"/>
  <c r="AU86" i="6"/>
  <c r="AU87" i="6"/>
  <c r="AU88" i="6"/>
  <c r="AU89" i="6"/>
  <c r="AU90" i="6"/>
  <c r="AU91" i="6"/>
  <c r="AU92" i="6"/>
  <c r="AU93" i="6"/>
  <c r="AU94" i="6"/>
  <c r="AU95" i="6"/>
  <c r="AU96" i="6"/>
  <c r="AU97" i="6"/>
  <c r="AU98" i="6"/>
  <c r="AU99" i="6"/>
  <c r="AU100" i="6"/>
  <c r="AU101" i="6"/>
  <c r="AU102" i="6"/>
  <c r="AU103" i="6"/>
  <c r="AU104" i="6"/>
  <c r="AU105" i="6"/>
  <c r="AU106" i="6"/>
  <c r="AU107" i="6"/>
  <c r="AU108" i="6"/>
  <c r="AU109" i="6"/>
  <c r="AU111" i="6"/>
  <c r="AU112" i="6"/>
  <c r="AU113" i="6"/>
  <c r="AU114" i="6"/>
  <c r="AU115" i="6"/>
  <c r="AU116" i="6"/>
  <c r="AU117" i="6"/>
  <c r="AU118" i="6"/>
  <c r="AU119" i="6"/>
  <c r="AU120" i="6"/>
  <c r="AU121" i="6"/>
  <c r="AU122" i="6"/>
  <c r="AU123" i="6"/>
  <c r="AU124" i="6"/>
  <c r="AU125" i="6"/>
  <c r="AU126" i="6"/>
  <c r="AU127" i="6"/>
  <c r="AU128" i="6"/>
  <c r="AU129" i="6"/>
  <c r="AU130" i="6"/>
  <c r="AU131" i="6"/>
  <c r="AU132" i="6"/>
  <c r="AU133" i="6"/>
  <c r="AU134" i="6"/>
  <c r="AU135" i="6"/>
  <c r="AU136" i="6"/>
  <c r="AU137" i="6"/>
  <c r="AU138" i="6"/>
  <c r="AU139" i="6"/>
  <c r="AU140" i="6"/>
  <c r="AU141" i="6"/>
  <c r="AU142" i="6"/>
  <c r="AU143" i="6"/>
  <c r="AU144" i="6"/>
  <c r="AU145" i="6"/>
  <c r="W146" i="6"/>
  <c r="AU146" i="6"/>
  <c r="AU147" i="6"/>
  <c r="AU148" i="6"/>
  <c r="AU149" i="6"/>
  <c r="AU151" i="6"/>
  <c r="AU152" i="6"/>
  <c r="AU153" i="6"/>
  <c r="AU154" i="6"/>
  <c r="AU155" i="6"/>
  <c r="AU156" i="6"/>
  <c r="AU157" i="6"/>
  <c r="AU158" i="6"/>
  <c r="AU159" i="6"/>
  <c r="AU160" i="6"/>
  <c r="AU162" i="6"/>
  <c r="AU163" i="6"/>
  <c r="AU164" i="6"/>
  <c r="AU170" i="6"/>
  <c r="AU171" i="6"/>
  <c r="AU175" i="6"/>
  <c r="AU176" i="6"/>
  <c r="AU177" i="6"/>
  <c r="AU178" i="6"/>
  <c r="AU180" i="6"/>
  <c r="AU181" i="6"/>
  <c r="AU182" i="6"/>
  <c r="AU183" i="6"/>
  <c r="AU184" i="6"/>
  <c r="AU185" i="6"/>
  <c r="AU189" i="6"/>
  <c r="AU192" i="6"/>
  <c r="AU193" i="6"/>
  <c r="AU194" i="6"/>
  <c r="AU195" i="6"/>
  <c r="AU196" i="6"/>
  <c r="AU197" i="6"/>
  <c r="AU198" i="6"/>
  <c r="AU199" i="6"/>
  <c r="AU200" i="6"/>
  <c r="AU201" i="6"/>
  <c r="AU202" i="6"/>
  <c r="AU204" i="6"/>
  <c r="AU205" i="6"/>
  <c r="AU206" i="6"/>
  <c r="AU207" i="6"/>
  <c r="AU208" i="6"/>
  <c r="AU214" i="6"/>
  <c r="AU215" i="6"/>
  <c r="AU216" i="6"/>
  <c r="AU188" i="6"/>
  <c r="AU172" i="6"/>
  <c r="AU174" i="6"/>
  <c r="AU203" i="6"/>
  <c r="AU209" i="6"/>
  <c r="AU9" i="6"/>
  <c r="AU14" i="6"/>
  <c r="AU15" i="6"/>
  <c r="AU16" i="6"/>
  <c r="AU22" i="6"/>
  <c r="AU38" i="6"/>
  <c r="AU39" i="6"/>
  <c r="AU49" i="6"/>
  <c r="AU110" i="6"/>
  <c r="AU150" i="6"/>
  <c r="AU161" i="6"/>
  <c r="AU165" i="6"/>
  <c r="AU173" i="6"/>
  <c r="AU179" i="6"/>
  <c r="AU210" i="6"/>
  <c r="AU217" i="6"/>
  <c r="AU221" i="6"/>
  <c r="AU222" i="6"/>
  <c r="AU223" i="6"/>
  <c r="AV166" i="6"/>
  <c r="AV167" i="6"/>
  <c r="AV168" i="6"/>
  <c r="AV169" i="6"/>
  <c r="AV4" i="6"/>
  <c r="AV5" i="6"/>
  <c r="AV250" i="6" s="1"/>
  <c r="AV6" i="6"/>
  <c r="AV7" i="6"/>
  <c r="AV8" i="6"/>
  <c r="AV10" i="6"/>
  <c r="AV11" i="6"/>
  <c r="AV12" i="6"/>
  <c r="AV13" i="6"/>
  <c r="AV17" i="6"/>
  <c r="AV18" i="6"/>
  <c r="AV19" i="6"/>
  <c r="AV20" i="6"/>
  <c r="AV21" i="6"/>
  <c r="AV23" i="6"/>
  <c r="AV24" i="6"/>
  <c r="AV25" i="6"/>
  <c r="AV26" i="6"/>
  <c r="AV27" i="6"/>
  <c r="AV28" i="6"/>
  <c r="AV29" i="6"/>
  <c r="AV30" i="6"/>
  <c r="AV31" i="6"/>
  <c r="AV32" i="6"/>
  <c r="AV33" i="6"/>
  <c r="AV34" i="6"/>
  <c r="AV35" i="6"/>
  <c r="AV36" i="6"/>
  <c r="AV37" i="6"/>
  <c r="AV40" i="6"/>
  <c r="AV41" i="6"/>
  <c r="AV42" i="6"/>
  <c r="AV43" i="6"/>
  <c r="AV44" i="6"/>
  <c r="AV45" i="6"/>
  <c r="AV46" i="6"/>
  <c r="AV47" i="6"/>
  <c r="AV48" i="6"/>
  <c r="AV50" i="6"/>
  <c r="AV51" i="6"/>
  <c r="AV52" i="6"/>
  <c r="AV53" i="6"/>
  <c r="AV54" i="6"/>
  <c r="AV55" i="6"/>
  <c r="AV56" i="6"/>
  <c r="AV57" i="6"/>
  <c r="AV58" i="6"/>
  <c r="AV59" i="6"/>
  <c r="AV60" i="6"/>
  <c r="AV61" i="6"/>
  <c r="AV62" i="6"/>
  <c r="AV63" i="6"/>
  <c r="AV64" i="6"/>
  <c r="AV65" i="6"/>
  <c r="AV66" i="6"/>
  <c r="AV67" i="6"/>
  <c r="AV68" i="6"/>
  <c r="AV69" i="6"/>
  <c r="AV70" i="6"/>
  <c r="AV71" i="6"/>
  <c r="AV72" i="6"/>
  <c r="AV73" i="6"/>
  <c r="AV74" i="6"/>
  <c r="AV75" i="6"/>
  <c r="AV76" i="6"/>
  <c r="AV77" i="6"/>
  <c r="AV78" i="6"/>
  <c r="AV79" i="6"/>
  <c r="AV80" i="6"/>
  <c r="AV81" i="6"/>
  <c r="AV82" i="6"/>
  <c r="AV83" i="6"/>
  <c r="AV84" i="6"/>
  <c r="AV85" i="6"/>
  <c r="AV86" i="6"/>
  <c r="AV87" i="6"/>
  <c r="AV88" i="6"/>
  <c r="AV89" i="6"/>
  <c r="AV90" i="6"/>
  <c r="AV91" i="6"/>
  <c r="AV92" i="6"/>
  <c r="AV93" i="6"/>
  <c r="AV94" i="6"/>
  <c r="AV95" i="6"/>
  <c r="AV96" i="6"/>
  <c r="AV97" i="6"/>
  <c r="AV98" i="6"/>
  <c r="AV99" i="6"/>
  <c r="AV100" i="6"/>
  <c r="AV101" i="6"/>
  <c r="AV102" i="6"/>
  <c r="AV103" i="6"/>
  <c r="AV104" i="6"/>
  <c r="AV105" i="6"/>
  <c r="AV106" i="6"/>
  <c r="AV107" i="6"/>
  <c r="AV108" i="6"/>
  <c r="AV109" i="6"/>
  <c r="AV111" i="6"/>
  <c r="AV112" i="6"/>
  <c r="AV113" i="6"/>
  <c r="AV114" i="6"/>
  <c r="AV115" i="6"/>
  <c r="AV116" i="6"/>
  <c r="AV117" i="6"/>
  <c r="AV118" i="6"/>
  <c r="AV119" i="6"/>
  <c r="AV120" i="6"/>
  <c r="AV121" i="6"/>
  <c r="AV122" i="6"/>
  <c r="AV123" i="6"/>
  <c r="AV124" i="6"/>
  <c r="AV125" i="6"/>
  <c r="AV126" i="6"/>
  <c r="AV127" i="6"/>
  <c r="AV128" i="6"/>
  <c r="AV129" i="6"/>
  <c r="AV130" i="6"/>
  <c r="AV131" i="6"/>
  <c r="AV132" i="6"/>
  <c r="AV133" i="6"/>
  <c r="AV134" i="6"/>
  <c r="AV135" i="6"/>
  <c r="AV136" i="6"/>
  <c r="AV137" i="6"/>
  <c r="AV138" i="6"/>
  <c r="AV139" i="6"/>
  <c r="AV140" i="6"/>
  <c r="AV141" i="6"/>
  <c r="AV142" i="6"/>
  <c r="AV143" i="6"/>
  <c r="AV144" i="6"/>
  <c r="AV145" i="6"/>
  <c r="AV146" i="6"/>
  <c r="AV147" i="6"/>
  <c r="AV148" i="6"/>
  <c r="AV149" i="6"/>
  <c r="AV151" i="6"/>
  <c r="AV152" i="6"/>
  <c r="AV153" i="6"/>
  <c r="AV154" i="6"/>
  <c r="AV155" i="6"/>
  <c r="AV156" i="6"/>
  <c r="AV157" i="6"/>
  <c r="AV158" i="6"/>
  <c r="AV159" i="6"/>
  <c r="AV160" i="6"/>
  <c r="AV162" i="6"/>
  <c r="AV163" i="6"/>
  <c r="AV164" i="6"/>
  <c r="AV170" i="6"/>
  <c r="AV171" i="6"/>
  <c r="AV175" i="6"/>
  <c r="AV176" i="6"/>
  <c r="AV177" i="6"/>
  <c r="AV178" i="6"/>
  <c r="AV180" i="6"/>
  <c r="AV181" i="6"/>
  <c r="AV182" i="6"/>
  <c r="AV183" i="6"/>
  <c r="AV184" i="6"/>
  <c r="AV185" i="6"/>
  <c r="AV189" i="6"/>
  <c r="AV192" i="6"/>
  <c r="AV193" i="6"/>
  <c r="AV194" i="6"/>
  <c r="AV195" i="6"/>
  <c r="AV196" i="6"/>
  <c r="AV197" i="6"/>
  <c r="AV198" i="6"/>
  <c r="AV199" i="6"/>
  <c r="AV200" i="6"/>
  <c r="AV201" i="6"/>
  <c r="AV202" i="6"/>
  <c r="AV204" i="6"/>
  <c r="AV205" i="6"/>
  <c r="AV206" i="6"/>
  <c r="AV207" i="6"/>
  <c r="AV208" i="6"/>
  <c r="AV214" i="6"/>
  <c r="AV215" i="6"/>
  <c r="AV216" i="6"/>
  <c r="AV188" i="6"/>
  <c r="AV172" i="6"/>
  <c r="AV174" i="6"/>
  <c r="AV203" i="6"/>
  <c r="AV209" i="6"/>
  <c r="AV9" i="6"/>
  <c r="AV14" i="6"/>
  <c r="AV15" i="6"/>
  <c r="AV16" i="6"/>
  <c r="AV22" i="6"/>
  <c r="AV38" i="6"/>
  <c r="AV39" i="6"/>
  <c r="AV49" i="6"/>
  <c r="AV110" i="6"/>
  <c r="AV150" i="6"/>
  <c r="AV161" i="6"/>
  <c r="AV165" i="6"/>
  <c r="AV173" i="6"/>
  <c r="AV179" i="6"/>
  <c r="AV210" i="6"/>
  <c r="AV217" i="6"/>
  <c r="AV221" i="6"/>
  <c r="AV222" i="6"/>
  <c r="AV223" i="6"/>
  <c r="AW166" i="6"/>
  <c r="AW167" i="6"/>
  <c r="AW168" i="6"/>
  <c r="AW169" i="6"/>
  <c r="AW4" i="6"/>
  <c r="AW5" i="6"/>
  <c r="AW6" i="6"/>
  <c r="AW7" i="6"/>
  <c r="AW8" i="6"/>
  <c r="AW10" i="6"/>
  <c r="AW11" i="6"/>
  <c r="AW12" i="6"/>
  <c r="AW13" i="6"/>
  <c r="AW17" i="6"/>
  <c r="AW18" i="6"/>
  <c r="AW19" i="6"/>
  <c r="AW20" i="6"/>
  <c r="AW21" i="6"/>
  <c r="AW23" i="6"/>
  <c r="AW24" i="6"/>
  <c r="AW25" i="6"/>
  <c r="AW26" i="6"/>
  <c r="AW27" i="6"/>
  <c r="AW28" i="6"/>
  <c r="AW29" i="6"/>
  <c r="AW30" i="6"/>
  <c r="AW31" i="6"/>
  <c r="AW32" i="6"/>
  <c r="AW33" i="6"/>
  <c r="AW34" i="6"/>
  <c r="AW35" i="6"/>
  <c r="AW36" i="6"/>
  <c r="AW37" i="6"/>
  <c r="AW40" i="6"/>
  <c r="AW41" i="6"/>
  <c r="AW42" i="6"/>
  <c r="AW43" i="6"/>
  <c r="Y44" i="6"/>
  <c r="AW44" i="6" s="1"/>
  <c r="AW45" i="6"/>
  <c r="AW46" i="6"/>
  <c r="AW47" i="6"/>
  <c r="AW48" i="6"/>
  <c r="AW50" i="6"/>
  <c r="AW51" i="6"/>
  <c r="AW52" i="6"/>
  <c r="AW53" i="6"/>
  <c r="AW54" i="6"/>
  <c r="AW55" i="6"/>
  <c r="AW56" i="6"/>
  <c r="AW57" i="6"/>
  <c r="AW58" i="6"/>
  <c r="AW59" i="6"/>
  <c r="AW60" i="6"/>
  <c r="AW61" i="6"/>
  <c r="AW62" i="6"/>
  <c r="AW63" i="6"/>
  <c r="AW64" i="6"/>
  <c r="AW65" i="6"/>
  <c r="AW66" i="6"/>
  <c r="AW67" i="6"/>
  <c r="AW68" i="6"/>
  <c r="AW69" i="6"/>
  <c r="AW70" i="6"/>
  <c r="AW71" i="6"/>
  <c r="AW72" i="6"/>
  <c r="AW73" i="6"/>
  <c r="AW74" i="6"/>
  <c r="AW75" i="6"/>
  <c r="AW76" i="6"/>
  <c r="AW77" i="6"/>
  <c r="AW78" i="6"/>
  <c r="AW80" i="6"/>
  <c r="AW81" i="6"/>
  <c r="AW82" i="6"/>
  <c r="AW83" i="6"/>
  <c r="AW84" i="6"/>
  <c r="AW85" i="6"/>
  <c r="AW86" i="6"/>
  <c r="AW87" i="6"/>
  <c r="AW88" i="6"/>
  <c r="AW89" i="6"/>
  <c r="AW90" i="6"/>
  <c r="AW91" i="6"/>
  <c r="AW92" i="6"/>
  <c r="AW93" i="6"/>
  <c r="AW94" i="6"/>
  <c r="AW95" i="6"/>
  <c r="AW96" i="6"/>
  <c r="AW97" i="6"/>
  <c r="AW98" i="6"/>
  <c r="AW99" i="6"/>
  <c r="AW100" i="6"/>
  <c r="AW101" i="6"/>
  <c r="AW102" i="6"/>
  <c r="AW103" i="6"/>
  <c r="AW104" i="6"/>
  <c r="AW105" i="6"/>
  <c r="AW106" i="6"/>
  <c r="AW107" i="6"/>
  <c r="AW108" i="6"/>
  <c r="AW109" i="6"/>
  <c r="AW111" i="6"/>
  <c r="AW112" i="6"/>
  <c r="AW113" i="6"/>
  <c r="AW114" i="6"/>
  <c r="AW115" i="6"/>
  <c r="AW116" i="6"/>
  <c r="AW117" i="6"/>
  <c r="AW118" i="6"/>
  <c r="AW119" i="6"/>
  <c r="AW120" i="6"/>
  <c r="AW121" i="6"/>
  <c r="AW122" i="6"/>
  <c r="AW123" i="6"/>
  <c r="AW124" i="6"/>
  <c r="AW125" i="6"/>
  <c r="AW126" i="6"/>
  <c r="AW127" i="6"/>
  <c r="AW128" i="6"/>
  <c r="AW129" i="6"/>
  <c r="AW130" i="6"/>
  <c r="AW131" i="6"/>
  <c r="AW132" i="6"/>
  <c r="AW133" i="6"/>
  <c r="AW134" i="6"/>
  <c r="AW135" i="6"/>
  <c r="AW136" i="6"/>
  <c r="AW137" i="6"/>
  <c r="AW138" i="6"/>
  <c r="AW139" i="6"/>
  <c r="AW140" i="6"/>
  <c r="AW141" i="6"/>
  <c r="AW142" i="6"/>
  <c r="AW143" i="6"/>
  <c r="AW144" i="6"/>
  <c r="AW145" i="6"/>
  <c r="AW146" i="6"/>
  <c r="AW147" i="6"/>
  <c r="AW148" i="6"/>
  <c r="AW149" i="6"/>
  <c r="AW151" i="6"/>
  <c r="AW152" i="6"/>
  <c r="AW153" i="6"/>
  <c r="AW154" i="6"/>
  <c r="AW155" i="6"/>
  <c r="AW156" i="6"/>
  <c r="AW157" i="6"/>
  <c r="AW158" i="6"/>
  <c r="AW159" i="6"/>
  <c r="AW160" i="6"/>
  <c r="AW162" i="6"/>
  <c r="AW163" i="6"/>
  <c r="AW164" i="6"/>
  <c r="AW170" i="6"/>
  <c r="AW171" i="6"/>
  <c r="AW175" i="6"/>
  <c r="AW176" i="6"/>
  <c r="AW177" i="6"/>
  <c r="AW178" i="6"/>
  <c r="AW180" i="6"/>
  <c r="AW181" i="6"/>
  <c r="AW182" i="6"/>
  <c r="AW183" i="6"/>
  <c r="AW184" i="6"/>
  <c r="AW185" i="6"/>
  <c r="AW189" i="6"/>
  <c r="AW192" i="6"/>
  <c r="AW193" i="6"/>
  <c r="AW194" i="6"/>
  <c r="AW195" i="6"/>
  <c r="AW196" i="6"/>
  <c r="AW197" i="6"/>
  <c r="AW198" i="6"/>
  <c r="AW199" i="6"/>
  <c r="AW200" i="6"/>
  <c r="AW201" i="6"/>
  <c r="AW202" i="6"/>
  <c r="AW204" i="6"/>
  <c r="AW205" i="6"/>
  <c r="AW206" i="6"/>
  <c r="AW207" i="6"/>
  <c r="AW208" i="6"/>
  <c r="AW214" i="6"/>
  <c r="AW215" i="6"/>
  <c r="AW216" i="6"/>
  <c r="AW188" i="6"/>
  <c r="AW172" i="6"/>
  <c r="AW174" i="6"/>
  <c r="AW203" i="6"/>
  <c r="AW209" i="6"/>
  <c r="AW9" i="6"/>
  <c r="AW14" i="6"/>
  <c r="AW15" i="6"/>
  <c r="AW16" i="6"/>
  <c r="AW22" i="6"/>
  <c r="AW38" i="6"/>
  <c r="AW39" i="6"/>
  <c r="AW49" i="6"/>
  <c r="AW110" i="6"/>
  <c r="AW150" i="6"/>
  <c r="AW161" i="6"/>
  <c r="AW165" i="6"/>
  <c r="AW173" i="6"/>
  <c r="AW179" i="6"/>
  <c r="AW210" i="6"/>
  <c r="AW217" i="6"/>
  <c r="AW221" i="6"/>
  <c r="AW222" i="6"/>
  <c r="AW223" i="6"/>
  <c r="AW224" i="6"/>
  <c r="AY224" i="6"/>
  <c r="BV224" i="6" s="1"/>
  <c r="BV250" i="6" s="1"/>
  <c r="AB224" i="6"/>
  <c r="AC224" i="6" s="1"/>
  <c r="AC260" i="6" s="1"/>
  <c r="AX224" i="6"/>
  <c r="AY199" i="6"/>
  <c r="AX161" i="6"/>
  <c r="AY161" i="6"/>
  <c r="AZ161" i="6"/>
  <c r="BZ161" i="6"/>
  <c r="BV161" i="6"/>
  <c r="BW161" i="6"/>
  <c r="AC161" i="6"/>
  <c r="AY114" i="6"/>
  <c r="AY115" i="6"/>
  <c r="AY116" i="6"/>
  <c r="AY118" i="6"/>
  <c r="AY4" i="6"/>
  <c r="AY5" i="6"/>
  <c r="AY250" i="6" s="1"/>
  <c r="AY253" i="6" s="1"/>
  <c r="AY6" i="6"/>
  <c r="AY7" i="6"/>
  <c r="AY8" i="6"/>
  <c r="AY9" i="6"/>
  <c r="AY10" i="6"/>
  <c r="AY11" i="6"/>
  <c r="AY12" i="6"/>
  <c r="AY13" i="6"/>
  <c r="AY14" i="6"/>
  <c r="AY15" i="6"/>
  <c r="AY16" i="6"/>
  <c r="AY17" i="6"/>
  <c r="AY18" i="6"/>
  <c r="AY19" i="6"/>
  <c r="AY20" i="6"/>
  <c r="AY21" i="6"/>
  <c r="AY22" i="6"/>
  <c r="AY23" i="6"/>
  <c r="AY24" i="6"/>
  <c r="AY25" i="6"/>
  <c r="AY26" i="6"/>
  <c r="AY27" i="6"/>
  <c r="AY28" i="6"/>
  <c r="AY29" i="6"/>
  <c r="AY30" i="6"/>
  <c r="AY31" i="6"/>
  <c r="AY32" i="6"/>
  <c r="AY33" i="6"/>
  <c r="AY34" i="6"/>
  <c r="AY35" i="6"/>
  <c r="AY36" i="6"/>
  <c r="AY37" i="6"/>
  <c r="AY38" i="6"/>
  <c r="AY39" i="6"/>
  <c r="AY40" i="6"/>
  <c r="AY41" i="6"/>
  <c r="AY42" i="6"/>
  <c r="AY43" i="6"/>
  <c r="AY44" i="6"/>
  <c r="AY45" i="6"/>
  <c r="AY46" i="6"/>
  <c r="AY47" i="6"/>
  <c r="AY48" i="6"/>
  <c r="AY49" i="6"/>
  <c r="AY50" i="6"/>
  <c r="AY51" i="6"/>
  <c r="AY52" i="6"/>
  <c r="AY53" i="6"/>
  <c r="AY54" i="6"/>
  <c r="AY55" i="6"/>
  <c r="AY56" i="6"/>
  <c r="AY57" i="6"/>
  <c r="AY58" i="6"/>
  <c r="AY59" i="6"/>
  <c r="AY60" i="6"/>
  <c r="AY61" i="6"/>
  <c r="AY62" i="6"/>
  <c r="AY63" i="6"/>
  <c r="AY64" i="6"/>
  <c r="AY65" i="6"/>
  <c r="AY66" i="6"/>
  <c r="AY67" i="6"/>
  <c r="AY68" i="6"/>
  <c r="AY69" i="6"/>
  <c r="AY70" i="6"/>
  <c r="AY71" i="6"/>
  <c r="AY72" i="6"/>
  <c r="AY73" i="6"/>
  <c r="AY74" i="6"/>
  <c r="AY75" i="6"/>
  <c r="AY76" i="6"/>
  <c r="AY77" i="6"/>
  <c r="AY78" i="6"/>
  <c r="AY79" i="6"/>
  <c r="AY80" i="6"/>
  <c r="AY81" i="6"/>
  <c r="AY82" i="6"/>
  <c r="AY83" i="6"/>
  <c r="AY84" i="6"/>
  <c r="AY85" i="6"/>
  <c r="AY86" i="6"/>
  <c r="AY87" i="6"/>
  <c r="AY88" i="6"/>
  <c r="AY89" i="6"/>
  <c r="AY90" i="6"/>
  <c r="AY91" i="6"/>
  <c r="AY92" i="6"/>
  <c r="AY93" i="6"/>
  <c r="AY94" i="6"/>
  <c r="AY95" i="6"/>
  <c r="AY96" i="6"/>
  <c r="AY97" i="6"/>
  <c r="AY98" i="6"/>
  <c r="AY99" i="6"/>
  <c r="AY100" i="6"/>
  <c r="AY101" i="6"/>
  <c r="AY102" i="6"/>
  <c r="AY103" i="6"/>
  <c r="AY104" i="6"/>
  <c r="AY105" i="6"/>
  <c r="AY106" i="6"/>
  <c r="AY107" i="6"/>
  <c r="AY108" i="6"/>
  <c r="AY109" i="6"/>
  <c r="AY110" i="6"/>
  <c r="AY111" i="6"/>
  <c r="AY112" i="6"/>
  <c r="AY113" i="6"/>
  <c r="AY117" i="6"/>
  <c r="AY119" i="6"/>
  <c r="AY120" i="6"/>
  <c r="AY121" i="6"/>
  <c r="AY122" i="6"/>
  <c r="AY123" i="6"/>
  <c r="AY124" i="6"/>
  <c r="AY125" i="6"/>
  <c r="AY126" i="6"/>
  <c r="AY127" i="6"/>
  <c r="AY128" i="6"/>
  <c r="AY129" i="6"/>
  <c r="AY130" i="6"/>
  <c r="AY131" i="6"/>
  <c r="AY132" i="6"/>
  <c r="AY133" i="6"/>
  <c r="AY134" i="6"/>
  <c r="AY135" i="6"/>
  <c r="AY136" i="6"/>
  <c r="AY137" i="6"/>
  <c r="AY138" i="6"/>
  <c r="AY139" i="6"/>
  <c r="AY140" i="6"/>
  <c r="AY141" i="6"/>
  <c r="AY142" i="6"/>
  <c r="AY143" i="6"/>
  <c r="AY144" i="6"/>
  <c r="AY145" i="6"/>
  <c r="AY146" i="6"/>
  <c r="AY147" i="6"/>
  <c r="AY148" i="6"/>
  <c r="AY149" i="6"/>
  <c r="AY150" i="6"/>
  <c r="AY151" i="6"/>
  <c r="AY152" i="6"/>
  <c r="AY153" i="6"/>
  <c r="AY154" i="6"/>
  <c r="AY155" i="6"/>
  <c r="AY156" i="6"/>
  <c r="AY157" i="6"/>
  <c r="AY158" i="6"/>
  <c r="AY159" i="6"/>
  <c r="AY160" i="6"/>
  <c r="AY162" i="6"/>
  <c r="AY163" i="6"/>
  <c r="AY164" i="6"/>
  <c r="AY165" i="6"/>
  <c r="AY166" i="6"/>
  <c r="AY167" i="6"/>
  <c r="AY168" i="6"/>
  <c r="AY169" i="6"/>
  <c r="AY170" i="6"/>
  <c r="AY171" i="6"/>
  <c r="AY172" i="6"/>
  <c r="AY173" i="6"/>
  <c r="AY174" i="6"/>
  <c r="AY175" i="6"/>
  <c r="AY176" i="6"/>
  <c r="AY177" i="6"/>
  <c r="AY178" i="6"/>
  <c r="AY179" i="6"/>
  <c r="AY180" i="6"/>
  <c r="AY181" i="6"/>
  <c r="AY182" i="6"/>
  <c r="AY183" i="6"/>
  <c r="AY184" i="6"/>
  <c r="AY185" i="6"/>
  <c r="AY188" i="6"/>
  <c r="AY189" i="6"/>
  <c r="AY192" i="6"/>
  <c r="AY193" i="6"/>
  <c r="AA194" i="6"/>
  <c r="AY194" i="6" s="1"/>
  <c r="I25" i="2" s="1"/>
  <c r="AA195" i="6"/>
  <c r="AY195" i="6" s="1"/>
  <c r="AY196" i="6"/>
  <c r="AY197" i="6"/>
  <c r="AY198" i="6"/>
  <c r="AY200" i="6"/>
  <c r="AY201" i="6"/>
  <c r="AY202" i="6"/>
  <c r="AY203" i="6"/>
  <c r="AY204" i="6"/>
  <c r="AY205" i="6"/>
  <c r="AY206" i="6"/>
  <c r="AY207" i="6"/>
  <c r="AY208" i="6"/>
  <c r="AY209" i="6"/>
  <c r="AY210" i="6"/>
  <c r="AY214" i="6"/>
  <c r="AY215" i="6"/>
  <c r="AY216" i="6"/>
  <c r="AY217" i="6"/>
  <c r="AY220" i="6"/>
  <c r="AY221" i="6"/>
  <c r="AY222" i="6"/>
  <c r="AY223" i="6"/>
  <c r="AX110" i="6"/>
  <c r="AZ110" i="6"/>
  <c r="BV110" i="6"/>
  <c r="BW110" i="6"/>
  <c r="BY110" i="6"/>
  <c r="AC110" i="6"/>
  <c r="AX109" i="6"/>
  <c r="AZ109" i="6"/>
  <c r="BV109" i="6"/>
  <c r="BW109" i="6"/>
  <c r="AC109" i="6"/>
  <c r="AX108" i="6"/>
  <c r="AZ108" i="6"/>
  <c r="BV108" i="6"/>
  <c r="BW108" i="6"/>
  <c r="AC108" i="6"/>
  <c r="AX107" i="6"/>
  <c r="AZ107" i="6"/>
  <c r="BZ107" i="6"/>
  <c r="BV107" i="6"/>
  <c r="BW107" i="6"/>
  <c r="AC107" i="6"/>
  <c r="AX106" i="6"/>
  <c r="AZ106" i="6"/>
  <c r="BV106" i="6"/>
  <c r="BW106" i="6"/>
  <c r="AC106" i="6"/>
  <c r="AX105" i="6"/>
  <c r="AZ105" i="6"/>
  <c r="BV105" i="6"/>
  <c r="BW105" i="6"/>
  <c r="AC105" i="6"/>
  <c r="C31" i="2"/>
  <c r="BV46" i="6"/>
  <c r="BV47" i="6"/>
  <c r="BV48" i="6"/>
  <c r="BV49" i="6"/>
  <c r="BV4" i="6"/>
  <c r="BV5" i="6"/>
  <c r="BV6" i="6"/>
  <c r="BV7" i="6"/>
  <c r="BV8" i="6"/>
  <c r="BV9" i="6"/>
  <c r="BV10" i="6"/>
  <c r="BV11" i="6"/>
  <c r="BV12" i="6"/>
  <c r="BV13" i="6"/>
  <c r="BV14" i="6"/>
  <c r="BV15" i="6"/>
  <c r="BV16" i="6"/>
  <c r="BV17" i="6"/>
  <c r="BV18" i="6"/>
  <c r="BV19" i="6"/>
  <c r="BV20" i="6"/>
  <c r="BV21" i="6"/>
  <c r="BV22" i="6"/>
  <c r="BV23" i="6"/>
  <c r="BV24" i="6"/>
  <c r="BV25" i="6"/>
  <c r="BV26" i="6"/>
  <c r="BV27" i="6"/>
  <c r="BV28" i="6"/>
  <c r="BV29" i="6"/>
  <c r="BV30" i="6"/>
  <c r="BV31" i="6"/>
  <c r="BV32" i="6"/>
  <c r="BV33" i="6"/>
  <c r="BV34" i="6"/>
  <c r="BV35" i="6"/>
  <c r="BV36" i="6"/>
  <c r="BV37" i="6"/>
  <c r="BV38" i="6"/>
  <c r="BV40" i="6"/>
  <c r="BV41" i="6"/>
  <c r="BV42" i="6"/>
  <c r="BV43" i="6"/>
  <c r="BV44" i="6"/>
  <c r="BV45" i="6"/>
  <c r="BV50" i="6"/>
  <c r="BV51" i="6"/>
  <c r="BV52" i="6"/>
  <c r="BV53" i="6"/>
  <c r="BV54" i="6"/>
  <c r="BV55" i="6"/>
  <c r="BV56" i="6"/>
  <c r="BV57" i="6"/>
  <c r="BV58" i="6"/>
  <c r="BV59" i="6"/>
  <c r="BV60" i="6"/>
  <c r="BV61" i="6"/>
  <c r="BV62" i="6"/>
  <c r="BV63" i="6"/>
  <c r="BV64" i="6"/>
  <c r="BV65" i="6"/>
  <c r="BV66" i="6"/>
  <c r="BV67" i="6"/>
  <c r="BV68" i="6"/>
  <c r="BV69" i="6"/>
  <c r="BV70" i="6"/>
  <c r="BV71" i="6"/>
  <c r="BV72" i="6"/>
  <c r="BV73" i="6"/>
  <c r="BV74" i="6"/>
  <c r="BV75" i="6"/>
  <c r="BV76" i="6"/>
  <c r="BV77" i="6"/>
  <c r="BV78" i="6"/>
  <c r="BV79" i="6"/>
  <c r="BV80" i="6"/>
  <c r="BV81" i="6"/>
  <c r="BV82" i="6"/>
  <c r="BV83" i="6"/>
  <c r="BV84" i="6"/>
  <c r="BV85" i="6"/>
  <c r="BV86" i="6"/>
  <c r="BV87" i="6"/>
  <c r="BV88" i="6"/>
  <c r="BV89" i="6"/>
  <c r="BV90" i="6"/>
  <c r="BV91" i="6"/>
  <c r="BV92" i="6"/>
  <c r="BV93" i="6"/>
  <c r="BV94" i="6"/>
  <c r="BV95" i="6"/>
  <c r="BV96" i="6"/>
  <c r="BV97" i="6"/>
  <c r="BV98" i="6"/>
  <c r="BV99" i="6"/>
  <c r="BV100" i="6"/>
  <c r="BV101" i="6"/>
  <c r="BV102" i="6"/>
  <c r="BV103" i="6"/>
  <c r="BV104" i="6"/>
  <c r="BV111" i="6"/>
  <c r="BV112" i="6"/>
  <c r="BV113" i="6"/>
  <c r="BV114" i="6"/>
  <c r="BV115" i="6"/>
  <c r="BV116" i="6"/>
  <c r="BV117" i="6"/>
  <c r="BV118" i="6"/>
  <c r="BV119" i="6"/>
  <c r="BV120" i="6"/>
  <c r="BV121" i="6"/>
  <c r="BV122" i="6"/>
  <c r="BV123" i="6"/>
  <c r="BV124" i="6"/>
  <c r="BV125" i="6"/>
  <c r="BV126" i="6"/>
  <c r="BV127" i="6"/>
  <c r="BV128" i="6"/>
  <c r="BV129" i="6"/>
  <c r="BV130" i="6"/>
  <c r="BV131" i="6"/>
  <c r="BV132" i="6"/>
  <c r="BV133" i="6"/>
  <c r="BV134" i="6"/>
  <c r="BV135" i="6"/>
  <c r="BV136" i="6"/>
  <c r="BV137" i="6"/>
  <c r="BV138" i="6"/>
  <c r="BV139" i="6"/>
  <c r="BV140" i="6"/>
  <c r="BV141" i="6"/>
  <c r="BV142" i="6"/>
  <c r="BV143" i="6"/>
  <c r="BV144" i="6"/>
  <c r="BV145" i="6"/>
  <c r="BV146" i="6"/>
  <c r="BV147" i="6"/>
  <c r="BV148" i="6"/>
  <c r="BV149" i="6"/>
  <c r="BV151" i="6"/>
  <c r="BV152" i="6"/>
  <c r="BV153" i="6"/>
  <c r="BV154" i="6"/>
  <c r="BV155" i="6"/>
  <c r="BV156" i="6"/>
  <c r="BV157" i="6"/>
  <c r="BV158" i="6"/>
  <c r="BV159" i="6"/>
  <c r="BV160" i="6"/>
  <c r="BV162" i="6"/>
  <c r="BV163" i="6"/>
  <c r="BV164" i="6"/>
  <c r="BV165" i="6"/>
  <c r="BV166" i="6"/>
  <c r="BV167" i="6"/>
  <c r="BV168" i="6"/>
  <c r="BV169" i="6"/>
  <c r="BV170" i="6"/>
  <c r="BV172" i="6"/>
  <c r="BV174" i="6"/>
  <c r="BV175" i="6"/>
  <c r="BV176" i="6"/>
  <c r="BV177" i="6"/>
  <c r="BV178" i="6"/>
  <c r="BV179" i="6"/>
  <c r="BV180" i="6"/>
  <c r="BV181" i="6"/>
  <c r="BV182" i="6"/>
  <c r="BV183" i="6"/>
  <c r="BV184" i="6"/>
  <c r="BV185" i="6"/>
  <c r="BV189" i="6"/>
  <c r="BV192" i="6"/>
  <c r="BV193" i="6"/>
  <c r="BV195" i="6"/>
  <c r="BV197" i="6"/>
  <c r="BV198" i="6"/>
  <c r="BV203" i="6"/>
  <c r="BV206" i="6"/>
  <c r="BV207" i="6"/>
  <c r="BV208" i="6"/>
  <c r="BV209" i="6"/>
  <c r="BV210" i="6"/>
  <c r="BV214" i="6"/>
  <c r="BV215" i="6"/>
  <c r="BV216" i="6"/>
  <c r="BV220" i="6"/>
  <c r="BV221" i="6"/>
  <c r="BV222" i="6"/>
  <c r="BV223" i="6"/>
  <c r="I24" i="1"/>
  <c r="BW46" i="6"/>
  <c r="BW47" i="6"/>
  <c r="BW48" i="6"/>
  <c r="BW49" i="6"/>
  <c r="BW4" i="6"/>
  <c r="BW5" i="6"/>
  <c r="BW6" i="6"/>
  <c r="BW7" i="6"/>
  <c r="BW8" i="6"/>
  <c r="BW9" i="6"/>
  <c r="BW10" i="6"/>
  <c r="BW11" i="6"/>
  <c r="BW12" i="6"/>
  <c r="BW13" i="6"/>
  <c r="BW14" i="6"/>
  <c r="BW15" i="6"/>
  <c r="BW16" i="6"/>
  <c r="BW17" i="6"/>
  <c r="BW18" i="6"/>
  <c r="BW19" i="6"/>
  <c r="BW20" i="6"/>
  <c r="BW21" i="6"/>
  <c r="BW22" i="6"/>
  <c r="BW23" i="6"/>
  <c r="BW24" i="6"/>
  <c r="BW25" i="6"/>
  <c r="BW26" i="6"/>
  <c r="BW27" i="6"/>
  <c r="BW28" i="6"/>
  <c r="BW29" i="6"/>
  <c r="BW30" i="6"/>
  <c r="BW31" i="6"/>
  <c r="BW32" i="6"/>
  <c r="BW33" i="6"/>
  <c r="BW34" i="6"/>
  <c r="BW35" i="6"/>
  <c r="BW36" i="6"/>
  <c r="BW37" i="6"/>
  <c r="BW38" i="6"/>
  <c r="BW39" i="6"/>
  <c r="BW40" i="6"/>
  <c r="BW41" i="6"/>
  <c r="BW42" i="6"/>
  <c r="BW43" i="6"/>
  <c r="BW44" i="6"/>
  <c r="BW45" i="6"/>
  <c r="BW50" i="6"/>
  <c r="BW51" i="6"/>
  <c r="BW52" i="6"/>
  <c r="BW53" i="6"/>
  <c r="BW54" i="6"/>
  <c r="BW55" i="6"/>
  <c r="BW56" i="6"/>
  <c r="BW57" i="6"/>
  <c r="BW58" i="6"/>
  <c r="BW59" i="6"/>
  <c r="BW60" i="6"/>
  <c r="BW61" i="6"/>
  <c r="BW62" i="6"/>
  <c r="BW63" i="6"/>
  <c r="BW64" i="6"/>
  <c r="BW65" i="6"/>
  <c r="BW66" i="6"/>
  <c r="BW67" i="6"/>
  <c r="BW68" i="6"/>
  <c r="BW69" i="6"/>
  <c r="BW70" i="6"/>
  <c r="BW71" i="6"/>
  <c r="BW72" i="6"/>
  <c r="BW73" i="6"/>
  <c r="BW74" i="6"/>
  <c r="BW75" i="6"/>
  <c r="BW76" i="6"/>
  <c r="BW77" i="6"/>
  <c r="BW78" i="6"/>
  <c r="BW79" i="6"/>
  <c r="BW80" i="6"/>
  <c r="BW81" i="6"/>
  <c r="BW82" i="6"/>
  <c r="BW83" i="6"/>
  <c r="BW84" i="6"/>
  <c r="BW85" i="6"/>
  <c r="BW86" i="6"/>
  <c r="BW87" i="6"/>
  <c r="BW88" i="6"/>
  <c r="BW89" i="6"/>
  <c r="BW90" i="6"/>
  <c r="BW91" i="6"/>
  <c r="BW92" i="6"/>
  <c r="BW93" i="6"/>
  <c r="BW94" i="6"/>
  <c r="BW95" i="6"/>
  <c r="BW96" i="6"/>
  <c r="BW97" i="6"/>
  <c r="BW98" i="6"/>
  <c r="BW99" i="6"/>
  <c r="BW100" i="6"/>
  <c r="BW101" i="6"/>
  <c r="BW102" i="6"/>
  <c r="BW103" i="6"/>
  <c r="BW104" i="6"/>
  <c r="BW111" i="6"/>
  <c r="BW112" i="6"/>
  <c r="BW113" i="6"/>
  <c r="BW114" i="6"/>
  <c r="BW115" i="6"/>
  <c r="BW116" i="6"/>
  <c r="BW117" i="6"/>
  <c r="BW118" i="6"/>
  <c r="BW119" i="6"/>
  <c r="BW120" i="6"/>
  <c r="BW121" i="6"/>
  <c r="BW122" i="6"/>
  <c r="BW123" i="6"/>
  <c r="BW124" i="6"/>
  <c r="BW125" i="6"/>
  <c r="BW126" i="6"/>
  <c r="BW127" i="6"/>
  <c r="BW128" i="6"/>
  <c r="BW129" i="6"/>
  <c r="BW130" i="6"/>
  <c r="BW131" i="6"/>
  <c r="BW132" i="6"/>
  <c r="BW133" i="6"/>
  <c r="BW134" i="6"/>
  <c r="BW135" i="6"/>
  <c r="BW136" i="6"/>
  <c r="BW137" i="6"/>
  <c r="BW138" i="6"/>
  <c r="BW139" i="6"/>
  <c r="BW140" i="6"/>
  <c r="BW141" i="6"/>
  <c r="BW142" i="6"/>
  <c r="BW143" i="6"/>
  <c r="BW144" i="6"/>
  <c r="BW145" i="6"/>
  <c r="BW146" i="6"/>
  <c r="BW147" i="6"/>
  <c r="BW148" i="6"/>
  <c r="BW149" i="6"/>
  <c r="BW150" i="6"/>
  <c r="BW151" i="6"/>
  <c r="BW152" i="6"/>
  <c r="BW153" i="6"/>
  <c r="BW154" i="6"/>
  <c r="BW155" i="6"/>
  <c r="BW156" i="6"/>
  <c r="BW157" i="6"/>
  <c r="BW158" i="6"/>
  <c r="BW159" i="6"/>
  <c r="BW160" i="6"/>
  <c r="BW162" i="6"/>
  <c r="BW163" i="6"/>
  <c r="BW164" i="6"/>
  <c r="BW165" i="6"/>
  <c r="BW166" i="6"/>
  <c r="BW167" i="6"/>
  <c r="BW168" i="6"/>
  <c r="BW169" i="6"/>
  <c r="BW170" i="6"/>
  <c r="BW172" i="6"/>
  <c r="BW174" i="6"/>
  <c r="BW175" i="6"/>
  <c r="BW176" i="6"/>
  <c r="BW177" i="6"/>
  <c r="BW178" i="6"/>
  <c r="BW179" i="6"/>
  <c r="BW180" i="6"/>
  <c r="BW181" i="6"/>
  <c r="BW182" i="6"/>
  <c r="BW183" i="6"/>
  <c r="BW184" i="6"/>
  <c r="BW185" i="6"/>
  <c r="BW189" i="6"/>
  <c r="BW192" i="6"/>
  <c r="BW193" i="6"/>
  <c r="J24" i="1" s="1"/>
  <c r="BW196" i="6"/>
  <c r="BW203" i="6"/>
  <c r="BW206" i="6"/>
  <c r="BW207" i="6"/>
  <c r="BW208" i="6"/>
  <c r="BW209" i="6"/>
  <c r="BW210" i="6"/>
  <c r="BW214" i="6"/>
  <c r="BW215" i="6"/>
  <c r="BW216" i="6"/>
  <c r="AZ220" i="6"/>
  <c r="BW220" i="6"/>
  <c r="BW221" i="6"/>
  <c r="BW222" i="6"/>
  <c r="BW223" i="6"/>
  <c r="AZ224" i="6"/>
  <c r="BW224" i="6" s="1"/>
  <c r="H22" i="1"/>
  <c r="K22" i="1" s="1"/>
  <c r="I22" i="1"/>
  <c r="J22" i="1"/>
  <c r="H23" i="1"/>
  <c r="K23" i="1" s="1"/>
  <c r="I23" i="1"/>
  <c r="J23" i="1"/>
  <c r="AX44" i="6"/>
  <c r="AX45" i="6"/>
  <c r="H24" i="2"/>
  <c r="I24" i="2"/>
  <c r="AZ44" i="6"/>
  <c r="J24" i="2" s="1"/>
  <c r="J23" i="2" s="1"/>
  <c r="AZ45" i="6"/>
  <c r="AB194" i="6"/>
  <c r="AZ194" i="6"/>
  <c r="J25" i="2" s="1"/>
  <c r="AB195" i="6"/>
  <c r="AZ195" i="6"/>
  <c r="AX4" i="6"/>
  <c r="AX5" i="6"/>
  <c r="AX6" i="6"/>
  <c r="AX7" i="6"/>
  <c r="AX8" i="6"/>
  <c r="AX9" i="6"/>
  <c r="AX10" i="6"/>
  <c r="AX11" i="6"/>
  <c r="AX12" i="6"/>
  <c r="AX13" i="6"/>
  <c r="AX14" i="6"/>
  <c r="AX15" i="6"/>
  <c r="BZ15" i="6" s="1"/>
  <c r="AX16" i="6"/>
  <c r="AX17" i="6"/>
  <c r="AX18" i="6"/>
  <c r="AX19" i="6"/>
  <c r="AX20" i="6"/>
  <c r="AX21" i="6"/>
  <c r="AX22" i="6"/>
  <c r="AX23" i="6"/>
  <c r="AX24" i="6"/>
  <c r="AX25" i="6"/>
  <c r="AX26" i="6"/>
  <c r="AX27" i="6"/>
  <c r="AX28" i="6"/>
  <c r="AX29" i="6"/>
  <c r="AX30" i="6"/>
  <c r="AX31" i="6"/>
  <c r="AX32" i="6"/>
  <c r="AX33" i="6"/>
  <c r="AX34" i="6"/>
  <c r="AX35" i="6"/>
  <c r="AX36" i="6"/>
  <c r="AX37" i="6"/>
  <c r="AX38" i="6"/>
  <c r="AX39" i="6"/>
  <c r="BZ39" i="6" s="1"/>
  <c r="AX40" i="6"/>
  <c r="AX41" i="6"/>
  <c r="AX42" i="6"/>
  <c r="AX43" i="6"/>
  <c r="AX46" i="6"/>
  <c r="AX47" i="6"/>
  <c r="AX48" i="6"/>
  <c r="AX49" i="6"/>
  <c r="BZ49" i="6" s="1"/>
  <c r="AX50" i="6"/>
  <c r="AX51" i="6"/>
  <c r="AX52" i="6"/>
  <c r="AX53" i="6"/>
  <c r="AX54" i="6"/>
  <c r="AX55" i="6"/>
  <c r="AX56" i="6"/>
  <c r="AX57" i="6"/>
  <c r="AX58" i="6"/>
  <c r="AX59" i="6"/>
  <c r="AX60" i="6"/>
  <c r="AX61" i="6"/>
  <c r="AX62" i="6"/>
  <c r="AX63" i="6"/>
  <c r="AX64" i="6"/>
  <c r="AX65" i="6"/>
  <c r="AX66" i="6"/>
  <c r="AX67" i="6"/>
  <c r="AX68" i="6"/>
  <c r="AX69" i="6"/>
  <c r="AX70" i="6"/>
  <c r="AX71" i="6"/>
  <c r="AX72" i="6"/>
  <c r="AX73" i="6"/>
  <c r="AX74" i="6"/>
  <c r="AX75" i="6"/>
  <c r="AX76" i="6"/>
  <c r="AX77" i="6"/>
  <c r="AX78" i="6"/>
  <c r="AX79" i="6"/>
  <c r="AX80" i="6"/>
  <c r="AX81" i="6"/>
  <c r="AX82" i="6"/>
  <c r="AX83" i="6"/>
  <c r="AX84" i="6"/>
  <c r="AX85" i="6"/>
  <c r="AX86" i="6"/>
  <c r="AX87" i="6"/>
  <c r="AX88" i="6"/>
  <c r="AX89" i="6"/>
  <c r="AX90" i="6"/>
  <c r="AX91" i="6"/>
  <c r="AX92" i="6"/>
  <c r="AX93" i="6"/>
  <c r="AX94" i="6"/>
  <c r="AX95" i="6"/>
  <c r="AX96" i="6"/>
  <c r="AX97" i="6"/>
  <c r="AX98" i="6"/>
  <c r="AX99" i="6"/>
  <c r="AX100" i="6"/>
  <c r="AX101" i="6"/>
  <c r="AX102" i="6"/>
  <c r="AX103" i="6"/>
  <c r="AX104" i="6"/>
  <c r="AX111" i="6"/>
  <c r="BZ111" i="6" s="1"/>
  <c r="AX112" i="6"/>
  <c r="AX113" i="6"/>
  <c r="AX114" i="6"/>
  <c r="AX115" i="6"/>
  <c r="AX116" i="6"/>
  <c r="AX117" i="6"/>
  <c r="AX118" i="6"/>
  <c r="AX119" i="6"/>
  <c r="AX120" i="6"/>
  <c r="AX121" i="6"/>
  <c r="AX122" i="6"/>
  <c r="AX123" i="6"/>
  <c r="AX124" i="6"/>
  <c r="AX125" i="6"/>
  <c r="AX126" i="6"/>
  <c r="AX127" i="6"/>
  <c r="AX128" i="6"/>
  <c r="AX129" i="6"/>
  <c r="AX130" i="6"/>
  <c r="AX131" i="6"/>
  <c r="AX132" i="6"/>
  <c r="AX133" i="6"/>
  <c r="AX134" i="6"/>
  <c r="AX135" i="6"/>
  <c r="AX136" i="6"/>
  <c r="AX137" i="6"/>
  <c r="AX138" i="6"/>
  <c r="AX139" i="6"/>
  <c r="AX140" i="6"/>
  <c r="AX141" i="6"/>
  <c r="AX142" i="6"/>
  <c r="AX143" i="6"/>
  <c r="AX144" i="6"/>
  <c r="AX145" i="6"/>
  <c r="AX146" i="6"/>
  <c r="AX147" i="6"/>
  <c r="AX148" i="6"/>
  <c r="AX149" i="6"/>
  <c r="AX150" i="6"/>
  <c r="AX151" i="6"/>
  <c r="AX152" i="6"/>
  <c r="AX153" i="6"/>
  <c r="AX154" i="6"/>
  <c r="AX155" i="6"/>
  <c r="AX156" i="6"/>
  <c r="AX157" i="6"/>
  <c r="AX158" i="6"/>
  <c r="AX159" i="6"/>
  <c r="AX160" i="6"/>
  <c r="AX162" i="6"/>
  <c r="AX163" i="6"/>
  <c r="AX164" i="6"/>
  <c r="AX165" i="6"/>
  <c r="AX166" i="6"/>
  <c r="AX167" i="6"/>
  <c r="AX168" i="6"/>
  <c r="AX169" i="6"/>
  <c r="AX170" i="6"/>
  <c r="AX171" i="6"/>
  <c r="AX172" i="6"/>
  <c r="AX173" i="6"/>
  <c r="AX174" i="6"/>
  <c r="AX175" i="6"/>
  <c r="AX176" i="6"/>
  <c r="AX177" i="6"/>
  <c r="AX178" i="6"/>
  <c r="AX179" i="6"/>
  <c r="AX180" i="6"/>
  <c r="AX181" i="6"/>
  <c r="AX182" i="6"/>
  <c r="AX183" i="6"/>
  <c r="AX184" i="6"/>
  <c r="AX185" i="6"/>
  <c r="AX188" i="6"/>
  <c r="AX189" i="6"/>
  <c r="AX192" i="6"/>
  <c r="AX193" i="6"/>
  <c r="Z194" i="6"/>
  <c r="Z250" i="6" s="1"/>
  <c r="Z195" i="6"/>
  <c r="AX195" i="6" s="1"/>
  <c r="AX196" i="6"/>
  <c r="AX197" i="6"/>
  <c r="AX198" i="6"/>
  <c r="AX199" i="6"/>
  <c r="AX200" i="6"/>
  <c r="AX201" i="6"/>
  <c r="AX202" i="6"/>
  <c r="AX203" i="6"/>
  <c r="AX204" i="6"/>
  <c r="AX205" i="6"/>
  <c r="AX206" i="6"/>
  <c r="AX207" i="6"/>
  <c r="AX208" i="6"/>
  <c r="AX209" i="6"/>
  <c r="AX210" i="6"/>
  <c r="BX210" i="6" s="1"/>
  <c r="AX214" i="6"/>
  <c r="AX215" i="6"/>
  <c r="AX216" i="6"/>
  <c r="Z217" i="6"/>
  <c r="AX217" i="6" s="1"/>
  <c r="AX221" i="6"/>
  <c r="AX222" i="6"/>
  <c r="AX223" i="6"/>
  <c r="I26" i="2"/>
  <c r="AZ46" i="6"/>
  <c r="AZ47" i="6"/>
  <c r="AZ48" i="6"/>
  <c r="J26" i="2" s="1"/>
  <c r="K26" i="2" s="1"/>
  <c r="AZ49" i="6"/>
  <c r="AZ4" i="6"/>
  <c r="AZ250" i="6" s="1"/>
  <c r="AZ5" i="6"/>
  <c r="AZ6" i="6"/>
  <c r="AZ7" i="6"/>
  <c r="AZ8" i="6"/>
  <c r="AZ9" i="6"/>
  <c r="AZ10" i="6"/>
  <c r="BX10" i="6" s="1"/>
  <c r="AZ11" i="6"/>
  <c r="AZ12" i="6"/>
  <c r="BZ12" i="6" s="1"/>
  <c r="AZ13" i="6"/>
  <c r="AZ14" i="6"/>
  <c r="AZ15" i="6"/>
  <c r="AZ16" i="6"/>
  <c r="BZ16" i="6" s="1"/>
  <c r="AZ17" i="6"/>
  <c r="AZ18" i="6"/>
  <c r="AZ19" i="6"/>
  <c r="AZ20" i="6"/>
  <c r="AZ21" i="6"/>
  <c r="AZ22" i="6"/>
  <c r="AZ23" i="6"/>
  <c r="AZ24" i="6"/>
  <c r="AZ25" i="6"/>
  <c r="AZ26" i="6"/>
  <c r="AZ27" i="6"/>
  <c r="AZ28" i="6"/>
  <c r="AZ29" i="6"/>
  <c r="AZ30" i="6"/>
  <c r="AZ31" i="6"/>
  <c r="AZ32" i="6"/>
  <c r="AZ33" i="6"/>
  <c r="AZ34" i="6"/>
  <c r="AZ35" i="6"/>
  <c r="AZ36" i="6"/>
  <c r="AZ37" i="6"/>
  <c r="AZ38" i="6"/>
  <c r="AZ39" i="6"/>
  <c r="AZ40" i="6"/>
  <c r="AZ41" i="6"/>
  <c r="AZ42" i="6"/>
  <c r="AZ43" i="6"/>
  <c r="AZ50" i="6"/>
  <c r="AZ51" i="6"/>
  <c r="AZ52" i="6"/>
  <c r="AZ53" i="6"/>
  <c r="AZ54" i="6"/>
  <c r="AZ55" i="6"/>
  <c r="AZ56" i="6"/>
  <c r="AZ57" i="6"/>
  <c r="AZ58" i="6"/>
  <c r="AZ59" i="6"/>
  <c r="AZ60" i="6"/>
  <c r="AZ61" i="6"/>
  <c r="AZ62" i="6"/>
  <c r="AZ63" i="6"/>
  <c r="AZ64" i="6"/>
  <c r="AZ65" i="6"/>
  <c r="AZ66" i="6"/>
  <c r="AZ67" i="6"/>
  <c r="AZ68" i="6"/>
  <c r="AZ69" i="6"/>
  <c r="AZ70" i="6"/>
  <c r="AZ71" i="6"/>
  <c r="AZ72" i="6"/>
  <c r="AZ73" i="6"/>
  <c r="AZ74" i="6"/>
  <c r="AZ75" i="6"/>
  <c r="AZ76" i="6"/>
  <c r="AZ77" i="6"/>
  <c r="AZ78" i="6"/>
  <c r="AZ79" i="6"/>
  <c r="AZ80" i="6"/>
  <c r="AZ81" i="6"/>
  <c r="AZ82" i="6"/>
  <c r="AZ83" i="6"/>
  <c r="AZ84" i="6"/>
  <c r="AZ85" i="6"/>
  <c r="AZ86" i="6"/>
  <c r="AZ87" i="6"/>
  <c r="AZ88" i="6"/>
  <c r="AZ89" i="6"/>
  <c r="AZ90" i="6"/>
  <c r="AZ91" i="6"/>
  <c r="AZ92" i="6"/>
  <c r="AZ93" i="6"/>
  <c r="AZ94" i="6"/>
  <c r="AZ95" i="6"/>
  <c r="AZ96" i="6"/>
  <c r="BX96" i="6" s="1"/>
  <c r="AZ97" i="6"/>
  <c r="AZ98" i="6"/>
  <c r="AZ99" i="6"/>
  <c r="AZ100" i="6"/>
  <c r="AZ101" i="6"/>
  <c r="AZ102" i="6"/>
  <c r="AZ103" i="6"/>
  <c r="AZ104" i="6"/>
  <c r="BX104" i="6" s="1"/>
  <c r="AZ111" i="6"/>
  <c r="AZ112" i="6"/>
  <c r="AZ113" i="6"/>
  <c r="AZ114" i="6"/>
  <c r="AZ115" i="6"/>
  <c r="AZ116" i="6"/>
  <c r="AZ117" i="6"/>
  <c r="AZ118" i="6"/>
  <c r="AZ119" i="6"/>
  <c r="AZ120" i="6"/>
  <c r="AZ121" i="6"/>
  <c r="AZ122" i="6"/>
  <c r="AZ123" i="6"/>
  <c r="AZ124" i="6"/>
  <c r="AZ125" i="6"/>
  <c r="AZ126" i="6"/>
  <c r="AZ127" i="6"/>
  <c r="AZ128" i="6"/>
  <c r="AZ129" i="6"/>
  <c r="AZ130" i="6"/>
  <c r="AZ131" i="6"/>
  <c r="AZ132" i="6"/>
  <c r="AZ133" i="6"/>
  <c r="AZ134" i="6"/>
  <c r="AZ135" i="6"/>
  <c r="AZ136" i="6"/>
  <c r="AZ137" i="6"/>
  <c r="AZ138" i="6"/>
  <c r="AZ139" i="6"/>
  <c r="AZ140" i="6"/>
  <c r="AZ141" i="6"/>
  <c r="AZ142" i="6"/>
  <c r="AZ143" i="6"/>
  <c r="AZ144" i="6"/>
  <c r="AZ145" i="6"/>
  <c r="AZ146" i="6"/>
  <c r="AZ147" i="6"/>
  <c r="AZ148" i="6"/>
  <c r="AZ149" i="6"/>
  <c r="AZ150" i="6"/>
  <c r="BX150" i="6" s="1"/>
  <c r="AZ151" i="6"/>
  <c r="AZ152" i="6"/>
  <c r="AZ153" i="6"/>
  <c r="AZ154" i="6"/>
  <c r="AZ155" i="6"/>
  <c r="AZ156" i="6"/>
  <c r="AZ157" i="6"/>
  <c r="AZ158" i="6"/>
  <c r="AZ159" i="6"/>
  <c r="AZ160" i="6"/>
  <c r="AZ162" i="6"/>
  <c r="AZ163" i="6"/>
  <c r="AZ164" i="6"/>
  <c r="AZ165" i="6"/>
  <c r="AZ166" i="6"/>
  <c r="AZ167" i="6"/>
  <c r="AZ168" i="6"/>
  <c r="AZ169" i="6"/>
  <c r="AZ170" i="6"/>
  <c r="AZ171" i="6"/>
  <c r="AZ172" i="6"/>
  <c r="AZ173" i="6"/>
  <c r="AZ174" i="6"/>
  <c r="AZ175" i="6"/>
  <c r="AZ176" i="6"/>
  <c r="AZ177" i="6"/>
  <c r="AZ178" i="6"/>
  <c r="AZ179" i="6"/>
  <c r="AZ180" i="6"/>
  <c r="AZ181" i="6"/>
  <c r="AZ182" i="6"/>
  <c r="AZ183" i="6"/>
  <c r="AZ184" i="6"/>
  <c r="AZ185" i="6"/>
  <c r="AZ188" i="6"/>
  <c r="AZ189" i="6"/>
  <c r="AZ192" i="6"/>
  <c r="AZ193" i="6"/>
  <c r="AZ196" i="6"/>
  <c r="AZ197" i="6"/>
  <c r="AZ198" i="6"/>
  <c r="AZ199" i="6"/>
  <c r="AZ200" i="6"/>
  <c r="AZ201" i="6"/>
  <c r="AZ202" i="6"/>
  <c r="AZ203" i="6"/>
  <c r="AZ204" i="6"/>
  <c r="AZ205" i="6"/>
  <c r="AZ206" i="6"/>
  <c r="AZ207" i="6"/>
  <c r="AZ208" i="6"/>
  <c r="AZ209" i="6"/>
  <c r="AZ210" i="6"/>
  <c r="AZ214" i="6"/>
  <c r="AZ215" i="6"/>
  <c r="AZ216" i="6"/>
  <c r="AZ217" i="6"/>
  <c r="AZ221" i="6"/>
  <c r="AZ222" i="6"/>
  <c r="AZ223" i="6"/>
  <c r="D18" i="1"/>
  <c r="BY16" i="6"/>
  <c r="BX16" i="6"/>
  <c r="AC16" i="6"/>
  <c r="BH201" i="6"/>
  <c r="BM205" i="6"/>
  <c r="BM250" i="6" s="1"/>
  <c r="BO224" i="6"/>
  <c r="BP217" i="6"/>
  <c r="BP250" i="6" s="1"/>
  <c r="BY15" i="6"/>
  <c r="BX15" i="6"/>
  <c r="AC15" i="6"/>
  <c r="BY12" i="6"/>
  <c r="AC12" i="6"/>
  <c r="BZ11" i="6"/>
  <c r="BY11" i="6"/>
  <c r="BX11" i="6"/>
  <c r="AC11" i="6"/>
  <c r="AC13" i="6"/>
  <c r="BZ13" i="6"/>
  <c r="BY13" i="6"/>
  <c r="BX13" i="6"/>
  <c r="D18" i="7"/>
  <c r="D19" i="7"/>
  <c r="D20" i="7"/>
  <c r="D22" i="7"/>
  <c r="D24" i="7"/>
  <c r="D25" i="7"/>
  <c r="D26" i="7"/>
  <c r="D28" i="7"/>
  <c r="D29" i="7"/>
  <c r="D31" i="7"/>
  <c r="D33" i="7"/>
  <c r="D34" i="7"/>
  <c r="D35" i="7"/>
  <c r="D37" i="7"/>
  <c r="D38" i="7"/>
  <c r="D40" i="7"/>
  <c r="D41" i="7"/>
  <c r="D42" i="7"/>
  <c r="D43" i="7"/>
  <c r="D45" i="7"/>
  <c r="D46" i="7"/>
  <c r="D48" i="7"/>
  <c r="D49" i="7"/>
  <c r="D50" i="7"/>
  <c r="D51" i="7"/>
  <c r="D53" i="7"/>
  <c r="F17" i="7"/>
  <c r="G17" i="7"/>
  <c r="H17" i="7"/>
  <c r="I17" i="7"/>
  <c r="E18" i="7"/>
  <c r="F18" i="7"/>
  <c r="G18" i="7"/>
  <c r="H18" i="7"/>
  <c r="I18" i="7"/>
  <c r="E19" i="7"/>
  <c r="F19" i="7"/>
  <c r="G19" i="7"/>
  <c r="H19" i="7"/>
  <c r="I19" i="7"/>
  <c r="E20" i="7"/>
  <c r="F20" i="7"/>
  <c r="G20" i="7"/>
  <c r="H20" i="7"/>
  <c r="I20" i="7"/>
  <c r="F21" i="7"/>
  <c r="G21" i="7"/>
  <c r="H21" i="7"/>
  <c r="I21" i="7"/>
  <c r="E22" i="7"/>
  <c r="F22" i="7"/>
  <c r="G22" i="7"/>
  <c r="H22" i="7"/>
  <c r="I22" i="7"/>
  <c r="F23" i="7"/>
  <c r="G23" i="7"/>
  <c r="H23" i="7"/>
  <c r="I23" i="7"/>
  <c r="E24" i="7"/>
  <c r="F24" i="7"/>
  <c r="G24" i="7"/>
  <c r="H24" i="7"/>
  <c r="I24" i="7"/>
  <c r="E25" i="7"/>
  <c r="F25" i="7"/>
  <c r="G25" i="7"/>
  <c r="H25" i="7"/>
  <c r="I25" i="7"/>
  <c r="E26" i="7"/>
  <c r="F26" i="7"/>
  <c r="G26" i="7"/>
  <c r="H26" i="7"/>
  <c r="I26" i="7"/>
  <c r="E27" i="7"/>
  <c r="F27" i="7"/>
  <c r="G27" i="7"/>
  <c r="H27" i="7"/>
  <c r="I27" i="7"/>
  <c r="E28" i="7"/>
  <c r="F28" i="7"/>
  <c r="G28" i="7"/>
  <c r="H28" i="7"/>
  <c r="I28" i="7"/>
  <c r="E29" i="7"/>
  <c r="F29" i="7"/>
  <c r="G29" i="7"/>
  <c r="H29" i="7"/>
  <c r="I29" i="7"/>
  <c r="F30" i="7"/>
  <c r="G30" i="7"/>
  <c r="H30" i="7"/>
  <c r="I30" i="7"/>
  <c r="E31" i="7"/>
  <c r="F31" i="7"/>
  <c r="G31" i="7"/>
  <c r="H31" i="7"/>
  <c r="I31" i="7"/>
  <c r="E32" i="7"/>
  <c r="F32" i="7"/>
  <c r="G32" i="7"/>
  <c r="H32" i="7"/>
  <c r="I32" i="7"/>
  <c r="E33" i="7"/>
  <c r="F33" i="7"/>
  <c r="G33" i="7"/>
  <c r="H33" i="7"/>
  <c r="I33" i="7"/>
  <c r="E34" i="7"/>
  <c r="F34" i="7"/>
  <c r="G34" i="7"/>
  <c r="H34" i="7"/>
  <c r="I34" i="7"/>
  <c r="E35" i="7"/>
  <c r="F35" i="7"/>
  <c r="G35" i="7"/>
  <c r="H35" i="7"/>
  <c r="I35" i="7"/>
  <c r="E36" i="7"/>
  <c r="F36" i="7"/>
  <c r="G36" i="7"/>
  <c r="H36" i="7"/>
  <c r="I36" i="7"/>
  <c r="E37" i="7"/>
  <c r="F37" i="7"/>
  <c r="G37" i="7"/>
  <c r="H37" i="7"/>
  <c r="I37" i="7"/>
  <c r="E38" i="7"/>
  <c r="F38" i="7"/>
  <c r="G38" i="7"/>
  <c r="H38" i="7"/>
  <c r="I38" i="7"/>
  <c r="F39" i="7"/>
  <c r="G39" i="7"/>
  <c r="H39" i="7"/>
  <c r="I39" i="7"/>
  <c r="E40" i="7"/>
  <c r="F40" i="7"/>
  <c r="G40" i="7"/>
  <c r="H40" i="7"/>
  <c r="I40" i="7"/>
  <c r="F41" i="7"/>
  <c r="G41" i="7"/>
  <c r="H41" i="7"/>
  <c r="I41" i="7"/>
  <c r="E42" i="7"/>
  <c r="F42" i="7"/>
  <c r="G42" i="7"/>
  <c r="H42" i="7"/>
  <c r="I42" i="7"/>
  <c r="E43" i="7"/>
  <c r="F43" i="7"/>
  <c r="G43" i="7"/>
  <c r="H43" i="7"/>
  <c r="I43" i="7"/>
  <c r="E44" i="7"/>
  <c r="F44" i="7"/>
  <c r="G44" i="7"/>
  <c r="H44" i="7"/>
  <c r="I44" i="7"/>
  <c r="E45" i="7"/>
  <c r="F45" i="7"/>
  <c r="G45" i="7"/>
  <c r="H45" i="7"/>
  <c r="I45" i="7"/>
  <c r="E46" i="7"/>
  <c r="F46" i="7"/>
  <c r="G46" i="7"/>
  <c r="H46" i="7"/>
  <c r="I46" i="7"/>
  <c r="F47" i="7"/>
  <c r="G47" i="7"/>
  <c r="H47" i="7"/>
  <c r="I47" i="7"/>
  <c r="E48" i="7"/>
  <c r="F48" i="7"/>
  <c r="G48" i="7"/>
  <c r="H48" i="7"/>
  <c r="I48" i="7"/>
  <c r="E49" i="7"/>
  <c r="F49" i="7"/>
  <c r="G49" i="7"/>
  <c r="H49" i="7"/>
  <c r="I49" i="7"/>
  <c r="E50" i="7"/>
  <c r="F50" i="7"/>
  <c r="G50" i="7"/>
  <c r="H50" i="7"/>
  <c r="I50" i="7"/>
  <c r="E51" i="7"/>
  <c r="F51" i="7"/>
  <c r="G51" i="7"/>
  <c r="H51" i="7"/>
  <c r="I51" i="7"/>
  <c r="E52" i="7"/>
  <c r="F52" i="7"/>
  <c r="G52" i="7"/>
  <c r="H52" i="7"/>
  <c r="I52" i="7"/>
  <c r="E53" i="7"/>
  <c r="F53" i="7"/>
  <c r="G53" i="7"/>
  <c r="H53" i="7"/>
  <c r="I53" i="7"/>
  <c r="B28" i="7"/>
  <c r="B29" i="7"/>
  <c r="B37" i="7"/>
  <c r="B38" i="7"/>
  <c r="B45" i="7"/>
  <c r="B46" i="7"/>
  <c r="B53" i="7"/>
  <c r="X250" i="6"/>
  <c r="AA250" i="6"/>
  <c r="AC39" i="6"/>
  <c r="AB250" i="6"/>
  <c r="AC210" i="6"/>
  <c r="AC206" i="6"/>
  <c r="BY39" i="6"/>
  <c r="BY210" i="6"/>
  <c r="AC209" i="6"/>
  <c r="AC14" i="6"/>
  <c r="BZ209" i="6"/>
  <c r="BY209" i="6"/>
  <c r="BX209" i="6"/>
  <c r="BZ14" i="6"/>
  <c r="BY14" i="6"/>
  <c r="BX14" i="6"/>
  <c r="AC222" i="6"/>
  <c r="BZ222" i="6"/>
  <c r="BY222" i="6"/>
  <c r="BX222" i="6"/>
  <c r="A36" i="1"/>
  <c r="A37" i="1"/>
  <c r="D15" i="1"/>
  <c r="D19" i="1"/>
  <c r="D21" i="1"/>
  <c r="D25" i="1" s="1"/>
  <c r="D28" i="1"/>
  <c r="D30" i="1"/>
  <c r="D37" i="1"/>
  <c r="D42" i="1" s="1"/>
  <c r="D45" i="1"/>
  <c r="D50" i="1" s="1"/>
  <c r="D52" i="1" s="1"/>
  <c r="C45" i="1"/>
  <c r="C50" i="1" s="1"/>
  <c r="C52" i="1" s="1"/>
  <c r="C37" i="1"/>
  <c r="C42" i="1"/>
  <c r="C30" i="1"/>
  <c r="C28" i="1"/>
  <c r="C21" i="1"/>
  <c r="C19" i="1"/>
  <c r="C15" i="1"/>
  <c r="D47" i="2"/>
  <c r="D39" i="2"/>
  <c r="D44" i="2" s="1"/>
  <c r="D32" i="2"/>
  <c r="D30" i="2"/>
  <c r="D23" i="2"/>
  <c r="D21" i="2"/>
  <c r="D17" i="2"/>
  <c r="C30" i="2"/>
  <c r="C36" i="2" s="1"/>
  <c r="C32" i="2"/>
  <c r="C47" i="2"/>
  <c r="C52" i="2"/>
  <c r="C39" i="2"/>
  <c r="C44" i="2" s="1"/>
  <c r="C54" i="2" s="1"/>
  <c r="C23" i="2"/>
  <c r="C27" i="2" s="1"/>
  <c r="C21" i="2"/>
  <c r="C34" i="1"/>
  <c r="D52" i="2"/>
  <c r="D36" i="2"/>
  <c r="C25" i="1"/>
  <c r="D34" i="1"/>
  <c r="C17" i="2"/>
  <c r="F47" i="2"/>
  <c r="F52" i="2" s="1"/>
  <c r="G47" i="2"/>
  <c r="E47" i="2"/>
  <c r="F39" i="2"/>
  <c r="F44" i="2"/>
  <c r="G39" i="2"/>
  <c r="G44" i="2"/>
  <c r="E39" i="2"/>
  <c r="E44" i="2"/>
  <c r="F32" i="2"/>
  <c r="F36" i="2" s="1"/>
  <c r="G32" i="2"/>
  <c r="E32" i="2"/>
  <c r="G30" i="2"/>
  <c r="G36" i="2"/>
  <c r="F30" i="2"/>
  <c r="E30" i="2"/>
  <c r="E36" i="2" s="1"/>
  <c r="G23" i="2"/>
  <c r="G27" i="2" s="1"/>
  <c r="F23" i="2"/>
  <c r="F27" i="2" s="1"/>
  <c r="E23" i="2"/>
  <c r="F21" i="2"/>
  <c r="G21" i="2"/>
  <c r="E21" i="2"/>
  <c r="F17" i="2"/>
  <c r="G17" i="2"/>
  <c r="E17" i="2"/>
  <c r="H39" i="1"/>
  <c r="I39" i="1"/>
  <c r="H40" i="1"/>
  <c r="I40" i="1"/>
  <c r="L14" i="4"/>
  <c r="L19" i="4"/>
  <c r="L23" i="4"/>
  <c r="L26" i="4"/>
  <c r="C14" i="4"/>
  <c r="C19" i="4"/>
  <c r="C23" i="4"/>
  <c r="M23" i="4" s="1"/>
  <c r="C26" i="4"/>
  <c r="C29" i="4"/>
  <c r="D14" i="4"/>
  <c r="D29" i="4" s="1"/>
  <c r="D19" i="4"/>
  <c r="D23" i="4"/>
  <c r="D26" i="4"/>
  <c r="E14" i="4"/>
  <c r="E19" i="4"/>
  <c r="E23" i="4"/>
  <c r="E26" i="4"/>
  <c r="F14" i="4"/>
  <c r="F19" i="4"/>
  <c r="F23" i="4"/>
  <c r="F26" i="4"/>
  <c r="F29" i="4"/>
  <c r="G14" i="4"/>
  <c r="G29" i="4" s="1"/>
  <c r="G19" i="4"/>
  <c r="G23" i="4"/>
  <c r="G26" i="4"/>
  <c r="H14" i="4"/>
  <c r="H19" i="4"/>
  <c r="H23" i="4"/>
  <c r="H29" i="4" s="1"/>
  <c r="H26" i="4"/>
  <c r="I14" i="4"/>
  <c r="I19" i="4"/>
  <c r="I23" i="4"/>
  <c r="I26" i="4"/>
  <c r="I29" i="4"/>
  <c r="J14" i="4"/>
  <c r="J19" i="4"/>
  <c r="J23" i="4"/>
  <c r="J26" i="4"/>
  <c r="K14" i="4"/>
  <c r="K19" i="4"/>
  <c r="K23" i="4"/>
  <c r="K26" i="4"/>
  <c r="K29" i="4"/>
  <c r="M27" i="4"/>
  <c r="M24" i="4"/>
  <c r="M21" i="4"/>
  <c r="M20" i="4"/>
  <c r="M17" i="4"/>
  <c r="M16" i="4"/>
  <c r="M15" i="4"/>
  <c r="N21" i="2"/>
  <c r="N30" i="2"/>
  <c r="N39" i="2"/>
  <c r="N47" i="2"/>
  <c r="E20" i="3"/>
  <c r="F20" i="3"/>
  <c r="E10" i="1"/>
  <c r="G52" i="2"/>
  <c r="E52" i="2"/>
  <c r="E12" i="2"/>
  <c r="F37" i="10"/>
  <c r="E37" i="10"/>
  <c r="D37" i="10"/>
  <c r="C37" i="10"/>
  <c r="L36" i="10"/>
  <c r="F35" i="10"/>
  <c r="E35" i="10"/>
  <c r="D35" i="10"/>
  <c r="C35" i="10"/>
  <c r="L34" i="10"/>
  <c r="F33" i="10"/>
  <c r="E33" i="10"/>
  <c r="D33" i="10"/>
  <c r="C33" i="10"/>
  <c r="L28" i="10"/>
  <c r="L27" i="10"/>
  <c r="K26" i="10"/>
  <c r="J26" i="10"/>
  <c r="I26" i="10"/>
  <c r="H26" i="10"/>
  <c r="G26" i="10"/>
  <c r="F26" i="10"/>
  <c r="E26" i="10"/>
  <c r="D26" i="10"/>
  <c r="D29" i="10" s="1"/>
  <c r="C26" i="10"/>
  <c r="L25" i="10"/>
  <c r="L24" i="10"/>
  <c r="K23" i="10"/>
  <c r="J23" i="10"/>
  <c r="I23" i="10"/>
  <c r="H23" i="10"/>
  <c r="G23" i="10"/>
  <c r="G29" i="10" s="1"/>
  <c r="F23" i="10"/>
  <c r="E23" i="10"/>
  <c r="D23" i="10"/>
  <c r="C23" i="10"/>
  <c r="L22" i="10"/>
  <c r="L21" i="10"/>
  <c r="L20" i="10"/>
  <c r="K19" i="10"/>
  <c r="K29" i="10" s="1"/>
  <c r="J19" i="10"/>
  <c r="I19" i="10"/>
  <c r="H19" i="10"/>
  <c r="G19" i="10"/>
  <c r="F19" i="10"/>
  <c r="E19" i="10"/>
  <c r="D19" i="10"/>
  <c r="C19" i="10"/>
  <c r="L19" i="10" s="1"/>
  <c r="L17" i="10"/>
  <c r="L16" i="10"/>
  <c r="L15" i="10"/>
  <c r="K14" i="10"/>
  <c r="J14" i="10"/>
  <c r="J29" i="10"/>
  <c r="I14" i="10"/>
  <c r="I29" i="10" s="1"/>
  <c r="H14" i="10"/>
  <c r="H29" i="10" s="1"/>
  <c r="G14" i="10"/>
  <c r="F14" i="10"/>
  <c r="E14" i="10"/>
  <c r="D14" i="10"/>
  <c r="C14" i="10"/>
  <c r="D13" i="10"/>
  <c r="D4" i="10"/>
  <c r="E29" i="10"/>
  <c r="F29" i="10"/>
  <c r="L33" i="10"/>
  <c r="C18" i="7"/>
  <c r="C19" i="7"/>
  <c r="C20" i="7"/>
  <c r="C22" i="7"/>
  <c r="C24" i="7"/>
  <c r="C25" i="7"/>
  <c r="C26" i="7"/>
  <c r="C28" i="7"/>
  <c r="C29" i="7"/>
  <c r="C31" i="7"/>
  <c r="C33" i="7"/>
  <c r="C34" i="7"/>
  <c r="C35" i="7"/>
  <c r="C37" i="7"/>
  <c r="C38" i="7"/>
  <c r="C40" i="7"/>
  <c r="C41" i="7"/>
  <c r="C42" i="7"/>
  <c r="C43" i="7"/>
  <c r="C45" i="7"/>
  <c r="C46" i="7"/>
  <c r="C48" i="7"/>
  <c r="C49" i="7"/>
  <c r="C50" i="7"/>
  <c r="C51" i="7"/>
  <c r="C53" i="7"/>
  <c r="J39" i="1"/>
  <c r="K39" i="1" s="1"/>
  <c r="J40" i="1"/>
  <c r="K40" i="1" s="1"/>
  <c r="AC207" i="6"/>
  <c r="AC208" i="6"/>
  <c r="AC214" i="6"/>
  <c r="BZ214" i="6"/>
  <c r="BZ208" i="6"/>
  <c r="BY207" i="6"/>
  <c r="BY214" i="6"/>
  <c r="BY208" i="6"/>
  <c r="BX207" i="6"/>
  <c r="BX214" i="6"/>
  <c r="BZ207" i="6"/>
  <c r="BX208" i="6"/>
  <c r="I41" i="2"/>
  <c r="J41" i="2"/>
  <c r="I42" i="2"/>
  <c r="J42" i="2"/>
  <c r="AC10" i="6"/>
  <c r="AC188" i="6"/>
  <c r="AC165" i="6"/>
  <c r="E205" i="6"/>
  <c r="E204" i="6"/>
  <c r="E202" i="6"/>
  <c r="E200" i="6"/>
  <c r="E199" i="6"/>
  <c r="E198" i="6"/>
  <c r="E197" i="6"/>
  <c r="E179" i="6"/>
  <c r="E173" i="6"/>
  <c r="E170" i="6"/>
  <c r="E195" i="6"/>
  <c r="E194" i="6"/>
  <c r="BY194" i="6" s="1"/>
  <c r="AC150" i="6"/>
  <c r="AC9" i="6"/>
  <c r="AC103" i="6"/>
  <c r="AC104" i="6"/>
  <c r="AC111" i="6"/>
  <c r="AC93" i="6"/>
  <c r="AC94" i="6"/>
  <c r="AC95" i="6"/>
  <c r="AC96" i="6"/>
  <c r="AC97" i="6"/>
  <c r="AC98" i="6"/>
  <c r="AC99" i="6"/>
  <c r="AC100" i="6"/>
  <c r="AC101" i="6"/>
  <c r="AC102" i="6"/>
  <c r="BY10" i="6"/>
  <c r="BY188" i="6"/>
  <c r="BZ188" i="6"/>
  <c r="BX188" i="6"/>
  <c r="BX165" i="6"/>
  <c r="BY165" i="6"/>
  <c r="BZ165" i="6"/>
  <c r="BZ150" i="6"/>
  <c r="BY150" i="6"/>
  <c r="BX9" i="6"/>
  <c r="BY9" i="6"/>
  <c r="BZ9" i="6"/>
  <c r="BX103" i="6"/>
  <c r="BZ103" i="6"/>
  <c r="BX111" i="6"/>
  <c r="BY111" i="6"/>
  <c r="BY104" i="6"/>
  <c r="BY103" i="6"/>
  <c r="BZ93" i="6"/>
  <c r="BY101" i="6"/>
  <c r="BY93" i="6"/>
  <c r="BZ101" i="6"/>
  <c r="BZ98" i="6"/>
  <c r="BZ97" i="6"/>
  <c r="BZ100" i="6"/>
  <c r="BZ94" i="6"/>
  <c r="BZ102" i="6"/>
  <c r="BY102" i="6"/>
  <c r="BX102" i="6"/>
  <c r="BX101" i="6"/>
  <c r="BY100" i="6"/>
  <c r="BX100" i="6"/>
  <c r="BX99" i="6"/>
  <c r="BY99" i="6"/>
  <c r="BX98" i="6"/>
  <c r="BY98" i="6"/>
  <c r="BX97" i="6"/>
  <c r="BY97" i="6"/>
  <c r="BY96" i="6"/>
  <c r="BY95" i="6"/>
  <c r="BX95" i="6"/>
  <c r="BY94" i="6"/>
  <c r="BX94" i="6"/>
  <c r="BX93" i="6"/>
  <c r="BZ99" i="6"/>
  <c r="BZ95" i="6"/>
  <c r="AC49" i="6"/>
  <c r="BY49" i="6"/>
  <c r="AC38" i="6"/>
  <c r="BZ38" i="6"/>
  <c r="BY38" i="6"/>
  <c r="BX38" i="6"/>
  <c r="BZ190" i="6"/>
  <c r="BZ191" i="6"/>
  <c r="BZ218" i="6"/>
  <c r="BZ219" i="6"/>
  <c r="BY190" i="6"/>
  <c r="BY191" i="6"/>
  <c r="BY218" i="6"/>
  <c r="BY219" i="6"/>
  <c r="BX190" i="6"/>
  <c r="BX191" i="6"/>
  <c r="BX218" i="6"/>
  <c r="BX219" i="6"/>
  <c r="J18" i="2"/>
  <c r="J17" i="2" s="1"/>
  <c r="J20" i="2"/>
  <c r="J34" i="2"/>
  <c r="J50" i="2"/>
  <c r="I18" i="2"/>
  <c r="I17" i="2" s="1"/>
  <c r="I20" i="2"/>
  <c r="I50" i="2"/>
  <c r="I16" i="1"/>
  <c r="J16" i="1"/>
  <c r="I18" i="1"/>
  <c r="J18" i="1"/>
  <c r="K18" i="1" s="1"/>
  <c r="B20" i="7" s="1"/>
  <c r="I48" i="1"/>
  <c r="J48" i="1"/>
  <c r="J51" i="2"/>
  <c r="I31" i="1"/>
  <c r="I41" i="1"/>
  <c r="I33" i="1"/>
  <c r="I30" i="1" s="1"/>
  <c r="I34" i="1" s="1"/>
  <c r="I29" i="1"/>
  <c r="I28" i="1"/>
  <c r="I32" i="1"/>
  <c r="I46" i="1"/>
  <c r="I45" i="1" s="1"/>
  <c r="I50" i="1" s="1"/>
  <c r="I49" i="1"/>
  <c r="I38" i="1"/>
  <c r="I20" i="1"/>
  <c r="I19" i="1"/>
  <c r="I17" i="1"/>
  <c r="I15" i="1" s="1"/>
  <c r="J32" i="1"/>
  <c r="J41" i="1"/>
  <c r="K41" i="1" s="1"/>
  <c r="J33" i="1"/>
  <c r="J29" i="1"/>
  <c r="J46" i="1"/>
  <c r="J31" i="1"/>
  <c r="J30" i="1" s="1"/>
  <c r="J34" i="1" s="1"/>
  <c r="J49" i="1"/>
  <c r="K49" i="1" s="1"/>
  <c r="B51" i="7" s="1"/>
  <c r="J38" i="1"/>
  <c r="J20" i="1"/>
  <c r="J19" i="1" s="1"/>
  <c r="J17" i="1"/>
  <c r="I34" i="2"/>
  <c r="J19" i="2"/>
  <c r="I48" i="2"/>
  <c r="I47" i="1"/>
  <c r="I49" i="2"/>
  <c r="I35" i="2"/>
  <c r="J22" i="2"/>
  <c r="J21" i="2" s="1"/>
  <c r="I19" i="2"/>
  <c r="J48" i="2"/>
  <c r="J47" i="1"/>
  <c r="J49" i="2"/>
  <c r="J47" i="2" s="1"/>
  <c r="J52" i="2" s="1"/>
  <c r="I51" i="2"/>
  <c r="I22" i="2"/>
  <c r="J35" i="2"/>
  <c r="AC223" i="6"/>
  <c r="AC221" i="6"/>
  <c r="AC220" i="6"/>
  <c r="AC217" i="6"/>
  <c r="AC215" i="6"/>
  <c r="AC216" i="6"/>
  <c r="AC205" i="6"/>
  <c r="AC204" i="6"/>
  <c r="AC203" i="6"/>
  <c r="AC202" i="6"/>
  <c r="AC198" i="6"/>
  <c r="AC199" i="6"/>
  <c r="AC200" i="6"/>
  <c r="AC197" i="6"/>
  <c r="AC196" i="6"/>
  <c r="AC194" i="6"/>
  <c r="AC193" i="6"/>
  <c r="AC192" i="6"/>
  <c r="AC182" i="6"/>
  <c r="AC183" i="6"/>
  <c r="AC184" i="6"/>
  <c r="AC185" i="6"/>
  <c r="AC180" i="6"/>
  <c r="AC179" i="6"/>
  <c r="AC175" i="6"/>
  <c r="AC176" i="6"/>
  <c r="AC178" i="6"/>
  <c r="AC174" i="6"/>
  <c r="AC173" i="6"/>
  <c r="AC171" i="6"/>
  <c r="AC172" i="6"/>
  <c r="AC170" i="6"/>
  <c r="AC166" i="6"/>
  <c r="AC167" i="6"/>
  <c r="AC168" i="6"/>
  <c r="AC169" i="6"/>
  <c r="AC132" i="6"/>
  <c r="AC133" i="6"/>
  <c r="AC134" i="6"/>
  <c r="AC135" i="6"/>
  <c r="AC137" i="6"/>
  <c r="AC138" i="6"/>
  <c r="AC139" i="6"/>
  <c r="AC140" i="6"/>
  <c r="AC141" i="6"/>
  <c r="AC143" i="6"/>
  <c r="AC144" i="6"/>
  <c r="AC145" i="6"/>
  <c r="AC147" i="6"/>
  <c r="AC148" i="6"/>
  <c r="AC149" i="6"/>
  <c r="AC151" i="6"/>
  <c r="AC152" i="6"/>
  <c r="AC153" i="6"/>
  <c r="AC154" i="6"/>
  <c r="AC155" i="6"/>
  <c r="AC156" i="6"/>
  <c r="AC157" i="6"/>
  <c r="AC158" i="6"/>
  <c r="AC159" i="6"/>
  <c r="AC160" i="6"/>
  <c r="AC162" i="6"/>
  <c r="AC163" i="6"/>
  <c r="AC164" i="6"/>
  <c r="AC129" i="6"/>
  <c r="AC130" i="6"/>
  <c r="AC131" i="6"/>
  <c r="AC122" i="6"/>
  <c r="AC123" i="6"/>
  <c r="AC124" i="6"/>
  <c r="AC125" i="6"/>
  <c r="AC126" i="6"/>
  <c r="AC127" i="6"/>
  <c r="AC114" i="6"/>
  <c r="AC115" i="6"/>
  <c r="AC116" i="6"/>
  <c r="AC117" i="6"/>
  <c r="AC119" i="6"/>
  <c r="AC120" i="6"/>
  <c r="AC6" i="6"/>
  <c r="AC7" i="6"/>
  <c r="AC8" i="6"/>
  <c r="AC17" i="6"/>
  <c r="AC18" i="6"/>
  <c r="AC19" i="6"/>
  <c r="AC20" i="6"/>
  <c r="AC21" i="6"/>
  <c r="AC22" i="6"/>
  <c r="AC23" i="6"/>
  <c r="AC24" i="6"/>
  <c r="AC25" i="6"/>
  <c r="AC26" i="6"/>
  <c r="AC27" i="6"/>
  <c r="AC28" i="6"/>
  <c r="AC29" i="6"/>
  <c r="AC30" i="6"/>
  <c r="AC31" i="6"/>
  <c r="AC32" i="6"/>
  <c r="AC33" i="6"/>
  <c r="AC34" i="6"/>
  <c r="AC35" i="6"/>
  <c r="AC36" i="6"/>
  <c r="AC37" i="6"/>
  <c r="AC40" i="6"/>
  <c r="AC41" i="6"/>
  <c r="AC42" i="6"/>
  <c r="AC43" i="6"/>
  <c r="AC45" i="6"/>
  <c r="AC46" i="6"/>
  <c r="AC47" i="6"/>
  <c r="AC48" i="6"/>
  <c r="AC50" i="6"/>
  <c r="AC51" i="6"/>
  <c r="AC52" i="6"/>
  <c r="AC53" i="6"/>
  <c r="AC55" i="6"/>
  <c r="AC56" i="6"/>
  <c r="AC57" i="6"/>
  <c r="AC58" i="6"/>
  <c r="AC59" i="6"/>
  <c r="AC60" i="6"/>
  <c r="AC61" i="6"/>
  <c r="AC62" i="6"/>
  <c r="AC63" i="6"/>
  <c r="AC64" i="6"/>
  <c r="AC65" i="6"/>
  <c r="AC66" i="6"/>
  <c r="AC67" i="6"/>
  <c r="AC68" i="6"/>
  <c r="AC69" i="6"/>
  <c r="AC70" i="6"/>
  <c r="AC71" i="6"/>
  <c r="AC72" i="6"/>
  <c r="AC73" i="6"/>
  <c r="AC74" i="6"/>
  <c r="AC75" i="6"/>
  <c r="AC76" i="6"/>
  <c r="AC77" i="6"/>
  <c r="AC78" i="6"/>
  <c r="AC79" i="6"/>
  <c r="AC80" i="6"/>
  <c r="AC81" i="6"/>
  <c r="AC82" i="6"/>
  <c r="AC83" i="6"/>
  <c r="AC84" i="6"/>
  <c r="AC85" i="6"/>
  <c r="AC86" i="6"/>
  <c r="AC87" i="6"/>
  <c r="AC88" i="6"/>
  <c r="AC89" i="6"/>
  <c r="AC90" i="6"/>
  <c r="AC91" i="6"/>
  <c r="AC92" i="6"/>
  <c r="AC112" i="6"/>
  <c r="AC113" i="6"/>
  <c r="AC4" i="6"/>
  <c r="J27" i="2"/>
  <c r="I21" i="1"/>
  <c r="I37" i="1"/>
  <c r="I42" i="1"/>
  <c r="J28" i="1"/>
  <c r="J21" i="1"/>
  <c r="J37" i="1"/>
  <c r="J42" i="1"/>
  <c r="I23" i="2"/>
  <c r="M34" i="4"/>
  <c r="L47" i="2"/>
  <c r="L52" i="2"/>
  <c r="BY184" i="6"/>
  <c r="BZ184" i="6"/>
  <c r="BX184" i="6"/>
  <c r="BY81" i="6"/>
  <c r="BX81" i="6"/>
  <c r="BZ81" i="6"/>
  <c r="AC195" i="6"/>
  <c r="BY162" i="6"/>
  <c r="BY173" i="6"/>
  <c r="BY160" i="6"/>
  <c r="BX162" i="6"/>
  <c r="BZ162" i="6"/>
  <c r="BZ160" i="6"/>
  <c r="BX160" i="6"/>
  <c r="E251" i="6"/>
  <c r="BY79" i="6"/>
  <c r="BY84" i="6"/>
  <c r="BY83" i="6"/>
  <c r="BZ88" i="6"/>
  <c r="BX88" i="6"/>
  <c r="BX89" i="6"/>
  <c r="BZ89" i="6"/>
  <c r="BX90" i="6"/>
  <c r="BZ90" i="6"/>
  <c r="BX91" i="6"/>
  <c r="BZ91" i="6"/>
  <c r="BX92" i="6"/>
  <c r="BZ92" i="6"/>
  <c r="BY65" i="6"/>
  <c r="BX85" i="6"/>
  <c r="BZ85" i="6"/>
  <c r="BZ86" i="6"/>
  <c r="BX86" i="6"/>
  <c r="BZ87" i="6"/>
  <c r="BX87" i="6"/>
  <c r="BY88" i="6"/>
  <c r="BY89" i="6"/>
  <c r="BY90" i="6"/>
  <c r="BY91" i="6"/>
  <c r="BY92" i="6"/>
  <c r="BX112" i="6"/>
  <c r="BZ112" i="6"/>
  <c r="BX83" i="6"/>
  <c r="BZ83" i="6"/>
  <c r="BY112" i="6"/>
  <c r="BY113" i="6"/>
  <c r="BZ113" i="6"/>
  <c r="BX113" i="6"/>
  <c r="BX84" i="6"/>
  <c r="BZ84" i="6"/>
  <c r="BY85" i="6"/>
  <c r="BY86" i="6"/>
  <c r="BY87" i="6"/>
  <c r="BZ79" i="6"/>
  <c r="BX79" i="6"/>
  <c r="AC44" i="6"/>
  <c r="Y250" i="6"/>
  <c r="BY27" i="6"/>
  <c r="BY41" i="6"/>
  <c r="BX41" i="6"/>
  <c r="BZ41" i="6"/>
  <c r="BX27" i="6"/>
  <c r="BZ27" i="6"/>
  <c r="BX35" i="6"/>
  <c r="BZ35" i="6"/>
  <c r="BY35" i="6"/>
  <c r="BY42" i="6"/>
  <c r="BX42" i="6"/>
  <c r="BZ42" i="6"/>
  <c r="BY78" i="6"/>
  <c r="BZ78" i="6"/>
  <c r="BX78" i="6"/>
  <c r="BY154" i="6"/>
  <c r="BX154" i="6"/>
  <c r="BZ154" i="6"/>
  <c r="BA22" i="6"/>
  <c r="BY22" i="6"/>
  <c r="BX18" i="6"/>
  <c r="BZ18" i="6"/>
  <c r="BZ22" i="6"/>
  <c r="BX22" i="6"/>
  <c r="BY18" i="6"/>
  <c r="BZ36" i="6"/>
  <c r="BX36" i="6"/>
  <c r="BY36" i="6"/>
  <c r="BY34" i="6"/>
  <c r="BY33" i="6"/>
  <c r="BX34" i="6"/>
  <c r="BZ34" i="6"/>
  <c r="BX33" i="6"/>
  <c r="BZ33" i="6"/>
  <c r="BY30" i="6"/>
  <c r="BX26" i="6"/>
  <c r="BZ26" i="6"/>
  <c r="BY26" i="6"/>
  <c r="BZ30" i="6"/>
  <c r="BX30" i="6"/>
  <c r="BY48" i="6"/>
  <c r="BX48" i="6"/>
  <c r="BZ48" i="6"/>
  <c r="BY45" i="6"/>
  <c r="BX45" i="6"/>
  <c r="BZ45" i="6"/>
  <c r="BX76" i="6"/>
  <c r="BZ76" i="6"/>
  <c r="BY76" i="6"/>
  <c r="BY149" i="6"/>
  <c r="BX149" i="6"/>
  <c r="BZ149" i="6"/>
  <c r="BY225" i="6"/>
  <c r="BZ225" i="6"/>
  <c r="BY227" i="6"/>
  <c r="BZ227" i="6"/>
  <c r="BY249" i="6"/>
  <c r="BZ249" i="6"/>
  <c r="BY20" i="6"/>
  <c r="BZ20" i="6"/>
  <c r="BX20" i="6"/>
  <c r="BZ29" i="6"/>
  <c r="BX29" i="6"/>
  <c r="BX8" i="6"/>
  <c r="BZ8" i="6"/>
  <c r="BX19" i="6"/>
  <c r="BZ19" i="6"/>
  <c r="BY8" i="6"/>
  <c r="BY29" i="6"/>
  <c r="BY19" i="6"/>
  <c r="BY37" i="6"/>
  <c r="BX37" i="6"/>
  <c r="BZ37" i="6"/>
  <c r="M22" i="4"/>
  <c r="M25" i="4"/>
  <c r="M28" i="4"/>
  <c r="M36" i="4"/>
  <c r="BZ183" i="6"/>
  <c r="BX183" i="6"/>
  <c r="BY183" i="6"/>
  <c r="BX221" i="6"/>
  <c r="BZ221" i="6"/>
  <c r="BY221" i="6"/>
  <c r="BX200" i="6"/>
  <c r="BX173" i="6"/>
  <c r="BZ173" i="6"/>
  <c r="BZ197" i="6"/>
  <c r="BY197" i="6"/>
  <c r="BX197" i="6"/>
  <c r="BX151" i="6"/>
  <c r="BZ151" i="6"/>
  <c r="BY151" i="6"/>
  <c r="BY144" i="6"/>
  <c r="BZ144" i="6"/>
  <c r="BX144" i="6"/>
  <c r="BY156" i="6"/>
  <c r="BZ156" i="6"/>
  <c r="BX156" i="6"/>
  <c r="BY80" i="6"/>
  <c r="BY67" i="6"/>
  <c r="BX82" i="6"/>
  <c r="BZ82" i="6"/>
  <c r="BX66" i="6"/>
  <c r="BZ66" i="6"/>
  <c r="BY66" i="6"/>
  <c r="BZ80" i="6"/>
  <c r="BX80" i="6"/>
  <c r="BY82" i="6"/>
  <c r="BX67" i="6"/>
  <c r="BZ67" i="6"/>
  <c r="BY74" i="6"/>
  <c r="BY77" i="6"/>
  <c r="BY73" i="6"/>
  <c r="BY75" i="6"/>
  <c r="BX73" i="6"/>
  <c r="BZ74" i="6"/>
  <c r="BX77" i="6"/>
  <c r="BX75" i="6"/>
  <c r="BZ73" i="6"/>
  <c r="BX74" i="6"/>
  <c r="BZ77" i="6"/>
  <c r="BZ75" i="6"/>
  <c r="AC201" i="6"/>
  <c r="E201" i="6"/>
  <c r="BY201" i="6" s="1"/>
  <c r="BY40" i="6"/>
  <c r="BX40" i="6"/>
  <c r="BZ40" i="6"/>
  <c r="BY31" i="6"/>
  <c r="BY32" i="6"/>
  <c r="BY202" i="6"/>
  <c r="BZ31" i="6"/>
  <c r="BX32" i="6"/>
  <c r="BX202" i="6"/>
  <c r="BX31" i="6"/>
  <c r="BX201" i="6"/>
  <c r="BZ32" i="6"/>
  <c r="BZ201" i="6"/>
  <c r="BZ202" i="6"/>
  <c r="BY168" i="6"/>
  <c r="BZ168" i="6"/>
  <c r="BX168" i="6"/>
  <c r="BY25" i="6"/>
  <c r="BX25" i="6"/>
  <c r="BZ25" i="6"/>
  <c r="AC177" i="6"/>
  <c r="AC181" i="6"/>
  <c r="BY185" i="6"/>
  <c r="BZ185" i="6"/>
  <c r="BX185" i="6"/>
  <c r="BZ71" i="6"/>
  <c r="BX71" i="6"/>
  <c r="BY72" i="6"/>
  <c r="BY71" i="6"/>
  <c r="BX72" i="6"/>
  <c r="BZ72" i="6"/>
  <c r="AC146" i="6"/>
  <c r="W250" i="6"/>
  <c r="BY159" i="6"/>
  <c r="BZ159" i="6"/>
  <c r="BX159" i="6"/>
  <c r="BY24" i="6"/>
  <c r="BX24" i="6"/>
  <c r="BZ24" i="6"/>
  <c r="BY158" i="6"/>
  <c r="BZ158" i="6"/>
  <c r="BX158" i="6"/>
  <c r="BY223" i="6"/>
  <c r="BZ200" i="6"/>
  <c r="BY200" i="6"/>
  <c r="BX223" i="6"/>
  <c r="BZ223" i="6"/>
  <c r="BY182" i="6"/>
  <c r="BX204" i="6"/>
  <c r="BY204" i="6"/>
  <c r="BZ204" i="6"/>
  <c r="BY155" i="6"/>
  <c r="BX182" i="6"/>
  <c r="BZ182" i="6"/>
  <c r="BX155" i="6"/>
  <c r="BZ155" i="6"/>
  <c r="BY157" i="6"/>
  <c r="BX157" i="6"/>
  <c r="BZ157" i="6"/>
  <c r="E217" i="6"/>
  <c r="BY69" i="6"/>
  <c r="BX69" i="6"/>
  <c r="BZ69" i="6"/>
  <c r="BZ198" i="6"/>
  <c r="BY70" i="6"/>
  <c r="BZ70" i="6"/>
  <c r="BX70" i="6"/>
  <c r="BY217" i="6"/>
  <c r="BX225" i="6"/>
  <c r="BX226" i="6"/>
  <c r="BX227" i="6"/>
  <c r="BX228" i="6"/>
  <c r="BX229" i="6"/>
  <c r="BX230" i="6"/>
  <c r="BX231" i="6"/>
  <c r="BX232" i="6"/>
  <c r="BX233" i="6"/>
  <c r="BX234" i="6"/>
  <c r="BX235" i="6"/>
  <c r="BX236" i="6"/>
  <c r="BX237" i="6"/>
  <c r="BX238" i="6"/>
  <c r="BX239" i="6"/>
  <c r="BX240" i="6"/>
  <c r="BX241" i="6"/>
  <c r="BX242" i="6"/>
  <c r="BX243" i="6"/>
  <c r="BX244" i="6"/>
  <c r="BX245" i="6"/>
  <c r="BX246" i="6"/>
  <c r="BX247" i="6"/>
  <c r="BX248" i="6"/>
  <c r="BX249" i="6"/>
  <c r="H16" i="1"/>
  <c r="K48" i="1"/>
  <c r="K47" i="1"/>
  <c r="H29" i="1"/>
  <c r="H28" i="1"/>
  <c r="K38" i="1"/>
  <c r="H31" i="1"/>
  <c r="H46" i="1"/>
  <c r="K46" i="1" s="1"/>
  <c r="B48" i="7" s="1"/>
  <c r="H32" i="1"/>
  <c r="H30" i="1" s="1"/>
  <c r="K16" i="1"/>
  <c r="H33" i="1"/>
  <c r="H21" i="1"/>
  <c r="H25" i="1" s="1"/>
  <c r="H15" i="1"/>
  <c r="K29" i="1"/>
  <c r="K28" i="1" s="1"/>
  <c r="H34" i="1"/>
  <c r="H19" i="1"/>
  <c r="K20" i="1"/>
  <c r="H37" i="1"/>
  <c r="H42" i="1"/>
  <c r="BY122" i="6"/>
  <c r="BZ122" i="6"/>
  <c r="BX122" i="6"/>
  <c r="BZ21" i="6"/>
  <c r="BX21" i="6"/>
  <c r="BY21" i="6"/>
  <c r="BY181" i="6"/>
  <c r="BX181" i="6"/>
  <c r="BZ181" i="6"/>
  <c r="AC121" i="6"/>
  <c r="BY43" i="6"/>
  <c r="BX43" i="6"/>
  <c r="BZ43" i="6"/>
  <c r="BZ153" i="6"/>
  <c r="BX153" i="6"/>
  <c r="BY153" i="6"/>
  <c r="BY206" i="6"/>
  <c r="BX206" i="6"/>
  <c r="BZ206" i="6"/>
  <c r="BY28" i="6"/>
  <c r="BZ28" i="6"/>
  <c r="BX28" i="6"/>
  <c r="J40" i="2"/>
  <c r="I40" i="2"/>
  <c r="I39" i="2" s="1"/>
  <c r="I44" i="2" s="1"/>
  <c r="I43" i="2"/>
  <c r="J43" i="2"/>
  <c r="BY125" i="6"/>
  <c r="BX125" i="6"/>
  <c r="BZ125" i="6"/>
  <c r="J39" i="2"/>
  <c r="J44" i="2" s="1"/>
  <c r="AC5" i="6"/>
  <c r="BY145" i="6"/>
  <c r="BZ145" i="6"/>
  <c r="BX145" i="6"/>
  <c r="BY114" i="6"/>
  <c r="BZ114" i="6"/>
  <c r="BX114" i="6"/>
  <c r="BX205" i="6"/>
  <c r="BZ205" i="6"/>
  <c r="BY205" i="6"/>
  <c r="BY124" i="6"/>
  <c r="BX124" i="6"/>
  <c r="BZ124" i="6"/>
  <c r="BX196" i="6"/>
  <c r="BZ196" i="6"/>
  <c r="BY196" i="6"/>
  <c r="AC136" i="6"/>
  <c r="AC142" i="6"/>
  <c r="BY147" i="6"/>
  <c r="BZ146" i="6"/>
  <c r="BX146" i="6"/>
  <c r="BX147" i="6"/>
  <c r="BZ147" i="6"/>
  <c r="BY146" i="6"/>
  <c r="BY120" i="6"/>
  <c r="BX120" i="6"/>
  <c r="BZ120" i="6"/>
  <c r="BY142" i="6"/>
  <c r="BX142" i="6"/>
  <c r="BZ142" i="6"/>
  <c r="BZ63" i="6"/>
  <c r="BX63" i="6"/>
  <c r="BY63" i="6"/>
  <c r="BY64" i="6"/>
  <c r="BZ62" i="6"/>
  <c r="BX62" i="6"/>
  <c r="BZ64" i="6"/>
  <c r="BX64" i="6"/>
  <c r="BY68" i="6"/>
  <c r="BY62" i="6"/>
  <c r="BX68" i="6"/>
  <c r="BZ68" i="6"/>
  <c r="BY193" i="6"/>
  <c r="BX193" i="6"/>
  <c r="BZ193" i="6"/>
  <c r="E37" i="4"/>
  <c r="BY203" i="6"/>
  <c r="BZ203" i="6"/>
  <c r="BX203" i="6"/>
  <c r="AC128" i="6"/>
  <c r="AC118" i="6"/>
  <c r="AC54" i="6"/>
  <c r="BY148" i="6"/>
  <c r="BX148" i="6"/>
  <c r="BZ148" i="6"/>
  <c r="BY6" i="6"/>
  <c r="BY7" i="6"/>
  <c r="BZ6" i="6"/>
  <c r="BX6" i="6"/>
  <c r="BX7" i="6"/>
  <c r="BZ7" i="6"/>
  <c r="AR1" i="6"/>
  <c r="BX163" i="6"/>
  <c r="BZ163" i="6"/>
  <c r="BX61" i="6"/>
  <c r="BZ61" i="6"/>
  <c r="BY152" i="6"/>
  <c r="BY163" i="6"/>
  <c r="BX152" i="6"/>
  <c r="BZ152" i="6"/>
  <c r="BY61" i="6"/>
  <c r="BY140" i="6"/>
  <c r="BX140" i="6"/>
  <c r="BZ140" i="6"/>
  <c r="BY216" i="6"/>
  <c r="BX216" i="6"/>
  <c r="BZ216" i="6"/>
  <c r="BY123" i="6"/>
  <c r="BZ123" i="6"/>
  <c r="BX123" i="6"/>
  <c r="BY195" i="6"/>
  <c r="BY192" i="6"/>
  <c r="BX192" i="6"/>
  <c r="BZ192" i="6"/>
  <c r="BY46" i="6"/>
  <c r="BZ46" i="6"/>
  <c r="BX46" i="6"/>
  <c r="BY132" i="6"/>
  <c r="BX132" i="6"/>
  <c r="BZ132" i="6"/>
  <c r="BY60" i="6"/>
  <c r="BX60" i="6"/>
  <c r="BZ60" i="6"/>
  <c r="BY59" i="6"/>
  <c r="BX59" i="6"/>
  <c r="BZ59" i="6"/>
  <c r="BY167" i="6"/>
  <c r="BZ167" i="6"/>
  <c r="BX167" i="6"/>
  <c r="BZ175" i="6"/>
  <c r="BX175" i="6"/>
  <c r="BX174" i="6"/>
  <c r="BZ174" i="6"/>
  <c r="BY175" i="6"/>
  <c r="BY174" i="6"/>
  <c r="BY172" i="6"/>
  <c r="BX172" i="6"/>
  <c r="BZ172" i="6"/>
  <c r="BY176" i="6"/>
  <c r="BZ176" i="6"/>
  <c r="BX176" i="6"/>
  <c r="BY177" i="6"/>
  <c r="BX180" i="6"/>
  <c r="BZ180" i="6"/>
  <c r="BY178" i="6"/>
  <c r="BX178" i="6"/>
  <c r="BZ178" i="6"/>
  <c r="BY180" i="6"/>
  <c r="BY169" i="6"/>
  <c r="BZ169" i="6"/>
  <c r="BX169" i="6"/>
  <c r="I31" i="2"/>
  <c r="I30" i="2" s="1"/>
  <c r="I36" i="2" s="1"/>
  <c r="J31" i="2"/>
  <c r="J30" i="2" s="1"/>
  <c r="BY58" i="6"/>
  <c r="BX58" i="6"/>
  <c r="BZ58" i="6"/>
  <c r="BY56" i="6"/>
  <c r="BZ56" i="6"/>
  <c r="BX56" i="6"/>
  <c r="BY215" i="6"/>
  <c r="BX215" i="6"/>
  <c r="BZ215" i="6"/>
  <c r="BY23" i="6"/>
  <c r="BX23" i="6"/>
  <c r="BZ23" i="6"/>
  <c r="BY137" i="6"/>
  <c r="BY136" i="6"/>
  <c r="BZ137" i="6"/>
  <c r="BX137" i="6"/>
  <c r="BZ138" i="6"/>
  <c r="BX138" i="6"/>
  <c r="BY138" i="6"/>
  <c r="BX139" i="6"/>
  <c r="BZ139" i="6"/>
  <c r="BY139" i="6"/>
  <c r="C35" i="4"/>
  <c r="M35" i="4" s="1"/>
  <c r="D35" i="4"/>
  <c r="E35" i="4"/>
  <c r="F35" i="4"/>
  <c r="BY47" i="6"/>
  <c r="BZ47" i="6"/>
  <c r="BX47" i="6"/>
  <c r="E37" i="1"/>
  <c r="G37" i="1"/>
  <c r="G42" i="1" s="1"/>
  <c r="F37" i="1"/>
  <c r="BX134" i="6"/>
  <c r="BZ134" i="6"/>
  <c r="BY57" i="6"/>
  <c r="BX57" i="6"/>
  <c r="BZ57" i="6"/>
  <c r="BY134" i="6"/>
  <c r="E15" i="1"/>
  <c r="F15" i="1"/>
  <c r="G15" i="1"/>
  <c r="E19" i="1"/>
  <c r="F19" i="1"/>
  <c r="G19" i="1"/>
  <c r="G25" i="1" s="1"/>
  <c r="E21" i="1"/>
  <c r="F21" i="1"/>
  <c r="F25" i="1" s="1"/>
  <c r="G21" i="1"/>
  <c r="E28" i="1"/>
  <c r="G28" i="1"/>
  <c r="G34" i="1" s="1"/>
  <c r="E30" i="1"/>
  <c r="F30" i="1"/>
  <c r="G30" i="1"/>
  <c r="E42" i="1"/>
  <c r="F42" i="1"/>
  <c r="E34" i="1"/>
  <c r="E25" i="1"/>
  <c r="G37" i="3"/>
  <c r="G36" i="3" s="1"/>
  <c r="F36" i="3"/>
  <c r="E36" i="3"/>
  <c r="E38" i="3" s="1"/>
  <c r="D36" i="3"/>
  <c r="C36" i="3"/>
  <c r="D35" i="3"/>
  <c r="D34" i="3"/>
  <c r="D38" i="3" s="1"/>
  <c r="F34" i="3"/>
  <c r="E34" i="3"/>
  <c r="C34" i="3"/>
  <c r="F38" i="3"/>
  <c r="C38" i="3"/>
  <c r="G35" i="3"/>
  <c r="BY55" i="6"/>
  <c r="BZ55" i="6"/>
  <c r="BX55" i="6"/>
  <c r="BZ179" i="6"/>
  <c r="BY179" i="6"/>
  <c r="BX179" i="6"/>
  <c r="D5" i="1"/>
  <c r="BY54" i="6"/>
  <c r="BX17" i="6"/>
  <c r="BZ17" i="6"/>
  <c r="BY17" i="6"/>
  <c r="J33" i="2"/>
  <c r="J32" i="2"/>
  <c r="I33" i="2"/>
  <c r="I32" i="2"/>
  <c r="BY117" i="6"/>
  <c r="BX117" i="6"/>
  <c r="BZ117" i="6"/>
  <c r="D5" i="2"/>
  <c r="L45" i="1"/>
  <c r="G45" i="9"/>
  <c r="D45" i="9"/>
  <c r="H46" i="9"/>
  <c r="D46" i="9" s="1"/>
  <c r="H47" i="9"/>
  <c r="D47" i="9" s="1"/>
  <c r="H48" i="9"/>
  <c r="U48" i="9" s="1"/>
  <c r="I48" i="9"/>
  <c r="AA48" i="9"/>
  <c r="J48" i="9"/>
  <c r="AB48" i="9" s="1"/>
  <c r="K48" i="9"/>
  <c r="L48" i="9"/>
  <c r="AD48" i="9" s="1"/>
  <c r="M48" i="9"/>
  <c r="AE48" i="9" s="1"/>
  <c r="N48" i="9"/>
  <c r="AF48" i="9"/>
  <c r="O48" i="9"/>
  <c r="AG48" i="9" s="1"/>
  <c r="P48" i="9"/>
  <c r="Q48" i="9"/>
  <c r="AI48" i="9" s="1"/>
  <c r="AW48" i="9" s="1"/>
  <c r="R48" i="9"/>
  <c r="AJ48" i="9" s="1"/>
  <c r="S48" i="9"/>
  <c r="AK48" i="9"/>
  <c r="T48" i="9"/>
  <c r="D17" i="9"/>
  <c r="X17" i="9"/>
  <c r="D18" i="9"/>
  <c r="X18" i="9" s="1"/>
  <c r="D43" i="9"/>
  <c r="D63" i="9" s="1"/>
  <c r="D44" i="9"/>
  <c r="H49" i="9"/>
  <c r="D49" i="9" s="1"/>
  <c r="I49" i="9"/>
  <c r="AA49" i="9" s="1"/>
  <c r="J49" i="9"/>
  <c r="K49" i="9"/>
  <c r="L49" i="9"/>
  <c r="AD49" i="9" s="1"/>
  <c r="M49" i="9"/>
  <c r="AE49" i="9"/>
  <c r="N49" i="9"/>
  <c r="AF49" i="9" s="1"/>
  <c r="O49" i="9"/>
  <c r="P49" i="9"/>
  <c r="AH49" i="9" s="1"/>
  <c r="Q49" i="9"/>
  <c r="AI49" i="9" s="1"/>
  <c r="R49" i="9"/>
  <c r="AJ49" i="9" s="1"/>
  <c r="S49" i="9"/>
  <c r="T49" i="9"/>
  <c r="D50" i="9"/>
  <c r="D51" i="9"/>
  <c r="D61" i="9" s="1"/>
  <c r="D64" i="9" s="1"/>
  <c r="D76" i="9"/>
  <c r="D77" i="9"/>
  <c r="D78" i="9"/>
  <c r="B78" i="9"/>
  <c r="B77" i="9"/>
  <c r="B76" i="9"/>
  <c r="B75" i="9"/>
  <c r="D70" i="9"/>
  <c r="D74" i="9" s="1"/>
  <c r="F74" i="9" s="1"/>
  <c r="D71" i="9"/>
  <c r="D72" i="9"/>
  <c r="D73" i="9"/>
  <c r="B73" i="9"/>
  <c r="B72" i="9"/>
  <c r="B71" i="9"/>
  <c r="E69" i="9"/>
  <c r="D67" i="9"/>
  <c r="D69" i="9" s="1"/>
  <c r="F69" i="9" s="1"/>
  <c r="D68" i="9"/>
  <c r="B68" i="9"/>
  <c r="B67" i="9"/>
  <c r="E66" i="9"/>
  <c r="D65" i="9"/>
  <c r="D66" i="9"/>
  <c r="B65" i="9"/>
  <c r="D59" i="9"/>
  <c r="D60" i="9"/>
  <c r="D62" i="9"/>
  <c r="A19" i="1"/>
  <c r="X55" i="9"/>
  <c r="AN55" i="9" s="1"/>
  <c r="Y55" i="9"/>
  <c r="Z55" i="9"/>
  <c r="AP55" i="9"/>
  <c r="AA55" i="9"/>
  <c r="AQ55" i="9" s="1"/>
  <c r="AB55" i="9"/>
  <c r="AR55" i="9" s="1"/>
  <c r="AC55" i="9"/>
  <c r="AS55" i="9" s="1"/>
  <c r="AD55" i="9"/>
  <c r="AT55" i="9"/>
  <c r="AE55" i="9"/>
  <c r="AU55" i="9" s="1"/>
  <c r="AF55" i="9"/>
  <c r="AV55" i="9"/>
  <c r="AG55" i="9"/>
  <c r="AW55" i="9" s="1"/>
  <c r="AH55" i="9"/>
  <c r="AX55" i="9"/>
  <c r="AI55" i="9"/>
  <c r="AY55" i="9" s="1"/>
  <c r="AJ55" i="9"/>
  <c r="AZ55" i="9" s="1"/>
  <c r="AK55" i="9"/>
  <c r="BA55" i="9" s="1"/>
  <c r="AL55" i="9"/>
  <c r="BB55" i="9"/>
  <c r="U55" i="9"/>
  <c r="B55" i="9"/>
  <c r="X54" i="9"/>
  <c r="AN54" i="9" s="1"/>
  <c r="Y54" i="9"/>
  <c r="AO54" i="9" s="1"/>
  <c r="Z54" i="9"/>
  <c r="AP54" i="9"/>
  <c r="AA54" i="9"/>
  <c r="AQ54" i="9" s="1"/>
  <c r="AB54" i="9"/>
  <c r="AR54" i="9" s="1"/>
  <c r="AC54" i="9"/>
  <c r="AS54" i="9"/>
  <c r="AD54" i="9"/>
  <c r="AT54" i="9"/>
  <c r="AE54" i="9"/>
  <c r="AU54" i="9" s="1"/>
  <c r="AF54" i="9"/>
  <c r="AV54" i="9"/>
  <c r="AG54" i="9"/>
  <c r="AW54" i="9" s="1"/>
  <c r="AH54" i="9"/>
  <c r="AX54" i="9"/>
  <c r="AI54" i="9"/>
  <c r="AY54" i="9" s="1"/>
  <c r="AJ54" i="9"/>
  <c r="AZ54" i="9"/>
  <c r="AK54" i="9"/>
  <c r="BA54" i="9" s="1"/>
  <c r="T54" i="9"/>
  <c r="AL54" i="9"/>
  <c r="BB54" i="9" s="1"/>
  <c r="B54" i="9"/>
  <c r="BD53" i="9"/>
  <c r="BD52" i="9"/>
  <c r="X51" i="9"/>
  <c r="Y51" i="9"/>
  <c r="Z51" i="9"/>
  <c r="AA51" i="9"/>
  <c r="AQ51" i="9" s="1"/>
  <c r="AB51" i="9"/>
  <c r="AC51" i="9"/>
  <c r="AD51" i="9"/>
  <c r="AE51" i="9"/>
  <c r="AF51" i="9"/>
  <c r="AG51" i="9"/>
  <c r="AH51" i="9"/>
  <c r="AI51" i="9"/>
  <c r="AY51" i="9" s="1"/>
  <c r="AJ51" i="9"/>
  <c r="AK51" i="9"/>
  <c r="AL51" i="9"/>
  <c r="AN51" i="9"/>
  <c r="AO51" i="9"/>
  <c r="AP51" i="9"/>
  <c r="AR51" i="9"/>
  <c r="AS51" i="9"/>
  <c r="AT51" i="9"/>
  <c r="AV51" i="9"/>
  <c r="AW51" i="9"/>
  <c r="AX51" i="9"/>
  <c r="AZ51" i="9"/>
  <c r="BA51" i="9"/>
  <c r="BB51" i="9"/>
  <c r="U51" i="9"/>
  <c r="I50" i="9"/>
  <c r="J50" i="9"/>
  <c r="K50" i="9"/>
  <c r="L50" i="9"/>
  <c r="M50" i="9"/>
  <c r="U50" i="9" s="1"/>
  <c r="N50" i="9"/>
  <c r="O50" i="9"/>
  <c r="P50" i="9"/>
  <c r="B50" i="9"/>
  <c r="X49" i="9"/>
  <c r="Y49" i="9"/>
  <c r="Z49" i="9"/>
  <c r="AB49" i="9"/>
  <c r="AC49" i="9"/>
  <c r="AS49" i="9" s="1"/>
  <c r="AG49" i="9"/>
  <c r="AK49" i="9"/>
  <c r="BA49" i="9" s="1"/>
  <c r="AL49" i="9"/>
  <c r="AN49" i="9"/>
  <c r="AP49" i="9"/>
  <c r="AQ49" i="9"/>
  <c r="AR49" i="9"/>
  <c r="AT49" i="9"/>
  <c r="AU49" i="9"/>
  <c r="AV49" i="9"/>
  <c r="AX49" i="9"/>
  <c r="AY49" i="9"/>
  <c r="AZ49" i="9"/>
  <c r="BB49" i="9"/>
  <c r="B49" i="9"/>
  <c r="X48" i="9"/>
  <c r="Y48" i="9"/>
  <c r="Z48" i="9"/>
  <c r="AO48" i="9" s="1"/>
  <c r="AH48" i="9"/>
  <c r="AL48" i="9"/>
  <c r="AN48" i="9"/>
  <c r="AP48" i="9"/>
  <c r="AQ48" i="9"/>
  <c r="AR48" i="9"/>
  <c r="AT48" i="9"/>
  <c r="AU48" i="9"/>
  <c r="AV48" i="9"/>
  <c r="AX48" i="9"/>
  <c r="AY48" i="9"/>
  <c r="AZ48" i="9"/>
  <c r="BB48" i="9"/>
  <c r="B48" i="9"/>
  <c r="X47" i="9"/>
  <c r="Y47" i="9"/>
  <c r="AA47" i="9"/>
  <c r="AB47" i="9"/>
  <c r="AC47" i="9"/>
  <c r="AD47" i="9"/>
  <c r="AE47" i="9"/>
  <c r="AF47" i="9"/>
  <c r="AG47" i="9"/>
  <c r="AH47" i="9"/>
  <c r="AI47" i="9"/>
  <c r="AW47" i="9" s="1"/>
  <c r="AJ47" i="9"/>
  <c r="AK47" i="9"/>
  <c r="AL47" i="9"/>
  <c r="AN47" i="9"/>
  <c r="AP47" i="9"/>
  <c r="AQ47" i="9"/>
  <c r="AR47" i="9"/>
  <c r="AT47" i="9"/>
  <c r="AU47" i="9"/>
  <c r="AV47" i="9"/>
  <c r="AX47" i="9"/>
  <c r="AY47" i="9"/>
  <c r="AZ47" i="9"/>
  <c r="BB47" i="9"/>
  <c r="B47" i="9"/>
  <c r="X46" i="9"/>
  <c r="Y46" i="9"/>
  <c r="Z46" i="9"/>
  <c r="AA46" i="9"/>
  <c r="AP46" i="9" s="1"/>
  <c r="AB46" i="9"/>
  <c r="AC46" i="9"/>
  <c r="AD46" i="9"/>
  <c r="AE46" i="9"/>
  <c r="AF46" i="9"/>
  <c r="AG46" i="9"/>
  <c r="AH46" i="9"/>
  <c r="AI46" i="9"/>
  <c r="AJ46" i="9"/>
  <c r="AK46" i="9"/>
  <c r="AL46" i="9"/>
  <c r="BB46" i="9" s="1"/>
  <c r="AN46" i="9"/>
  <c r="AO46" i="9"/>
  <c r="AQ46" i="9"/>
  <c r="AR46" i="9"/>
  <c r="AS46" i="9"/>
  <c r="AU46" i="9"/>
  <c r="AV46" i="9"/>
  <c r="AW46" i="9"/>
  <c r="AY46" i="9"/>
  <c r="AZ46" i="9"/>
  <c r="BA46" i="9"/>
  <c r="U46" i="9"/>
  <c r="B46" i="9"/>
  <c r="X45" i="9"/>
  <c r="Z45" i="9"/>
  <c r="AA45" i="9"/>
  <c r="AB45" i="9"/>
  <c r="AR45" i="9" s="1"/>
  <c r="AC45" i="9"/>
  <c r="AD45" i="9"/>
  <c r="AE45" i="9"/>
  <c r="AF45" i="9"/>
  <c r="AG45" i="9"/>
  <c r="AV45" i="9" s="1"/>
  <c r="AH45" i="9"/>
  <c r="AI45" i="9"/>
  <c r="AJ45" i="9"/>
  <c r="AK45" i="9"/>
  <c r="AL45" i="9"/>
  <c r="AO45" i="9"/>
  <c r="AP45" i="9"/>
  <c r="AQ45" i="9"/>
  <c r="AS45" i="9"/>
  <c r="AT45" i="9"/>
  <c r="AU45" i="9"/>
  <c r="AW45" i="9"/>
  <c r="AX45" i="9"/>
  <c r="AY45" i="9"/>
  <c r="BA45" i="9"/>
  <c r="BB45" i="9"/>
  <c r="B45" i="9"/>
  <c r="X44" i="9"/>
  <c r="Y44" i="9"/>
  <c r="Z44" i="9"/>
  <c r="AA44" i="9"/>
  <c r="AB44" i="9"/>
  <c r="AC44" i="9"/>
  <c r="AD44" i="9"/>
  <c r="AT44" i="9" s="1"/>
  <c r="AE44" i="9"/>
  <c r="AF44" i="9"/>
  <c r="AG44" i="9"/>
  <c r="AH44" i="9"/>
  <c r="AX44" i="9" s="1"/>
  <c r="AI44" i="9"/>
  <c r="AJ44" i="9"/>
  <c r="AK44" i="9"/>
  <c r="AL44" i="9"/>
  <c r="BB44" i="9" s="1"/>
  <c r="AN44" i="9"/>
  <c r="AO44" i="9"/>
  <c r="AQ44" i="9"/>
  <c r="AR44" i="9"/>
  <c r="AS44" i="9"/>
  <c r="AU44" i="9"/>
  <c r="AV44" i="9"/>
  <c r="AW44" i="9"/>
  <c r="AY44" i="9"/>
  <c r="AZ44" i="9"/>
  <c r="BA44" i="9"/>
  <c r="U44" i="9"/>
  <c r="X43" i="9"/>
  <c r="Y43" i="9"/>
  <c r="Z43" i="9"/>
  <c r="AA43" i="9"/>
  <c r="AB43" i="9"/>
  <c r="AC43" i="9"/>
  <c r="AD43" i="9"/>
  <c r="AE43" i="9"/>
  <c r="AF43" i="9"/>
  <c r="AG43" i="9"/>
  <c r="AH43" i="9"/>
  <c r="AW43" i="9" s="1"/>
  <c r="AI43" i="9"/>
  <c r="AJ43" i="9"/>
  <c r="AK43" i="9"/>
  <c r="BA43" i="9" s="1"/>
  <c r="AL43" i="9"/>
  <c r="AN43" i="9"/>
  <c r="AP43" i="9"/>
  <c r="AQ43" i="9"/>
  <c r="AR43" i="9"/>
  <c r="AT43" i="9"/>
  <c r="AU43" i="9"/>
  <c r="AV43" i="9"/>
  <c r="AX43" i="9"/>
  <c r="AY43" i="9"/>
  <c r="AZ43" i="9"/>
  <c r="BB43" i="9"/>
  <c r="U43" i="9"/>
  <c r="BD42" i="9"/>
  <c r="BD41" i="9"/>
  <c r="X40" i="9"/>
  <c r="BD40" i="9" s="1"/>
  <c r="Y40" i="9"/>
  <c r="Z40" i="9"/>
  <c r="AA40" i="9"/>
  <c r="AB40" i="9"/>
  <c r="AC40" i="9"/>
  <c r="AD40" i="9"/>
  <c r="AE40" i="9"/>
  <c r="AF40" i="9"/>
  <c r="AG40" i="9"/>
  <c r="AH40" i="9"/>
  <c r="AI40" i="9"/>
  <c r="AJ40" i="9"/>
  <c r="AK40" i="9"/>
  <c r="AL40" i="9"/>
  <c r="AN40" i="9"/>
  <c r="AO40" i="9"/>
  <c r="AP40" i="9"/>
  <c r="AQ40" i="9"/>
  <c r="AR40" i="9"/>
  <c r="AS40" i="9"/>
  <c r="AT40" i="9"/>
  <c r="AU40" i="9"/>
  <c r="AV40" i="9"/>
  <c r="AW40" i="9"/>
  <c r="AX40" i="9"/>
  <c r="AY40" i="9"/>
  <c r="AZ40" i="9"/>
  <c r="BA40" i="9"/>
  <c r="BB40" i="9"/>
  <c r="A34" i="1"/>
  <c r="A35" i="1"/>
  <c r="A25" i="1"/>
  <c r="A26" i="1"/>
  <c r="A27" i="1"/>
  <c r="X38" i="9"/>
  <c r="Y38" i="9"/>
  <c r="Z38" i="9"/>
  <c r="BD38" i="9" s="1"/>
  <c r="AA38" i="9"/>
  <c r="AB38" i="9"/>
  <c r="AC38" i="9"/>
  <c r="AD38" i="9"/>
  <c r="AE38" i="9"/>
  <c r="AF38" i="9"/>
  <c r="AG38" i="9"/>
  <c r="AH38" i="9"/>
  <c r="AI38" i="9"/>
  <c r="AJ38" i="9"/>
  <c r="AK38" i="9"/>
  <c r="AL38" i="9"/>
  <c r="AN38" i="9"/>
  <c r="AO38" i="9"/>
  <c r="AP38" i="9"/>
  <c r="AQ38" i="9"/>
  <c r="AR38" i="9"/>
  <c r="AS38" i="9"/>
  <c r="AT38" i="9"/>
  <c r="AU38" i="9"/>
  <c r="AV38" i="9"/>
  <c r="AW38" i="9"/>
  <c r="AX38" i="9"/>
  <c r="AY38" i="9"/>
  <c r="AZ38" i="9"/>
  <c r="BA38" i="9"/>
  <c r="BB38" i="9"/>
  <c r="U38" i="9"/>
  <c r="B38" i="9"/>
  <c r="X37" i="9"/>
  <c r="Y37" i="9"/>
  <c r="Z37" i="9"/>
  <c r="AA37" i="9"/>
  <c r="AB37" i="9"/>
  <c r="AC37" i="9"/>
  <c r="L37" i="9"/>
  <c r="AD37" i="9" s="1"/>
  <c r="M37" i="9"/>
  <c r="AE37" i="9" s="1"/>
  <c r="AF37" i="9"/>
  <c r="AG37" i="9"/>
  <c r="P37" i="9"/>
  <c r="AH37" i="9" s="1"/>
  <c r="Q37" i="9"/>
  <c r="AI37" i="9" s="1"/>
  <c r="AJ37" i="9"/>
  <c r="AK37" i="9"/>
  <c r="T37" i="9"/>
  <c r="AL37" i="9"/>
  <c r="AN37" i="9"/>
  <c r="AO37" i="9"/>
  <c r="AP37" i="9"/>
  <c r="AQ37" i="9"/>
  <c r="AR37" i="9"/>
  <c r="AS37" i="9"/>
  <c r="AT37" i="9"/>
  <c r="AU37" i="9"/>
  <c r="AV37" i="9"/>
  <c r="AW37" i="9"/>
  <c r="AX37" i="9"/>
  <c r="AY37" i="9"/>
  <c r="AZ37" i="9"/>
  <c r="BA37" i="9"/>
  <c r="BB37" i="9"/>
  <c r="B37" i="9"/>
  <c r="X36" i="9"/>
  <c r="Y36" i="9"/>
  <c r="Z36" i="9"/>
  <c r="AA36" i="9"/>
  <c r="AB36" i="9"/>
  <c r="AC36" i="9"/>
  <c r="AD36" i="9"/>
  <c r="AE36" i="9"/>
  <c r="AF36" i="9"/>
  <c r="AG36" i="9"/>
  <c r="AH36" i="9"/>
  <c r="AI36" i="9"/>
  <c r="AJ36" i="9"/>
  <c r="AK36" i="9"/>
  <c r="AL36" i="9"/>
  <c r="AN36" i="9"/>
  <c r="AO36" i="9"/>
  <c r="AP36" i="9"/>
  <c r="AQ36" i="9"/>
  <c r="AR36" i="9"/>
  <c r="AS36" i="9"/>
  <c r="AT36" i="9"/>
  <c r="AU36" i="9"/>
  <c r="AV36" i="9"/>
  <c r="AW36" i="9"/>
  <c r="AX36" i="9"/>
  <c r="AY36" i="9"/>
  <c r="AZ36" i="9"/>
  <c r="BA36" i="9"/>
  <c r="BB36" i="9"/>
  <c r="U36" i="9"/>
  <c r="B36" i="9"/>
  <c r="X35" i="9"/>
  <c r="BD35" i="9" s="1"/>
  <c r="Y35" i="9"/>
  <c r="Z35" i="9"/>
  <c r="AA35" i="9"/>
  <c r="AB35" i="9"/>
  <c r="AC35" i="9"/>
  <c r="AD35" i="9"/>
  <c r="AE35" i="9"/>
  <c r="AF35" i="9"/>
  <c r="AG35" i="9"/>
  <c r="AH35" i="9"/>
  <c r="AI35" i="9"/>
  <c r="AJ35" i="9"/>
  <c r="AK35" i="9"/>
  <c r="AL35" i="9"/>
  <c r="AN35" i="9"/>
  <c r="AO35" i="9"/>
  <c r="AP35" i="9"/>
  <c r="AQ35" i="9"/>
  <c r="AR35" i="9"/>
  <c r="AS35" i="9"/>
  <c r="AT35" i="9"/>
  <c r="AU35" i="9"/>
  <c r="AV35" i="9"/>
  <c r="AW35" i="9"/>
  <c r="AX35" i="9"/>
  <c r="AY35" i="9"/>
  <c r="AZ35" i="9"/>
  <c r="BA35" i="9"/>
  <c r="BB35" i="9"/>
  <c r="U35" i="9"/>
  <c r="B35" i="9"/>
  <c r="X34" i="9"/>
  <c r="BD34" i="9" s="1"/>
  <c r="Y34" i="9"/>
  <c r="Z34" i="9"/>
  <c r="AA34" i="9"/>
  <c r="AB34" i="9"/>
  <c r="AC34" i="9"/>
  <c r="AD34" i="9"/>
  <c r="AE34" i="9"/>
  <c r="AF34" i="9"/>
  <c r="AG34" i="9"/>
  <c r="AH34" i="9"/>
  <c r="AI34" i="9"/>
  <c r="AJ34" i="9"/>
  <c r="AK34" i="9"/>
  <c r="AL34" i="9"/>
  <c r="AN34" i="9"/>
  <c r="AO34" i="9"/>
  <c r="AP34" i="9"/>
  <c r="AQ34" i="9"/>
  <c r="AR34" i="9"/>
  <c r="AS34" i="9"/>
  <c r="AT34" i="9"/>
  <c r="AU34" i="9"/>
  <c r="AV34" i="9"/>
  <c r="AW34" i="9"/>
  <c r="AX34" i="9"/>
  <c r="AY34" i="9"/>
  <c r="AZ34" i="9"/>
  <c r="BA34" i="9"/>
  <c r="BB34" i="9"/>
  <c r="U34" i="9"/>
  <c r="B34" i="9"/>
  <c r="X33" i="9"/>
  <c r="BD33" i="9" s="1"/>
  <c r="Y33" i="9"/>
  <c r="Z33" i="9"/>
  <c r="AA33" i="9"/>
  <c r="AB33" i="9"/>
  <c r="AC33" i="9"/>
  <c r="AD33" i="9"/>
  <c r="AE33" i="9"/>
  <c r="AF33" i="9"/>
  <c r="AG33" i="9"/>
  <c r="AH33" i="9"/>
  <c r="AI33" i="9"/>
  <c r="AJ33" i="9"/>
  <c r="AK33" i="9"/>
  <c r="AL33" i="9"/>
  <c r="AN33" i="9"/>
  <c r="AO33" i="9"/>
  <c r="AP33" i="9"/>
  <c r="AQ33" i="9"/>
  <c r="AR33" i="9"/>
  <c r="AS33" i="9"/>
  <c r="AT33" i="9"/>
  <c r="AU33" i="9"/>
  <c r="AV33" i="9"/>
  <c r="AW33" i="9"/>
  <c r="AX33" i="9"/>
  <c r="AY33" i="9"/>
  <c r="AZ33" i="9"/>
  <c r="BA33" i="9"/>
  <c r="BB33" i="9"/>
  <c r="U33" i="9"/>
  <c r="B33" i="9"/>
  <c r="X32" i="9"/>
  <c r="Y32" i="9"/>
  <c r="Z32" i="9"/>
  <c r="BD32" i="9" s="1"/>
  <c r="AA32" i="9"/>
  <c r="AB32" i="9"/>
  <c r="AC32" i="9"/>
  <c r="AD32" i="9"/>
  <c r="AE32" i="9"/>
  <c r="AF32" i="9"/>
  <c r="AG32" i="9"/>
  <c r="AH32" i="9"/>
  <c r="AI32" i="9"/>
  <c r="AJ32" i="9"/>
  <c r="AK32" i="9"/>
  <c r="AL32" i="9"/>
  <c r="AN32" i="9"/>
  <c r="AO32" i="9"/>
  <c r="AP32" i="9"/>
  <c r="AQ32" i="9"/>
  <c r="AR32" i="9"/>
  <c r="AS32" i="9"/>
  <c r="AT32" i="9"/>
  <c r="AU32" i="9"/>
  <c r="AV32" i="9"/>
  <c r="AW32" i="9"/>
  <c r="AX32" i="9"/>
  <c r="AY32" i="9"/>
  <c r="AZ32" i="9"/>
  <c r="BA32" i="9"/>
  <c r="BB32" i="9"/>
  <c r="U32" i="9"/>
  <c r="B32" i="9"/>
  <c r="BB31" i="9"/>
  <c r="BA31" i="9"/>
  <c r="AZ31" i="9"/>
  <c r="AY31" i="9"/>
  <c r="AX31" i="9"/>
  <c r="AW31" i="9"/>
  <c r="AV31" i="9"/>
  <c r="AU31" i="9"/>
  <c r="AT31" i="9"/>
  <c r="AS31" i="9"/>
  <c r="AR31" i="9"/>
  <c r="AQ31" i="9"/>
  <c r="AP31" i="9"/>
  <c r="AO31" i="9"/>
  <c r="AN31" i="9"/>
  <c r="AL31" i="9"/>
  <c r="AK31" i="9"/>
  <c r="AJ31" i="9"/>
  <c r="AI31" i="9"/>
  <c r="AH31" i="9"/>
  <c r="AG31" i="9"/>
  <c r="AF31" i="9"/>
  <c r="AE31" i="9"/>
  <c r="AD31" i="9"/>
  <c r="AC31" i="9"/>
  <c r="AB31" i="9"/>
  <c r="AA31" i="9"/>
  <c r="Z31" i="9"/>
  <c r="Y31" i="9"/>
  <c r="X31" i="9"/>
  <c r="U31" i="9"/>
  <c r="BB30" i="9"/>
  <c r="BA30" i="9"/>
  <c r="AZ30" i="9"/>
  <c r="AY30" i="9"/>
  <c r="AX30" i="9"/>
  <c r="AW30" i="9"/>
  <c r="AV30" i="9"/>
  <c r="AU30" i="9"/>
  <c r="AT30" i="9"/>
  <c r="AS30" i="9"/>
  <c r="AR30" i="9"/>
  <c r="AQ30" i="9"/>
  <c r="AP30" i="9"/>
  <c r="AO30" i="9"/>
  <c r="AN30" i="9"/>
  <c r="AL30" i="9"/>
  <c r="AK30" i="9"/>
  <c r="AJ30" i="9"/>
  <c r="AI30" i="9"/>
  <c r="AH30" i="9"/>
  <c r="AG30" i="9"/>
  <c r="AF30" i="9"/>
  <c r="AE30" i="9"/>
  <c r="AD30" i="9"/>
  <c r="AC30" i="9"/>
  <c r="AB30" i="9"/>
  <c r="AA30" i="9"/>
  <c r="Z30" i="9"/>
  <c r="Y30" i="9"/>
  <c r="X30" i="9"/>
  <c r="U30" i="9"/>
  <c r="BB29" i="9"/>
  <c r="BA29" i="9"/>
  <c r="AZ29" i="9"/>
  <c r="AY29" i="9"/>
  <c r="AX29" i="9"/>
  <c r="AW29" i="9"/>
  <c r="AV29" i="9"/>
  <c r="AU29" i="9"/>
  <c r="AT29" i="9"/>
  <c r="AS29" i="9"/>
  <c r="AR29" i="9"/>
  <c r="AQ29" i="9"/>
  <c r="AP29" i="9"/>
  <c r="AO29" i="9"/>
  <c r="AN29" i="9"/>
  <c r="AL29" i="9"/>
  <c r="AK29" i="9"/>
  <c r="AJ29" i="9"/>
  <c r="AI29" i="9"/>
  <c r="AH29" i="9"/>
  <c r="AG29" i="9"/>
  <c r="AF29" i="9"/>
  <c r="AE29" i="9"/>
  <c r="AD29" i="9"/>
  <c r="AC29" i="9"/>
  <c r="AB29" i="9"/>
  <c r="AA29" i="9"/>
  <c r="Z29" i="9"/>
  <c r="Y29" i="9"/>
  <c r="X29" i="9"/>
  <c r="U29" i="9"/>
  <c r="BB28" i="9"/>
  <c r="BA28" i="9"/>
  <c r="AZ28" i="9"/>
  <c r="AY28" i="9"/>
  <c r="AX28" i="9"/>
  <c r="AW28" i="9"/>
  <c r="AV28" i="9"/>
  <c r="AU28" i="9"/>
  <c r="AT28" i="9"/>
  <c r="AS28" i="9"/>
  <c r="AR28" i="9"/>
  <c r="AQ28" i="9"/>
  <c r="AP28" i="9"/>
  <c r="AO28" i="9"/>
  <c r="AN28" i="9"/>
  <c r="AL28" i="9"/>
  <c r="AK28" i="9"/>
  <c r="AJ28" i="9"/>
  <c r="AI28" i="9"/>
  <c r="AH28" i="9"/>
  <c r="AG28" i="9"/>
  <c r="AF28" i="9"/>
  <c r="AE28" i="9"/>
  <c r="AD28" i="9"/>
  <c r="AC28" i="9"/>
  <c r="AB28" i="9"/>
  <c r="AA28" i="9"/>
  <c r="Z28" i="9"/>
  <c r="Y28" i="9"/>
  <c r="X28" i="9"/>
  <c r="U28" i="9"/>
  <c r="X27" i="9"/>
  <c r="Y27" i="9"/>
  <c r="Z27" i="9"/>
  <c r="AA27" i="9"/>
  <c r="AB27" i="9"/>
  <c r="AC27" i="9"/>
  <c r="AD27" i="9"/>
  <c r="AE27" i="9"/>
  <c r="AF27" i="9"/>
  <c r="AG27" i="9"/>
  <c r="AH27" i="9"/>
  <c r="AI27" i="9"/>
  <c r="AJ27" i="9"/>
  <c r="AK27" i="9"/>
  <c r="AL27" i="9"/>
  <c r="AN27" i="9"/>
  <c r="AO27" i="9"/>
  <c r="AP27" i="9"/>
  <c r="AQ27" i="9"/>
  <c r="AR27" i="9"/>
  <c r="AS27" i="9"/>
  <c r="AT27" i="9"/>
  <c r="AU27" i="9"/>
  <c r="AV27" i="9"/>
  <c r="AW27" i="9"/>
  <c r="AX27" i="9"/>
  <c r="AY27" i="9"/>
  <c r="AZ27" i="9"/>
  <c r="BA27" i="9"/>
  <c r="BB27" i="9"/>
  <c r="U27" i="9"/>
  <c r="X26" i="9"/>
  <c r="Y26" i="9"/>
  <c r="Z26" i="9"/>
  <c r="AA26" i="9"/>
  <c r="BD26" i="9" s="1"/>
  <c r="AB26" i="9"/>
  <c r="AC26" i="9"/>
  <c r="AD26" i="9"/>
  <c r="AE26" i="9"/>
  <c r="AF26" i="9"/>
  <c r="AG26" i="9"/>
  <c r="AH26" i="9"/>
  <c r="AI26" i="9"/>
  <c r="AJ26" i="9"/>
  <c r="AK26" i="9"/>
  <c r="AL26" i="9"/>
  <c r="AN26" i="9"/>
  <c r="AO26" i="9"/>
  <c r="AP26" i="9"/>
  <c r="AQ26" i="9"/>
  <c r="AR26" i="9"/>
  <c r="AS26" i="9"/>
  <c r="AT26" i="9"/>
  <c r="AU26" i="9"/>
  <c r="AV26" i="9"/>
  <c r="AW26" i="9"/>
  <c r="AX26" i="9"/>
  <c r="AY26" i="9"/>
  <c r="AZ26" i="9"/>
  <c r="BA26" i="9"/>
  <c r="BB26" i="9"/>
  <c r="U26" i="9"/>
  <c r="X25" i="9"/>
  <c r="Y25" i="9"/>
  <c r="Z25" i="9"/>
  <c r="AA25" i="9"/>
  <c r="AB25" i="9"/>
  <c r="AC25" i="9"/>
  <c r="AD25" i="9"/>
  <c r="AE25" i="9"/>
  <c r="AF25" i="9"/>
  <c r="AG25" i="9"/>
  <c r="AH25" i="9"/>
  <c r="AI25" i="9"/>
  <c r="AJ25" i="9"/>
  <c r="AK25" i="9"/>
  <c r="AL25" i="9"/>
  <c r="AN25" i="9"/>
  <c r="AO25" i="9"/>
  <c r="AP25" i="9"/>
  <c r="AQ25" i="9"/>
  <c r="AR25" i="9"/>
  <c r="AS25" i="9"/>
  <c r="AT25" i="9"/>
  <c r="AU25" i="9"/>
  <c r="AV25" i="9"/>
  <c r="AW25" i="9"/>
  <c r="AX25" i="9"/>
  <c r="AY25" i="9"/>
  <c r="AZ25" i="9"/>
  <c r="BA25" i="9"/>
  <c r="BB25" i="9"/>
  <c r="U25" i="9"/>
  <c r="B25" i="9"/>
  <c r="X24" i="9"/>
  <c r="BD24" i="9" s="1"/>
  <c r="Y24" i="9"/>
  <c r="Z24" i="9"/>
  <c r="AA24" i="9"/>
  <c r="AB24" i="9"/>
  <c r="AC24" i="9"/>
  <c r="AD24" i="9"/>
  <c r="AE24" i="9"/>
  <c r="AF24" i="9"/>
  <c r="AG24" i="9"/>
  <c r="AH24" i="9"/>
  <c r="AI24" i="9"/>
  <c r="AJ24" i="9"/>
  <c r="AK24" i="9"/>
  <c r="AL24" i="9"/>
  <c r="AN24" i="9"/>
  <c r="AO24" i="9"/>
  <c r="AP24" i="9"/>
  <c r="AQ24" i="9"/>
  <c r="AR24" i="9"/>
  <c r="AS24" i="9"/>
  <c r="AT24" i="9"/>
  <c r="AU24" i="9"/>
  <c r="AV24" i="9"/>
  <c r="AW24" i="9"/>
  <c r="AX24" i="9"/>
  <c r="AY24" i="9"/>
  <c r="AZ24" i="9"/>
  <c r="BA24" i="9"/>
  <c r="BB24" i="9"/>
  <c r="U24" i="9"/>
  <c r="B24" i="9"/>
  <c r="X23" i="9"/>
  <c r="Y23" i="9"/>
  <c r="Z23" i="9"/>
  <c r="AA23" i="9"/>
  <c r="AB23" i="9"/>
  <c r="AC23" i="9"/>
  <c r="AD23" i="9"/>
  <c r="AE23" i="9"/>
  <c r="AF23" i="9"/>
  <c r="AG23" i="9"/>
  <c r="AH23" i="9"/>
  <c r="AI23" i="9"/>
  <c r="AJ23" i="9"/>
  <c r="AK23" i="9"/>
  <c r="AL23" i="9"/>
  <c r="AN23" i="9"/>
  <c r="AO23" i="9"/>
  <c r="AP23" i="9"/>
  <c r="AQ23" i="9"/>
  <c r="AR23" i="9"/>
  <c r="AS23" i="9"/>
  <c r="AT23" i="9"/>
  <c r="AU23" i="9"/>
  <c r="AV23" i="9"/>
  <c r="AW23" i="9"/>
  <c r="AX23" i="9"/>
  <c r="AY23" i="9"/>
  <c r="AZ23" i="9"/>
  <c r="BA23" i="9"/>
  <c r="BB23" i="9"/>
  <c r="U23" i="9"/>
  <c r="B23" i="9"/>
  <c r="X22" i="9"/>
  <c r="BD22" i="9" s="1"/>
  <c r="Y22" i="9"/>
  <c r="Z22" i="9"/>
  <c r="AA22" i="9"/>
  <c r="AB22" i="9"/>
  <c r="AC22" i="9"/>
  <c r="AD22" i="9"/>
  <c r="AE22" i="9"/>
  <c r="AF22" i="9"/>
  <c r="AG22" i="9"/>
  <c r="AH22" i="9"/>
  <c r="AI22" i="9"/>
  <c r="AJ22" i="9"/>
  <c r="AK22" i="9"/>
  <c r="AL22" i="9"/>
  <c r="AN22" i="9"/>
  <c r="AO22" i="9"/>
  <c r="AP22" i="9"/>
  <c r="AQ22" i="9"/>
  <c r="AR22" i="9"/>
  <c r="AS22" i="9"/>
  <c r="AT22" i="9"/>
  <c r="AU22" i="9"/>
  <c r="AV22" i="9"/>
  <c r="AW22" i="9"/>
  <c r="AX22" i="9"/>
  <c r="AY22" i="9"/>
  <c r="AZ22" i="9"/>
  <c r="BA22" i="9"/>
  <c r="BB22" i="9"/>
  <c r="U22" i="9"/>
  <c r="B22" i="9"/>
  <c r="X21" i="9"/>
  <c r="BD21" i="9" s="1"/>
  <c r="Y21" i="9"/>
  <c r="Z21" i="9"/>
  <c r="AA21" i="9"/>
  <c r="AB21" i="9"/>
  <c r="AC21" i="9"/>
  <c r="AD21" i="9"/>
  <c r="AE21" i="9"/>
  <c r="AF21" i="9"/>
  <c r="AG21" i="9"/>
  <c r="AH21" i="9"/>
  <c r="AI21" i="9"/>
  <c r="AJ21" i="9"/>
  <c r="AK21" i="9"/>
  <c r="AL21" i="9"/>
  <c r="AN21" i="9"/>
  <c r="AO21" i="9"/>
  <c r="AP21" i="9"/>
  <c r="AQ21" i="9"/>
  <c r="AR21" i="9"/>
  <c r="AS21" i="9"/>
  <c r="AT21" i="9"/>
  <c r="AU21" i="9"/>
  <c r="AV21" i="9"/>
  <c r="AW21" i="9"/>
  <c r="AX21" i="9"/>
  <c r="AY21" i="9"/>
  <c r="AZ21" i="9"/>
  <c r="BA21" i="9"/>
  <c r="BB21" i="9"/>
  <c r="U21" i="9"/>
  <c r="B21" i="9"/>
  <c r="X20" i="9"/>
  <c r="BD20" i="9" s="1"/>
  <c r="Y20" i="9"/>
  <c r="Z20" i="9"/>
  <c r="AA20" i="9"/>
  <c r="AB20" i="9"/>
  <c r="AC20" i="9"/>
  <c r="AD20" i="9"/>
  <c r="AE20" i="9"/>
  <c r="AF20" i="9"/>
  <c r="AG20" i="9"/>
  <c r="AH20" i="9"/>
  <c r="AI20" i="9"/>
  <c r="AJ20" i="9"/>
  <c r="AK20" i="9"/>
  <c r="AL20" i="9"/>
  <c r="AN20" i="9"/>
  <c r="AO20" i="9"/>
  <c r="AP20" i="9"/>
  <c r="AQ20" i="9"/>
  <c r="AR20" i="9"/>
  <c r="AS20" i="9"/>
  <c r="AT20" i="9"/>
  <c r="AU20" i="9"/>
  <c r="AV20" i="9"/>
  <c r="AW20" i="9"/>
  <c r="AX20" i="9"/>
  <c r="AY20" i="9"/>
  <c r="AZ20" i="9"/>
  <c r="BA20" i="9"/>
  <c r="BB20" i="9"/>
  <c r="U20" i="9"/>
  <c r="B20" i="9"/>
  <c r="X19" i="9"/>
  <c r="BD19" i="9" s="1"/>
  <c r="Y19" i="9"/>
  <c r="Z19" i="9"/>
  <c r="AA19" i="9"/>
  <c r="AB19" i="9"/>
  <c r="AC19" i="9"/>
  <c r="AD19" i="9"/>
  <c r="AE19" i="9"/>
  <c r="AF19" i="9"/>
  <c r="AG19" i="9"/>
  <c r="AH19" i="9"/>
  <c r="AI19" i="9"/>
  <c r="AJ19" i="9"/>
  <c r="AK19" i="9"/>
  <c r="AL19" i="9"/>
  <c r="AN19" i="9"/>
  <c r="AO19" i="9"/>
  <c r="AP19" i="9"/>
  <c r="AQ19" i="9"/>
  <c r="AR19" i="9"/>
  <c r="AS19" i="9"/>
  <c r="AT19" i="9"/>
  <c r="AU19" i="9"/>
  <c r="AV19" i="9"/>
  <c r="AW19" i="9"/>
  <c r="AX19" i="9"/>
  <c r="AY19" i="9"/>
  <c r="AZ19" i="9"/>
  <c r="BA19" i="9"/>
  <c r="BB19" i="9"/>
  <c r="U19" i="9"/>
  <c r="B19" i="9"/>
  <c r="AI18" i="9"/>
  <c r="AN18" i="9"/>
  <c r="AO18" i="9"/>
  <c r="AP18" i="9"/>
  <c r="AQ18" i="9"/>
  <c r="AR18" i="9"/>
  <c r="AS18" i="9"/>
  <c r="AT18" i="9"/>
  <c r="AV18" i="9"/>
  <c r="AW18" i="9"/>
  <c r="AX18" i="9"/>
  <c r="AY18" i="9"/>
  <c r="AZ18" i="9"/>
  <c r="BA18" i="9"/>
  <c r="BB18" i="9"/>
  <c r="U18" i="9"/>
  <c r="B18" i="9"/>
  <c r="Z17" i="9"/>
  <c r="AA17" i="9"/>
  <c r="AD17" i="9"/>
  <c r="AE17" i="9"/>
  <c r="AH17" i="9"/>
  <c r="AI17" i="9"/>
  <c r="AL17" i="9"/>
  <c r="AN17" i="9"/>
  <c r="AO17" i="9"/>
  <c r="AP17" i="9"/>
  <c r="AQ17" i="9"/>
  <c r="AR17" i="9"/>
  <c r="AT17" i="9"/>
  <c r="AU17" i="9"/>
  <c r="AV17" i="9"/>
  <c r="AW17" i="9"/>
  <c r="AX17" i="9"/>
  <c r="AY17" i="9"/>
  <c r="AZ17" i="9"/>
  <c r="BA17" i="9"/>
  <c r="BB17" i="9"/>
  <c r="U17" i="9"/>
  <c r="B17" i="9"/>
  <c r="X16" i="9"/>
  <c r="Y16" i="9"/>
  <c r="Z16" i="9"/>
  <c r="AA16" i="9"/>
  <c r="AB16" i="9"/>
  <c r="AC16" i="9"/>
  <c r="AD16" i="9"/>
  <c r="AE16" i="9"/>
  <c r="AF16" i="9"/>
  <c r="AG16" i="9"/>
  <c r="AH16" i="9"/>
  <c r="AI16" i="9"/>
  <c r="AJ16" i="9"/>
  <c r="AK16" i="9"/>
  <c r="AL16" i="9"/>
  <c r="AN16" i="9"/>
  <c r="AO16" i="9"/>
  <c r="AP16" i="9"/>
  <c r="AQ16" i="9"/>
  <c r="AR16" i="9"/>
  <c r="AS16" i="9"/>
  <c r="AT16" i="9"/>
  <c r="AU16" i="9"/>
  <c r="AV16" i="9"/>
  <c r="AW16" i="9"/>
  <c r="AX16" i="9"/>
  <c r="AY16" i="9"/>
  <c r="AZ16" i="9"/>
  <c r="BA16" i="9"/>
  <c r="BB16" i="9"/>
  <c r="U16" i="9"/>
  <c r="B16" i="9"/>
  <c r="X15" i="9"/>
  <c r="Y15" i="9"/>
  <c r="Z15" i="9"/>
  <c r="AA15" i="9"/>
  <c r="AB15" i="9"/>
  <c r="AC15" i="9"/>
  <c r="AD15" i="9"/>
  <c r="AE15" i="9"/>
  <c r="AF15" i="9"/>
  <c r="AG15" i="9"/>
  <c r="AH15" i="9"/>
  <c r="AI15" i="9"/>
  <c r="AJ15" i="9"/>
  <c r="AK15" i="9"/>
  <c r="AL15" i="9"/>
  <c r="AN15" i="9"/>
  <c r="AO15" i="9"/>
  <c r="AP15" i="9"/>
  <c r="AQ15" i="9"/>
  <c r="AR15" i="9"/>
  <c r="AS15" i="9"/>
  <c r="AT15" i="9"/>
  <c r="AU15" i="9"/>
  <c r="AV15" i="9"/>
  <c r="AW15" i="9"/>
  <c r="AX15" i="9"/>
  <c r="AY15" i="9"/>
  <c r="AZ15" i="9"/>
  <c r="BA15" i="9"/>
  <c r="BB15" i="9"/>
  <c r="U15" i="9"/>
  <c r="B15" i="9"/>
  <c r="X14" i="9"/>
  <c r="Y14" i="9"/>
  <c r="Z14" i="9"/>
  <c r="AA14" i="9"/>
  <c r="AB14" i="9"/>
  <c r="AC14" i="9"/>
  <c r="AD14" i="9"/>
  <c r="AE14" i="9"/>
  <c r="AF14" i="9"/>
  <c r="AG14" i="9"/>
  <c r="AH14" i="9"/>
  <c r="AI14" i="9"/>
  <c r="AJ14" i="9"/>
  <c r="AK14" i="9"/>
  <c r="AL14" i="9"/>
  <c r="AN14" i="9"/>
  <c r="AO14" i="9"/>
  <c r="AP14" i="9"/>
  <c r="AQ14" i="9"/>
  <c r="AR14" i="9"/>
  <c r="AS14" i="9"/>
  <c r="AT14" i="9"/>
  <c r="AU14" i="9"/>
  <c r="AV14" i="9"/>
  <c r="AW14" i="9"/>
  <c r="AX14" i="9"/>
  <c r="AY14" i="9"/>
  <c r="AZ14" i="9"/>
  <c r="BA14" i="9"/>
  <c r="BB14" i="9"/>
  <c r="U14" i="9"/>
  <c r="B14" i="9"/>
  <c r="X13" i="9"/>
  <c r="Y13" i="9"/>
  <c r="Z13" i="9"/>
  <c r="AA13" i="9"/>
  <c r="AB13" i="9"/>
  <c r="AC13" i="9"/>
  <c r="AD13" i="9"/>
  <c r="AE13" i="9"/>
  <c r="AF13" i="9"/>
  <c r="AG13" i="9"/>
  <c r="AH13" i="9"/>
  <c r="AI13" i="9"/>
  <c r="AJ13" i="9"/>
  <c r="AK13" i="9"/>
  <c r="AL13" i="9"/>
  <c r="AN13" i="9"/>
  <c r="AO13" i="9"/>
  <c r="AP13" i="9"/>
  <c r="AQ13" i="9"/>
  <c r="AR13" i="9"/>
  <c r="AS13" i="9"/>
  <c r="AT13" i="9"/>
  <c r="AU13" i="9"/>
  <c r="AV13" i="9"/>
  <c r="AW13" i="9"/>
  <c r="AX13" i="9"/>
  <c r="AY13" i="9"/>
  <c r="AZ13" i="9"/>
  <c r="BA13" i="9"/>
  <c r="BB13" i="9"/>
  <c r="U13" i="9"/>
  <c r="B13" i="9"/>
  <c r="X12" i="9"/>
  <c r="Y12" i="9"/>
  <c r="Z12" i="9"/>
  <c r="AA12" i="9"/>
  <c r="AB12" i="9"/>
  <c r="AC12" i="9"/>
  <c r="AD12" i="9"/>
  <c r="AE12" i="9"/>
  <c r="AF12" i="9"/>
  <c r="AG12" i="9"/>
  <c r="AH12" i="9"/>
  <c r="AI12" i="9"/>
  <c r="AJ12" i="9"/>
  <c r="AK12" i="9"/>
  <c r="AL12" i="9"/>
  <c r="AN12" i="9"/>
  <c r="AO12" i="9"/>
  <c r="AP12" i="9"/>
  <c r="AQ12" i="9"/>
  <c r="AR12" i="9"/>
  <c r="AS12" i="9"/>
  <c r="AT12" i="9"/>
  <c r="AU12" i="9"/>
  <c r="AV12" i="9"/>
  <c r="AW12" i="9"/>
  <c r="AX12" i="9"/>
  <c r="AY12" i="9"/>
  <c r="AZ12" i="9"/>
  <c r="BA12" i="9"/>
  <c r="BB12" i="9"/>
  <c r="U12" i="9"/>
  <c r="B12" i="9"/>
  <c r="X11" i="9"/>
  <c r="Y11" i="9"/>
  <c r="Z11" i="9"/>
  <c r="AA11" i="9"/>
  <c r="AB11" i="9"/>
  <c r="AC11" i="9"/>
  <c r="AD11" i="9"/>
  <c r="AE11" i="9"/>
  <c r="AF11" i="9"/>
  <c r="AG11" i="9"/>
  <c r="AH11" i="9"/>
  <c r="AI11" i="9"/>
  <c r="AJ11" i="9"/>
  <c r="AK11" i="9"/>
  <c r="AL11" i="9"/>
  <c r="AN11" i="9"/>
  <c r="AO11" i="9"/>
  <c r="AP11" i="9"/>
  <c r="AQ11" i="9"/>
  <c r="AR11" i="9"/>
  <c r="AS11" i="9"/>
  <c r="AT11" i="9"/>
  <c r="AU11" i="9"/>
  <c r="AV11" i="9"/>
  <c r="AW11" i="9"/>
  <c r="AX11" i="9"/>
  <c r="AY11" i="9"/>
  <c r="AZ11" i="9"/>
  <c r="BA11" i="9"/>
  <c r="BB11" i="9"/>
  <c r="U11" i="9"/>
  <c r="B11" i="9"/>
  <c r="X10" i="9"/>
  <c r="BD10" i="9" s="1"/>
  <c r="Y10" i="9"/>
  <c r="Z10" i="9"/>
  <c r="AA10" i="9"/>
  <c r="AB10" i="9"/>
  <c r="AC10" i="9"/>
  <c r="AD10" i="9"/>
  <c r="AE10" i="9"/>
  <c r="AF10" i="9"/>
  <c r="AG10" i="9"/>
  <c r="AH10" i="9"/>
  <c r="AI10" i="9"/>
  <c r="AJ10" i="9"/>
  <c r="AK10" i="9"/>
  <c r="AL10" i="9"/>
  <c r="AN10" i="9"/>
  <c r="AO10" i="9"/>
  <c r="AP10" i="9"/>
  <c r="AQ10" i="9"/>
  <c r="AR10" i="9"/>
  <c r="AS10" i="9"/>
  <c r="AT10" i="9"/>
  <c r="AU10" i="9"/>
  <c r="AV10" i="9"/>
  <c r="AW10" i="9"/>
  <c r="AX10" i="9"/>
  <c r="AY10" i="9"/>
  <c r="AZ10" i="9"/>
  <c r="BA10" i="9"/>
  <c r="BB10" i="9"/>
  <c r="U10" i="9"/>
  <c r="B10" i="9"/>
  <c r="X9" i="9"/>
  <c r="BD9" i="9" s="1"/>
  <c r="Y9" i="9"/>
  <c r="Z9" i="9"/>
  <c r="AA9" i="9"/>
  <c r="AB9" i="9"/>
  <c r="AC9" i="9"/>
  <c r="AD9" i="9"/>
  <c r="AE9" i="9"/>
  <c r="AF9" i="9"/>
  <c r="AG9" i="9"/>
  <c r="AH9" i="9"/>
  <c r="AI9" i="9"/>
  <c r="AJ9" i="9"/>
  <c r="AK9" i="9"/>
  <c r="AL9" i="9"/>
  <c r="AN9" i="9"/>
  <c r="AO9" i="9"/>
  <c r="AP9" i="9"/>
  <c r="AQ9" i="9"/>
  <c r="AR9" i="9"/>
  <c r="AS9" i="9"/>
  <c r="AT9" i="9"/>
  <c r="AU9" i="9"/>
  <c r="AV9" i="9"/>
  <c r="AW9" i="9"/>
  <c r="AX9" i="9"/>
  <c r="AY9" i="9"/>
  <c r="AZ9" i="9"/>
  <c r="BA9" i="9"/>
  <c r="BB9" i="9"/>
  <c r="U9" i="9"/>
  <c r="B9" i="9"/>
  <c r="X8" i="9"/>
  <c r="BD8" i="9" s="1"/>
  <c r="Y8" i="9"/>
  <c r="Z8" i="9"/>
  <c r="AA8" i="9"/>
  <c r="AB8" i="9"/>
  <c r="AC8" i="9"/>
  <c r="AD8" i="9"/>
  <c r="AE8" i="9"/>
  <c r="AF8" i="9"/>
  <c r="AG8" i="9"/>
  <c r="AH8" i="9"/>
  <c r="AI8" i="9"/>
  <c r="AJ8" i="9"/>
  <c r="AK8" i="9"/>
  <c r="AL8" i="9"/>
  <c r="AN8" i="9"/>
  <c r="AO8" i="9"/>
  <c r="AP8" i="9"/>
  <c r="AQ8" i="9"/>
  <c r="AR8" i="9"/>
  <c r="AS8" i="9"/>
  <c r="AT8" i="9"/>
  <c r="AU8" i="9"/>
  <c r="AV8" i="9"/>
  <c r="AW8" i="9"/>
  <c r="AX8" i="9"/>
  <c r="AY8" i="9"/>
  <c r="AZ8" i="9"/>
  <c r="BA8" i="9"/>
  <c r="BB8" i="9"/>
  <c r="U8" i="9"/>
  <c r="X7" i="9"/>
  <c r="Y7" i="9"/>
  <c r="Z7" i="9"/>
  <c r="AA7" i="9"/>
  <c r="AB7" i="9"/>
  <c r="AC7" i="9"/>
  <c r="AD7" i="9"/>
  <c r="AE7" i="9"/>
  <c r="AF7" i="9"/>
  <c r="AG7" i="9"/>
  <c r="AH7" i="9"/>
  <c r="AI7" i="9"/>
  <c r="AJ7" i="9"/>
  <c r="AK7" i="9"/>
  <c r="AL7" i="9"/>
  <c r="AN7" i="9"/>
  <c r="AO7" i="9"/>
  <c r="AP7" i="9"/>
  <c r="AQ7" i="9"/>
  <c r="AR7" i="9"/>
  <c r="AS7" i="9"/>
  <c r="AT7" i="9"/>
  <c r="AU7" i="9"/>
  <c r="AV7" i="9"/>
  <c r="AW7" i="9"/>
  <c r="AX7" i="9"/>
  <c r="AY7" i="9"/>
  <c r="AZ7" i="9"/>
  <c r="BA7" i="9"/>
  <c r="BB7" i="9"/>
  <c r="U7" i="9"/>
  <c r="X6" i="9"/>
  <c r="Y6" i="9"/>
  <c r="Z6" i="9"/>
  <c r="BD6" i="9" s="1"/>
  <c r="AA6" i="9"/>
  <c r="AB6" i="9"/>
  <c r="AC6" i="9"/>
  <c r="AD6" i="9"/>
  <c r="AE6" i="9"/>
  <c r="AF6" i="9"/>
  <c r="AG6" i="9"/>
  <c r="AH6" i="9"/>
  <c r="AI6" i="9"/>
  <c r="AJ6" i="9"/>
  <c r="AK6" i="9"/>
  <c r="AL6" i="9"/>
  <c r="AN6" i="9"/>
  <c r="AO6" i="9"/>
  <c r="AP6" i="9"/>
  <c r="AQ6" i="9"/>
  <c r="AR6" i="9"/>
  <c r="AS6" i="9"/>
  <c r="AT6" i="9"/>
  <c r="AU6" i="9"/>
  <c r="AV6" i="9"/>
  <c r="AW6" i="9"/>
  <c r="AX6" i="9"/>
  <c r="AY6" i="9"/>
  <c r="AZ6" i="9"/>
  <c r="BA6" i="9"/>
  <c r="BB6" i="9"/>
  <c r="U6" i="9"/>
  <c r="X5" i="9"/>
  <c r="BD5" i="9" s="1"/>
  <c r="Y5" i="9"/>
  <c r="Z5" i="9"/>
  <c r="AA5" i="9"/>
  <c r="AB5" i="9"/>
  <c r="AC5" i="9"/>
  <c r="AD5" i="9"/>
  <c r="AE5" i="9"/>
  <c r="AF5" i="9"/>
  <c r="AG5" i="9"/>
  <c r="AH5" i="9"/>
  <c r="AI5" i="9"/>
  <c r="AJ5" i="9"/>
  <c r="AK5" i="9"/>
  <c r="AL5" i="9"/>
  <c r="AN5" i="9"/>
  <c r="AO5" i="9"/>
  <c r="AP5" i="9"/>
  <c r="AQ5" i="9"/>
  <c r="AR5" i="9"/>
  <c r="AS5" i="9"/>
  <c r="AT5" i="9"/>
  <c r="AU5" i="9"/>
  <c r="AV5" i="9"/>
  <c r="AW5" i="9"/>
  <c r="AX5" i="9"/>
  <c r="AY5" i="9"/>
  <c r="AZ5" i="9"/>
  <c r="BA5" i="9"/>
  <c r="BB5" i="9"/>
  <c r="U5" i="9"/>
  <c r="X4" i="9"/>
  <c r="Y4" i="9"/>
  <c r="Z4" i="9"/>
  <c r="AA4" i="9"/>
  <c r="AB4" i="9"/>
  <c r="AC4" i="9"/>
  <c r="AD4" i="9"/>
  <c r="AE4" i="9"/>
  <c r="AF4" i="9"/>
  <c r="AG4" i="9"/>
  <c r="AH4" i="9"/>
  <c r="AI4" i="9"/>
  <c r="AJ4" i="9"/>
  <c r="AK4" i="9"/>
  <c r="AL4" i="9"/>
  <c r="AN4" i="9"/>
  <c r="AO4" i="9"/>
  <c r="AP4" i="9"/>
  <c r="AQ4" i="9"/>
  <c r="AR4" i="9"/>
  <c r="AS4" i="9"/>
  <c r="AT4" i="9"/>
  <c r="AU4" i="9"/>
  <c r="AV4" i="9"/>
  <c r="AW4" i="9"/>
  <c r="AX4" i="9"/>
  <c r="AY4" i="9"/>
  <c r="AZ4" i="9"/>
  <c r="BA4" i="9"/>
  <c r="BB4" i="9"/>
  <c r="U4" i="9"/>
  <c r="F243" i="6"/>
  <c r="F238" i="6"/>
  <c r="A15" i="1"/>
  <c r="D33" i="4"/>
  <c r="E33" i="4"/>
  <c r="F33" i="4"/>
  <c r="F37" i="4"/>
  <c r="C37" i="4"/>
  <c r="M37" i="4" s="1"/>
  <c r="C33" i="4"/>
  <c r="M33" i="4" s="1"/>
  <c r="G17" i="3"/>
  <c r="L21" i="1"/>
  <c r="D13" i="4"/>
  <c r="C27" i="3"/>
  <c r="C24" i="3"/>
  <c r="C20" i="3"/>
  <c r="C15" i="3"/>
  <c r="D4" i="4"/>
  <c r="D4" i="3"/>
  <c r="F27" i="3"/>
  <c r="E27" i="3"/>
  <c r="F24" i="3"/>
  <c r="F30" i="3" s="1"/>
  <c r="E24" i="3"/>
  <c r="F15" i="3"/>
  <c r="E15" i="3"/>
  <c r="D37" i="4"/>
  <c r="D27" i="3"/>
  <c r="D24" i="3"/>
  <c r="L39" i="2"/>
  <c r="L44" i="2" s="1"/>
  <c r="G22" i="3"/>
  <c r="L32" i="2"/>
  <c r="L30" i="1"/>
  <c r="C32" i="7"/>
  <c r="BY199" i="6"/>
  <c r="BY130" i="6"/>
  <c r="BZ5" i="6"/>
  <c r="BX166" i="6"/>
  <c r="BZ166" i="6"/>
  <c r="BY126" i="6"/>
  <c r="BX189" i="6"/>
  <c r="BZ189" i="6"/>
  <c r="BX44" i="6"/>
  <c r="BZ44" i="6"/>
  <c r="BZ129" i="6"/>
  <c r="BX129" i="6"/>
  <c r="BY44" i="6"/>
  <c r="BY116" i="6"/>
  <c r="BX131" i="6"/>
  <c r="BZ131" i="6"/>
  <c r="BY189" i="6"/>
  <c r="BY121" i="6"/>
  <c r="BX133" i="6"/>
  <c r="BZ133" i="6"/>
  <c r="BX4" i="6"/>
  <c r="BZ4" i="6"/>
  <c r="BZ128" i="6"/>
  <c r="BX128" i="6"/>
  <c r="BX195" i="6"/>
  <c r="BZ195" i="6"/>
  <c r="BY133" i="6"/>
  <c r="BY5" i="6"/>
  <c r="BX164" i="6"/>
  <c r="BZ164" i="6"/>
  <c r="BZ224" i="6"/>
  <c r="BX52" i="6"/>
  <c r="BZ52" i="6"/>
  <c r="BY127" i="6"/>
  <c r="BY164" i="6"/>
  <c r="BX135" i="6"/>
  <c r="BZ135" i="6"/>
  <c r="BY141" i="6"/>
  <c r="BY4" i="6"/>
  <c r="BZ115" i="6"/>
  <c r="BX115" i="6"/>
  <c r="BY52" i="6"/>
  <c r="BX141" i="6"/>
  <c r="BZ141" i="6"/>
  <c r="BY51" i="6"/>
  <c r="BZ130" i="6"/>
  <c r="BX130" i="6"/>
  <c r="BY115" i="6"/>
  <c r="BX53" i="6"/>
  <c r="BZ53" i="6"/>
  <c r="BX119" i="6"/>
  <c r="BZ119" i="6"/>
  <c r="BY135" i="6"/>
  <c r="BX217" i="6"/>
  <c r="BX256" i="6"/>
  <c r="BZ217" i="6"/>
  <c r="BX126" i="6"/>
  <c r="BZ126" i="6"/>
  <c r="BY129" i="6"/>
  <c r="BY50" i="6"/>
  <c r="BY118" i="6"/>
  <c r="BZ171" i="6"/>
  <c r="BX116" i="6"/>
  <c r="BZ116" i="6"/>
  <c r="BY53" i="6"/>
  <c r="BY131" i="6"/>
  <c r="BZ121" i="6"/>
  <c r="BX121" i="6"/>
  <c r="BY128" i="6"/>
  <c r="BY166" i="6"/>
  <c r="BZ170" i="6"/>
  <c r="BX118" i="6"/>
  <c r="BZ118" i="6"/>
  <c r="BX51" i="6"/>
  <c r="BZ51" i="6"/>
  <c r="BX127" i="6"/>
  <c r="BZ127" i="6"/>
  <c r="L17" i="2"/>
  <c r="BA47" i="9"/>
  <c r="B4" i="9"/>
  <c r="E74" i="9"/>
  <c r="L37" i="1"/>
  <c r="C39" i="7" s="1"/>
  <c r="L15" i="1"/>
  <c r="C17" i="7" s="1"/>
  <c r="AZ45" i="9"/>
  <c r="F66" i="9"/>
  <c r="BD25" i="9"/>
  <c r="AP44" i="9"/>
  <c r="U45" i="9"/>
  <c r="L28" i="1"/>
  <c r="C30" i="7" s="1"/>
  <c r="L30" i="2"/>
  <c r="AK17" i="9"/>
  <c r="AG17" i="9"/>
  <c r="AC17" i="9"/>
  <c r="Y17" i="9"/>
  <c r="BD17" i="9" s="1"/>
  <c r="Y45" i="9"/>
  <c r="U47" i="9"/>
  <c r="Z47" i="9"/>
  <c r="AO47" i="9" s="1"/>
  <c r="L19" i="1"/>
  <c r="L25" i="1" s="1"/>
  <c r="G21" i="3"/>
  <c r="F248" i="6"/>
  <c r="AS17" i="9"/>
  <c r="AJ17" i="9"/>
  <c r="AF17" i="9"/>
  <c r="AB17" i="9"/>
  <c r="BA48" i="9"/>
  <c r="BY170" i="6"/>
  <c r="C30" i="3"/>
  <c r="E79" i="9"/>
  <c r="L50" i="1"/>
  <c r="C52" i="7" s="1"/>
  <c r="BD15" i="9"/>
  <c r="BD27" i="9"/>
  <c r="F235" i="6"/>
  <c r="F250" i="6" s="1"/>
  <c r="BD4" i="9"/>
  <c r="BD23" i="9"/>
  <c r="AX46" i="9"/>
  <c r="AT46" i="9"/>
  <c r="AO49" i="9"/>
  <c r="U54" i="9"/>
  <c r="D48" i="9"/>
  <c r="L21" i="2"/>
  <c r="BD7" i="9"/>
  <c r="AC48" i="9"/>
  <c r="AS48" i="9" s="1"/>
  <c r="BD16" i="9"/>
  <c r="AS43" i="9"/>
  <c r="B28" i="9"/>
  <c r="B29" i="9"/>
  <c r="B30" i="9"/>
  <c r="B61" i="9"/>
  <c r="G16" i="3"/>
  <c r="G28" i="3"/>
  <c r="L23" i="2"/>
  <c r="C23" i="7" s="1"/>
  <c r="BZ199" i="6"/>
  <c r="AD18" i="9"/>
  <c r="AO43" i="9"/>
  <c r="AO55" i="9"/>
  <c r="Y18" i="9"/>
  <c r="U37" i="9"/>
  <c r="G18" i="3"/>
  <c r="G25" i="3"/>
  <c r="AJ18" i="9"/>
  <c r="U49" i="9"/>
  <c r="B62" i="9"/>
  <c r="B27" i="9"/>
  <c r="B5" i="9"/>
  <c r="B6" i="9"/>
  <c r="B43" i="9"/>
  <c r="B59" i="9"/>
  <c r="B8" i="9"/>
  <c r="B44" i="9"/>
  <c r="B60" i="9"/>
  <c r="B70" i="9"/>
  <c r="BX171" i="6"/>
  <c r="G27" i="3"/>
  <c r="G24" i="3"/>
  <c r="L36" i="2"/>
  <c r="BX220" i="6"/>
  <c r="BX199" i="6"/>
  <c r="BY220" i="6"/>
  <c r="BX224" i="6"/>
  <c r="BY171" i="6"/>
  <c r="BZ220" i="6"/>
  <c r="BY198" i="6"/>
  <c r="BX198" i="6"/>
  <c r="BX50" i="6"/>
  <c r="BZ50" i="6"/>
  <c r="BY224" i="6"/>
  <c r="D20" i="3"/>
  <c r="G20" i="3" s="1"/>
  <c r="D15" i="3"/>
  <c r="G15" i="3"/>
  <c r="G30" i="3" s="1"/>
  <c r="D30" i="3"/>
  <c r="F28" i="1"/>
  <c r="F34" i="1" s="1"/>
  <c r="H42" i="2"/>
  <c r="K42" i="2" s="1"/>
  <c r="B42" i="7" s="1"/>
  <c r="H34" i="2"/>
  <c r="H35" i="2"/>
  <c r="H41" i="2"/>
  <c r="K41" i="2" s="1"/>
  <c r="B41" i="7" s="1"/>
  <c r="Q250" i="6"/>
  <c r="K250" i="6"/>
  <c r="P250" i="6"/>
  <c r="T250" i="6"/>
  <c r="U250" i="6"/>
  <c r="E237" i="6"/>
  <c r="BZ237" i="6"/>
  <c r="E241" i="6"/>
  <c r="BZ241" i="6" s="1"/>
  <c r="E236" i="6"/>
  <c r="BY236" i="6"/>
  <c r="E232" i="6"/>
  <c r="BY232" i="6" s="1"/>
  <c r="E242" i="6"/>
  <c r="BZ242" i="6" s="1"/>
  <c r="E247" i="6"/>
  <c r="BY247" i="6"/>
  <c r="E228" i="6"/>
  <c r="BY228" i="6" s="1"/>
  <c r="E244" i="6"/>
  <c r="BZ244" i="6"/>
  <c r="H33" i="2"/>
  <c r="H32" i="2" s="1"/>
  <c r="H36" i="2" s="1"/>
  <c r="M250" i="6"/>
  <c r="N250" i="6"/>
  <c r="E240" i="6"/>
  <c r="BY240" i="6"/>
  <c r="E234" i="6"/>
  <c r="E235" i="6" s="1"/>
  <c r="E239" i="6"/>
  <c r="BY239" i="6" s="1"/>
  <c r="E229" i="6"/>
  <c r="BZ229" i="6" s="1"/>
  <c r="E231" i="6"/>
  <c r="BY231" i="6" s="1"/>
  <c r="BZ231" i="6"/>
  <c r="E245" i="6"/>
  <c r="BY245" i="6" s="1"/>
  <c r="AD250" i="6"/>
  <c r="H250" i="6"/>
  <c r="J250" i="6"/>
  <c r="E246" i="6"/>
  <c r="BZ246" i="6"/>
  <c r="E230" i="6"/>
  <c r="BZ230" i="6" s="1"/>
  <c r="V250" i="6"/>
  <c r="R250" i="6"/>
  <c r="S250" i="6"/>
  <c r="L250" i="6"/>
  <c r="O250" i="6"/>
  <c r="I250" i="6"/>
  <c r="E226" i="6"/>
  <c r="BY226" i="6" s="1"/>
  <c r="K19" i="2"/>
  <c r="K17" i="2" s="1"/>
  <c r="M17" i="2" s="1"/>
  <c r="K18" i="2"/>
  <c r="B18" i="7"/>
  <c r="K51" i="2"/>
  <c r="K34" i="2"/>
  <c r="K32" i="2" s="1"/>
  <c r="K20" i="2"/>
  <c r="K50" i="2"/>
  <c r="B50" i="7"/>
  <c r="K33" i="2"/>
  <c r="K43" i="2"/>
  <c r="B43" i="7"/>
  <c r="K49" i="2"/>
  <c r="B49" i="7"/>
  <c r="K35" i="2"/>
  <c r="K48" i="2"/>
  <c r="H21" i="2"/>
  <c r="H30" i="2"/>
  <c r="H23" i="2"/>
  <c r="K19" i="1"/>
  <c r="H17" i="2"/>
  <c r="H47" i="2"/>
  <c r="H52" i="2" s="1"/>
  <c r="BZ240" i="6"/>
  <c r="BY237" i="6"/>
  <c r="BY246" i="6"/>
  <c r="BY241" i="6"/>
  <c r="BY229" i="6"/>
  <c r="BY244" i="6"/>
  <c r="BZ247" i="6"/>
  <c r="BZ236" i="6"/>
  <c r="E238" i="6"/>
  <c r="G238" i="6" s="1"/>
  <c r="BY242" i="6"/>
  <c r="H27" i="2"/>
  <c r="K47" i="2"/>
  <c r="K52" i="2" s="1"/>
  <c r="M47" i="2"/>
  <c r="M52" i="2" s="1"/>
  <c r="B21" i="5"/>
  <c r="M32" i="2" l="1"/>
  <c r="D57" i="9"/>
  <c r="BD37" i="9"/>
  <c r="BD43" i="9"/>
  <c r="AW49" i="9"/>
  <c r="BD49" i="9" s="1"/>
  <c r="D75" i="9"/>
  <c r="D79" i="9" s="1"/>
  <c r="F79" i="9" s="1"/>
  <c r="BD46" i="9"/>
  <c r="BY235" i="6"/>
  <c r="G235" i="6"/>
  <c r="BZ235" i="6"/>
  <c r="P17" i="2"/>
  <c r="Q17" i="2" s="1"/>
  <c r="O17" i="2"/>
  <c r="BD44" i="9"/>
  <c r="M28" i="1"/>
  <c r="BD55" i="9"/>
  <c r="J36" i="2"/>
  <c r="J54" i="2" s="1"/>
  <c r="BD11" i="9"/>
  <c r="BD12" i="9"/>
  <c r="BD13" i="9"/>
  <c r="BZ232" i="6"/>
  <c r="BZ226" i="6"/>
  <c r="BZ245" i="6"/>
  <c r="BZ234" i="6"/>
  <c r="K31" i="2"/>
  <c r="C21" i="7"/>
  <c r="BD48" i="9"/>
  <c r="G34" i="3"/>
  <c r="G38" i="3" s="1"/>
  <c r="K33" i="1"/>
  <c r="B35" i="7" s="1"/>
  <c r="L37" i="10"/>
  <c r="M26" i="4"/>
  <c r="E233" i="6"/>
  <c r="BZ228" i="6"/>
  <c r="B40" i="9"/>
  <c r="AA18" i="9"/>
  <c r="BD36" i="9"/>
  <c r="C47" i="7"/>
  <c r="K45" i="1"/>
  <c r="K32" i="1"/>
  <c r="B34" i="7" s="1"/>
  <c r="K25" i="2"/>
  <c r="B25" i="7" s="1"/>
  <c r="BS250" i="6"/>
  <c r="AN45" i="9"/>
  <c r="BD45" i="9" s="1"/>
  <c r="K22" i="2"/>
  <c r="I21" i="2"/>
  <c r="I27" i="2" s="1"/>
  <c r="K17" i="1"/>
  <c r="L23" i="10"/>
  <c r="L26" i="10"/>
  <c r="L35" i="10"/>
  <c r="E29" i="4"/>
  <c r="M19" i="4"/>
  <c r="E27" i="2"/>
  <c r="AW250" i="6"/>
  <c r="BZ136" i="6"/>
  <c r="BX136" i="6"/>
  <c r="BN250" i="6"/>
  <c r="L34" i="1"/>
  <c r="C36" i="7" s="1"/>
  <c r="AU51" i="9"/>
  <c r="BD51" i="9" s="1"/>
  <c r="I25" i="1"/>
  <c r="I52" i="1" s="1"/>
  <c r="J15" i="1"/>
  <c r="M14" i="4"/>
  <c r="E64" i="9" s="1"/>
  <c r="F64" i="9" s="1"/>
  <c r="K24" i="2"/>
  <c r="BX5" i="6"/>
  <c r="AO250" i="6"/>
  <c r="BZ54" i="6"/>
  <c r="BX54" i="6"/>
  <c r="BZ177" i="6"/>
  <c r="BX177" i="6"/>
  <c r="BH250" i="6"/>
  <c r="L42" i="1"/>
  <c r="C44" i="7" s="1"/>
  <c r="BD54" i="9"/>
  <c r="E30" i="3"/>
  <c r="BZ238" i="6"/>
  <c r="AG18" i="9"/>
  <c r="AH18" i="9"/>
  <c r="AS47" i="9"/>
  <c r="BD47" i="9" s="1"/>
  <c r="J25" i="1"/>
  <c r="I47" i="2"/>
  <c r="I52" i="2" s="1"/>
  <c r="I54" i="2" s="1"/>
  <c r="J29" i="4"/>
  <c r="E54" i="2"/>
  <c r="F54" i="2"/>
  <c r="K24" i="1"/>
  <c r="B26" i="7" s="1"/>
  <c r="E248" i="6"/>
  <c r="BY234" i="6"/>
  <c r="H39" i="2"/>
  <c r="H44" i="2" s="1"/>
  <c r="H54" i="2" s="1"/>
  <c r="P47" i="2"/>
  <c r="Q47" i="2" s="1"/>
  <c r="E47" i="7" s="1"/>
  <c r="K37" i="1"/>
  <c r="O47" i="2"/>
  <c r="M19" i="1"/>
  <c r="BY238" i="6"/>
  <c r="BZ239" i="6"/>
  <c r="K40" i="2"/>
  <c r="K39" i="2" s="1"/>
  <c r="D1" i="9"/>
  <c r="AB18" i="9"/>
  <c r="AK18" i="9"/>
  <c r="AL18" i="9"/>
  <c r="L27" i="2"/>
  <c r="L54" i="2" s="1"/>
  <c r="H45" i="1"/>
  <c r="H50" i="1" s="1"/>
  <c r="H52" i="1" s="1"/>
  <c r="K31" i="1"/>
  <c r="J45" i="1"/>
  <c r="J50" i="1" s="1"/>
  <c r="J52" i="1" s="1"/>
  <c r="L14" i="10"/>
  <c r="G54" i="2"/>
  <c r="D27" i="2"/>
  <c r="D54" i="2" s="1"/>
  <c r="AL250" i="6"/>
  <c r="AJ250" i="6"/>
  <c r="BJ250" i="6"/>
  <c r="BE250" i="6"/>
  <c r="G52" i="1"/>
  <c r="BY230" i="6"/>
  <c r="E243" i="6"/>
  <c r="AF18" i="9"/>
  <c r="AU18" i="9"/>
  <c r="BW250" i="6"/>
  <c r="BF250" i="6"/>
  <c r="BX170" i="6"/>
  <c r="BD250" i="6"/>
  <c r="F52" i="1"/>
  <c r="BD14" i="9"/>
  <c r="AE18" i="9"/>
  <c r="Z18" i="9"/>
  <c r="BD18" i="9" s="1"/>
  <c r="AC18" i="9"/>
  <c r="M29" i="4"/>
  <c r="L29" i="4"/>
  <c r="BK250" i="6"/>
  <c r="BB250" i="6"/>
  <c r="BB251" i="6" s="1"/>
  <c r="BC251" i="6" s="1"/>
  <c r="E52" i="1"/>
  <c r="BZ210" i="6"/>
  <c r="AX194" i="6"/>
  <c r="AP65" i="6"/>
  <c r="AP250" i="6" s="1"/>
  <c r="BZ186" i="6"/>
  <c r="BX49" i="6"/>
  <c r="BZ10" i="6"/>
  <c r="BX39" i="6"/>
  <c r="BZ105" i="6"/>
  <c r="BX109" i="6"/>
  <c r="BX212" i="6"/>
  <c r="C29" i="10"/>
  <c r="L29" i="10" s="1"/>
  <c r="BX12" i="6"/>
  <c r="BZ106" i="6"/>
  <c r="BZ96" i="6"/>
  <c r="BZ104" i="6"/>
  <c r="AU65" i="6"/>
  <c r="AU250" i="6" s="1"/>
  <c r="AQ65" i="6"/>
  <c r="AQ250" i="6" s="1"/>
  <c r="AL143" i="6"/>
  <c r="AK65" i="6"/>
  <c r="AK250" i="6" s="1"/>
  <c r="AH143" i="6"/>
  <c r="AH250" i="6" s="1"/>
  <c r="AG65" i="6"/>
  <c r="AG250" i="6" s="1"/>
  <c r="AE143" i="6"/>
  <c r="B51" i="9"/>
  <c r="B7" i="9"/>
  <c r="B63" i="9"/>
  <c r="B26" i="9"/>
  <c r="B31" i="9"/>
  <c r="BX213" i="6"/>
  <c r="AS65" i="6"/>
  <c r="AS250" i="6" s="1"/>
  <c r="AR65" i="6"/>
  <c r="AR250" i="6" s="1"/>
  <c r="E17" i="7" l="1"/>
  <c r="BX194" i="6"/>
  <c r="BZ194" i="6"/>
  <c r="BY248" i="6"/>
  <c r="G248" i="6"/>
  <c r="BZ248" i="6"/>
  <c r="L52" i="1"/>
  <c r="B19" i="7"/>
  <c r="K15" i="1"/>
  <c r="AX250" i="6"/>
  <c r="BX143" i="6"/>
  <c r="BZ143" i="6"/>
  <c r="B22" i="7"/>
  <c r="K21" i="2"/>
  <c r="K50" i="1"/>
  <c r="M45" i="1"/>
  <c r="B47" i="7"/>
  <c r="BY233" i="6"/>
  <c r="BZ233" i="6"/>
  <c r="E250" i="6"/>
  <c r="C27" i="7"/>
  <c r="BX65" i="6"/>
  <c r="BZ65" i="6"/>
  <c r="BD251" i="6"/>
  <c r="BE251" i="6" s="1"/>
  <c r="BF251" i="6" s="1"/>
  <c r="BG251" i="6" s="1"/>
  <c r="BH251" i="6" s="1"/>
  <c r="BI251" i="6" s="1"/>
  <c r="BJ251" i="6" s="1"/>
  <c r="BK251" i="6" s="1"/>
  <c r="BL251" i="6" s="1"/>
  <c r="BM251" i="6" s="1"/>
  <c r="BN251" i="6" s="1"/>
  <c r="BO251" i="6" s="1"/>
  <c r="BP251" i="6" s="1"/>
  <c r="BQ251" i="6" s="1"/>
  <c r="BR251" i="6" s="1"/>
  <c r="BS251" i="6" s="1"/>
  <c r="BT251" i="6" s="1"/>
  <c r="G243" i="6"/>
  <c r="BY243" i="6"/>
  <c r="BZ243" i="6"/>
  <c r="B39" i="7"/>
  <c r="M37" i="1"/>
  <c r="K42" i="1"/>
  <c r="G250" i="6"/>
  <c r="O32" i="2"/>
  <c r="H53" i="1"/>
  <c r="H54" i="1" s="1"/>
  <c r="K21" i="1"/>
  <c r="AE250" i="6"/>
  <c r="K30" i="2"/>
  <c r="B31" i="7"/>
  <c r="K30" i="1"/>
  <c r="B33" i="7"/>
  <c r="M39" i="2"/>
  <c r="K44" i="2"/>
  <c r="K23" i="2"/>
  <c r="B24" i="7"/>
  <c r="B40" i="7"/>
  <c r="M44" i="2" l="1"/>
  <c r="O39" i="2"/>
  <c r="P39" i="2"/>
  <c r="BU251" i="6"/>
  <c r="BV251" i="6" s="1"/>
  <c r="BW251" i="6" s="1"/>
  <c r="BT254" i="6"/>
  <c r="D47" i="7"/>
  <c r="M50" i="1"/>
  <c r="B52" i="7"/>
  <c r="B17" i="7"/>
  <c r="M15" i="1"/>
  <c r="AE251" i="6"/>
  <c r="AF251" i="6" s="1"/>
  <c r="AG251" i="6" s="1"/>
  <c r="AH251" i="6" s="1"/>
  <c r="AI251" i="6" s="1"/>
  <c r="AJ251" i="6" s="1"/>
  <c r="AK251" i="6" s="1"/>
  <c r="AL251" i="6" s="1"/>
  <c r="AM251" i="6" s="1"/>
  <c r="AN251" i="6" s="1"/>
  <c r="AO251" i="6" s="1"/>
  <c r="AP251" i="6" s="1"/>
  <c r="AQ251" i="6" s="1"/>
  <c r="AR251" i="6" s="1"/>
  <c r="AS251" i="6" s="1"/>
  <c r="AT251" i="6" s="1"/>
  <c r="AU251" i="6" s="1"/>
  <c r="AV251" i="6" s="1"/>
  <c r="AW251" i="6" s="1"/>
  <c r="BX250" i="6"/>
  <c r="B44" i="7"/>
  <c r="B21" i="7"/>
  <c r="M21" i="2"/>
  <c r="B32" i="7"/>
  <c r="M30" i="1"/>
  <c r="K34" i="1"/>
  <c r="M30" i="2"/>
  <c r="K36" i="2"/>
  <c r="K54" i="2" s="1"/>
  <c r="B30" i="7"/>
  <c r="K27" i="2"/>
  <c r="M23" i="2"/>
  <c r="K25" i="1"/>
  <c r="B23" i="7"/>
  <c r="M21" i="1"/>
  <c r="D39" i="7"/>
  <c r="M42" i="1"/>
  <c r="D44" i="7" s="1"/>
  <c r="D52" i="7" l="1"/>
  <c r="M25" i="1"/>
  <c r="D17" i="7"/>
  <c r="Q39" i="2"/>
  <c r="E39" i="7" s="1"/>
  <c r="Q41" i="2"/>
  <c r="E41" i="7" s="1"/>
  <c r="AW254" i="6"/>
  <c r="AW255" i="6" s="1"/>
  <c r="AX251" i="6"/>
  <c r="AY251" i="6" s="1"/>
  <c r="AZ251" i="6" s="1"/>
  <c r="M54" i="1"/>
  <c r="D23" i="7"/>
  <c r="D32" i="7"/>
  <c r="M34" i="1"/>
  <c r="P30" i="2"/>
  <c r="Q30" i="2" s="1"/>
  <c r="E30" i="7" s="1"/>
  <c r="M36" i="2"/>
  <c r="M54" i="2" s="1"/>
  <c r="D30" i="7"/>
  <c r="B36" i="7"/>
  <c r="B27" i="7"/>
  <c r="O23" i="2"/>
  <c r="P23" i="2"/>
  <c r="Q23" i="2"/>
  <c r="E23" i="7" s="1"/>
  <c r="O21" i="2"/>
  <c r="P21" i="2"/>
  <c r="M27" i="2"/>
  <c r="D21" i="7"/>
  <c r="K52" i="1"/>
  <c r="Q21" i="2" l="1"/>
  <c r="P54" i="2"/>
  <c r="D27" i="7"/>
  <c r="D36" i="7"/>
  <c r="M52" i="1"/>
  <c r="E21" i="7" l="1"/>
  <c r="Q54" i="2"/>
  <c r="Q55" i="2" s="1"/>
</calcChain>
</file>

<file path=xl/comments1.xml><?xml version="1.0" encoding="utf-8"?>
<comments xmlns="http://schemas.openxmlformats.org/spreadsheetml/2006/main">
  <authors>
    <author>Josue Andreé Ricart Vásquez</author>
    <author>Josue Ricart</author>
  </authors>
  <commentList>
    <comment ref="D4" authorId="0" shapeId="0">
      <text>
        <r>
          <rPr>
            <b/>
            <sz val="9"/>
            <color indexed="81"/>
            <rFont val="Tahoma"/>
            <family val="2"/>
          </rPr>
          <t>Josue Andreé Ricart Vásquez:</t>
        </r>
        <r>
          <rPr>
            <sz val="9"/>
            <color indexed="81"/>
            <rFont val="Tahoma"/>
            <family val="2"/>
          </rPr>
          <t xml:space="preserve">
FHI</t>
        </r>
      </text>
    </comment>
    <comment ref="D5" authorId="0" shapeId="0">
      <text>
        <r>
          <rPr>
            <b/>
            <sz val="9"/>
            <color indexed="81"/>
            <rFont val="Tahoma"/>
            <family val="2"/>
          </rPr>
          <t>Josue Andreé Ricart Vásquez:</t>
        </r>
        <r>
          <rPr>
            <sz val="9"/>
            <color indexed="81"/>
            <rFont val="Tahoma"/>
            <family val="2"/>
          </rPr>
          <t xml:space="preserve">
Universidades Programas de Formación</t>
        </r>
      </text>
    </comment>
    <comment ref="E5" authorId="0" shapeId="0">
      <text>
        <r>
          <rPr>
            <b/>
            <sz val="9"/>
            <color indexed="81"/>
            <rFont val="Tahoma"/>
            <family val="2"/>
          </rPr>
          <t>Josue Andreé Ricart Vásquez:</t>
        </r>
        <r>
          <rPr>
            <sz val="9"/>
            <color indexed="81"/>
            <rFont val="Tahoma"/>
            <family val="2"/>
          </rPr>
          <t xml:space="preserve">
Cambia de 3M a 4M ya *****
ADJUDICADO***
UPANA 1,185,760.00
INTERNACIONES 1,866,155.00
UNIVERSIDAD DEL VALLE 972,082.83</t>
        </r>
      </text>
    </comment>
    <comment ref="D19" authorId="0" shapeId="0">
      <text>
        <r>
          <rPr>
            <b/>
            <sz val="9"/>
            <color indexed="81"/>
            <rFont val="Tahoma"/>
            <family val="2"/>
          </rPr>
          <t>Josue Andreé Ricart Vásquez:</t>
        </r>
        <r>
          <rPr>
            <sz val="9"/>
            <color indexed="81"/>
            <rFont val="Tahoma"/>
            <family val="2"/>
          </rPr>
          <t xml:space="preserve">
Firma Consultora para la Revisión de dos carreras y creación de dos nuevas ENCA</t>
        </r>
      </text>
    </comment>
    <comment ref="E19" authorId="0" shapeId="0">
      <text>
        <r>
          <rPr>
            <b/>
            <sz val="9"/>
            <color indexed="81"/>
            <rFont val="Tahoma"/>
            <family val="2"/>
          </rPr>
          <t>Josue Andreé Ricart Vásquez:</t>
        </r>
        <r>
          <rPr>
            <sz val="9"/>
            <color indexed="81"/>
            <rFont val="Tahoma"/>
            <family val="2"/>
          </rPr>
          <t xml:space="preserve">
actualizar a 1,200,000.00
actualizado
</t>
        </r>
      </text>
    </comment>
    <comment ref="E21" authorId="0" shapeId="0">
      <text>
        <r>
          <rPr>
            <b/>
            <sz val="9"/>
            <color indexed="81"/>
            <rFont val="Tahoma"/>
            <family val="2"/>
          </rPr>
          <t>Josue Andreé Ricart Vásquez:</t>
        </r>
        <r>
          <rPr>
            <sz val="9"/>
            <color indexed="81"/>
            <rFont val="Tahoma"/>
            <family val="2"/>
          </rPr>
          <t xml:space="preserve">
no saben el monto exacto, liseth dice un monto pero no se sabe, mejor asi como está, se estima que se van a pagar en noviembre</t>
        </r>
      </text>
    </comment>
    <comment ref="E23" authorId="0" shapeId="0">
      <text>
        <r>
          <rPr>
            <b/>
            <sz val="9"/>
            <color indexed="81"/>
            <rFont val="Tahoma"/>
            <family val="2"/>
          </rPr>
          <t>Josue Andreé Ricart Vásquez:</t>
        </r>
        <r>
          <rPr>
            <sz val="9"/>
            <color indexed="81"/>
            <rFont val="Tahoma"/>
            <family val="2"/>
          </rPr>
          <t xml:space="preserve">
inicialmente tenía 90 oeri es necesario rebajar porque si no se desfinancia el componente.
Por rescición de contrato se rebaja el monto de 29954.00 a 1762.00</t>
        </r>
      </text>
    </comment>
    <comment ref="E25" authorId="0" shapeId="0">
      <text>
        <r>
          <rPr>
            <b/>
            <sz val="9"/>
            <color indexed="81"/>
            <rFont val="Tahoma"/>
            <family val="2"/>
          </rPr>
          <t>Josue Andreé Ricart Vásquez:</t>
        </r>
        <r>
          <rPr>
            <sz val="9"/>
            <color indexed="81"/>
            <rFont val="Tahoma"/>
            <family val="2"/>
          </rPr>
          <t xml:space="preserve">
se hará un nuevo evento pero la propuesta que mas barato había ofertado fue por un monto de alrededor de 10,000 dólares mas que la que ganó anteriormente</t>
        </r>
      </text>
    </comment>
    <comment ref="E26" authorId="0" shapeId="0">
      <text>
        <r>
          <rPr>
            <b/>
            <sz val="9"/>
            <color indexed="81"/>
            <rFont val="Tahoma"/>
            <family val="2"/>
          </rPr>
          <t>Josue Andreé Ricart Vásquez:</t>
        </r>
        <r>
          <rPr>
            <sz val="9"/>
            <color indexed="81"/>
            <rFont val="Tahoma"/>
            <family val="2"/>
          </rPr>
          <t xml:space="preserve">
Inicial mente se tenía contemplado un monto de 48,000 pero se fue una persona y le unieron 
dos contratos a marvin mas 2400 descontando un producto que el anterior ya no entrego es decir 1940 USD según contrato 
</t>
        </r>
      </text>
    </comment>
    <comment ref="E31" authorId="1" shapeId="0">
      <text>
        <r>
          <rPr>
            <b/>
            <sz val="9"/>
            <color indexed="81"/>
            <rFont val="Tahoma"/>
            <family val="2"/>
          </rPr>
          <t>Josue Ricart:</t>
        </r>
        <r>
          <rPr>
            <sz val="9"/>
            <color indexed="81"/>
            <rFont val="Tahoma"/>
            <family val="2"/>
          </rPr>
          <t xml:space="preserve">
verificar monto total
</t>
        </r>
      </text>
    </comment>
    <comment ref="E37" authorId="0" shapeId="0">
      <text>
        <r>
          <rPr>
            <b/>
            <sz val="9"/>
            <color indexed="81"/>
            <rFont val="Tahoma"/>
            <family val="2"/>
          </rPr>
          <t>Josue Andreé Ricart Vásquez:</t>
        </r>
        <r>
          <rPr>
            <sz val="9"/>
            <color indexed="81"/>
            <rFont val="Tahoma"/>
            <family val="2"/>
          </rPr>
          <t xml:space="preserve">
No tienen información sobre para cuando exactamente
**** se ampliará 150,000
</t>
        </r>
      </text>
    </comment>
    <comment ref="E40" authorId="1" shapeId="0">
      <text>
        <r>
          <rPr>
            <b/>
            <sz val="9"/>
            <color indexed="81"/>
            <rFont val="Tahoma"/>
            <family val="2"/>
          </rPr>
          <t>Josue Ricart:</t>
        </r>
        <r>
          <rPr>
            <sz val="9"/>
            <color indexed="81"/>
            <rFont val="Tahoma"/>
            <family val="2"/>
          </rPr>
          <t xml:space="preserve">
SEGÚN PROGRAMACIÓN SOLO PODRÍA DARSE EN EL MES DE ENERO.
ESTÁ EN QDRP AMPLIACIÓN
</t>
        </r>
      </text>
    </comment>
    <comment ref="E43" authorId="0" shapeId="0">
      <text>
        <r>
          <rPr>
            <b/>
            <sz val="9"/>
            <color indexed="81"/>
            <rFont val="Tahoma"/>
            <family val="2"/>
          </rPr>
          <t>Josue Andreé Ricart Vásquez:</t>
        </r>
        <r>
          <rPr>
            <sz val="9"/>
            <color indexed="81"/>
            <rFont val="Tahoma"/>
            <family val="2"/>
          </rPr>
          <t xml:space="preserve">
solo 35,000 resto pasar a otra linea de los 90000 iniciales, monto varió en el q15, los 35000 resulta que eran quetzales pero el equipo de educación no informó bien, en q17 en la realización de la sd vimos que son aproximandamente 25,000.00</t>
        </r>
      </text>
    </comment>
    <comment ref="D44" authorId="0" shapeId="0">
      <text>
        <r>
          <rPr>
            <b/>
            <sz val="9"/>
            <color indexed="81"/>
            <rFont val="Tahoma"/>
            <family val="2"/>
          </rPr>
          <t>Josue Andreé Ricart Vásquez:</t>
        </r>
        <r>
          <rPr>
            <sz val="9"/>
            <color indexed="81"/>
            <rFont val="Tahoma"/>
            <family val="2"/>
          </rPr>
          <t xml:space="preserve">
FHI</t>
        </r>
      </text>
    </comment>
    <comment ref="D45" authorId="0" shapeId="0">
      <text>
        <r>
          <rPr>
            <b/>
            <sz val="9"/>
            <color indexed="81"/>
            <rFont val="Tahoma"/>
            <family val="2"/>
          </rPr>
          <t>Josue Andreé Ricart Vásquez:</t>
        </r>
        <r>
          <rPr>
            <sz val="9"/>
            <color indexed="81"/>
            <rFont val="Tahoma"/>
            <family val="2"/>
          </rPr>
          <t xml:space="preserve">
FHI</t>
        </r>
      </text>
    </comment>
    <comment ref="D51" authorId="0" shapeId="0">
      <text>
        <r>
          <rPr>
            <b/>
            <sz val="9"/>
            <color indexed="81"/>
            <rFont val="Tahoma"/>
            <family val="2"/>
          </rPr>
          <t>Josue Andreé Ricart Vásquez:</t>
        </r>
        <r>
          <rPr>
            <sz val="9"/>
            <color indexed="81"/>
            <rFont val="Tahoma"/>
            <family val="2"/>
          </rPr>
          <t xml:space="preserve">
PAGOS DICIEMBRE Y ENERO
</t>
        </r>
      </text>
    </comment>
    <comment ref="D52" authorId="0" shapeId="0">
      <text>
        <r>
          <rPr>
            <b/>
            <sz val="9"/>
            <color indexed="81"/>
            <rFont val="Tahoma"/>
            <family val="2"/>
          </rPr>
          <t>Josue Andreé Ricart Vásquez:</t>
        </r>
        <r>
          <rPr>
            <sz val="9"/>
            <color indexed="81"/>
            <rFont val="Tahoma"/>
            <family val="2"/>
          </rPr>
          <t xml:space="preserve">
LAS DATABASE YA FUERON PAGADAS</t>
        </r>
      </text>
    </comment>
    <comment ref="D53" authorId="0" shapeId="0">
      <text>
        <r>
          <rPr>
            <sz val="9"/>
            <color indexed="81"/>
            <rFont val="Tahoma"/>
            <family val="2"/>
          </rPr>
          <t>pagado</t>
        </r>
      </text>
    </comment>
    <comment ref="D55" authorId="0" shapeId="0">
      <text>
        <r>
          <rPr>
            <b/>
            <sz val="9"/>
            <color indexed="81"/>
            <rFont val="Tahoma"/>
            <family val="2"/>
          </rPr>
          <t>Josue Andreé Ricart Vásquez:</t>
        </r>
        <r>
          <rPr>
            <sz val="9"/>
            <color indexed="81"/>
            <rFont val="Tahoma"/>
            <family val="2"/>
          </rPr>
          <t xml:space="preserve">
Lilian Merlo contrato 2018
</t>
        </r>
      </text>
    </comment>
    <comment ref="D57" authorId="0" shapeId="0">
      <text>
        <r>
          <rPr>
            <b/>
            <sz val="9"/>
            <color indexed="81"/>
            <rFont val="Tahoma"/>
            <family val="2"/>
          </rPr>
          <t>Josue Andreé Ricart Vásquez:</t>
        </r>
        <r>
          <rPr>
            <sz val="9"/>
            <color indexed="81"/>
            <rFont val="Tahoma"/>
            <family val="2"/>
          </rPr>
          <t xml:space="preserve">
CONTRATACIONES 2018 Y PAGO DE FEBRERO 2018</t>
        </r>
      </text>
    </comment>
    <comment ref="D71" authorId="0" shapeId="0">
      <text>
        <r>
          <rPr>
            <b/>
            <sz val="9"/>
            <color indexed="81"/>
            <rFont val="Tahoma"/>
            <family val="2"/>
          </rPr>
          <t>investigadores de aduanas</t>
        </r>
        <r>
          <rPr>
            <sz val="9"/>
            <color indexed="81"/>
            <rFont val="Tahoma"/>
            <family val="2"/>
          </rPr>
          <t xml:space="preserve">
</t>
        </r>
      </text>
    </comment>
    <comment ref="E73" authorId="1" shapeId="0">
      <text>
        <r>
          <rPr>
            <b/>
            <sz val="9"/>
            <color indexed="81"/>
            <rFont val="Tahoma"/>
            <family val="2"/>
          </rPr>
          <t>Josue Ricart:</t>
        </r>
        <r>
          <rPr>
            <sz val="9"/>
            <color indexed="81"/>
            <rFont val="Tahoma"/>
            <family val="2"/>
          </rPr>
          <t xml:space="preserve">
este monto varía con una ampliación se cambió de 93600 al monto que tiene</t>
        </r>
      </text>
    </comment>
    <comment ref="D77" authorId="1" shapeId="0">
      <text>
        <r>
          <rPr>
            <b/>
            <sz val="9"/>
            <color indexed="81"/>
            <rFont val="Tahoma"/>
            <family val="2"/>
          </rPr>
          <t>Josue Ricart:</t>
        </r>
        <r>
          <rPr>
            <sz val="9"/>
            <color indexed="81"/>
            <rFont val="Tahoma"/>
            <family val="2"/>
          </rPr>
          <t xml:space="preserve">
</t>
        </r>
      </text>
    </comment>
    <comment ref="D78" authorId="1" shapeId="0">
      <text>
        <r>
          <rPr>
            <b/>
            <sz val="9"/>
            <color indexed="81"/>
            <rFont val="Tahoma"/>
            <family val="2"/>
          </rPr>
          <t>Josue Ricart:</t>
        </r>
        <r>
          <rPr>
            <sz val="9"/>
            <color indexed="81"/>
            <rFont val="Tahoma"/>
            <family val="2"/>
          </rPr>
          <t xml:space="preserve">
</t>
        </r>
      </text>
    </comment>
    <comment ref="D79" authorId="1" shapeId="0">
      <text>
        <r>
          <rPr>
            <b/>
            <sz val="9"/>
            <color indexed="81"/>
            <rFont val="Tahoma"/>
            <family val="2"/>
          </rPr>
          <t>Josue Ricart:</t>
        </r>
        <r>
          <rPr>
            <sz val="9"/>
            <color indexed="81"/>
            <rFont val="Tahoma"/>
            <family val="2"/>
          </rPr>
          <t xml:space="preserve">
aun estan en proceso pero si hay seguridad en su contratación q17</t>
        </r>
      </text>
    </comment>
    <comment ref="D91" authorId="0" shapeId="0">
      <text>
        <r>
          <rPr>
            <b/>
            <sz val="9"/>
            <color indexed="81"/>
            <rFont val="Tahoma"/>
            <family val="2"/>
          </rPr>
          <t>investigadores de aduanas</t>
        </r>
        <r>
          <rPr>
            <sz val="9"/>
            <color indexed="81"/>
            <rFont val="Tahoma"/>
            <family val="2"/>
          </rPr>
          <t xml:space="preserve">
</t>
        </r>
      </text>
    </comment>
    <comment ref="D113" authorId="1" shapeId="0">
      <text>
        <r>
          <rPr>
            <b/>
            <sz val="9"/>
            <color indexed="81"/>
            <rFont val="Tahoma"/>
            <family val="2"/>
          </rPr>
          <t>Josue Ricart:</t>
        </r>
        <r>
          <rPr>
            <sz val="9"/>
            <color indexed="81"/>
            <rFont val="Tahoma"/>
            <family val="2"/>
          </rPr>
          <t xml:space="preserve">
aun estan en proceso pero si hay seguridad en su contratación q17</t>
        </r>
      </text>
    </comment>
    <comment ref="D114" authorId="0" shapeId="0">
      <text>
        <r>
          <rPr>
            <b/>
            <sz val="9"/>
            <color indexed="81"/>
            <rFont val="Tahoma"/>
            <family val="2"/>
          </rPr>
          <t>Josue Andreé Ricart Vásquez:</t>
        </r>
        <r>
          <rPr>
            <sz val="9"/>
            <color indexed="81"/>
            <rFont val="Tahoma"/>
            <family val="2"/>
          </rPr>
          <t xml:space="preserve">
ya fue pagado en su totalidad PU-MCC-002-2016</t>
        </r>
      </text>
    </comment>
    <comment ref="E116" authorId="0" shapeId="0">
      <text>
        <r>
          <rPr>
            <b/>
            <sz val="9"/>
            <color indexed="81"/>
            <rFont val="Tahoma"/>
            <family val="2"/>
          </rPr>
          <t>Josue Andreé Ricart Vásquez:</t>
        </r>
        <r>
          <rPr>
            <sz val="9"/>
            <color indexed="81"/>
            <rFont val="Tahoma"/>
            <family val="2"/>
          </rPr>
          <t xml:space="preserve">
pago del q13 reprogramar all q14</t>
        </r>
      </text>
    </comment>
    <comment ref="D117" authorId="0" shapeId="0">
      <text>
        <r>
          <rPr>
            <b/>
            <sz val="9"/>
            <color indexed="81"/>
            <rFont val="Tahoma"/>
            <family val="2"/>
          </rPr>
          <t>Josue Andreé Ricart Vásquez:</t>
        </r>
        <r>
          <rPr>
            <sz val="9"/>
            <color indexed="81"/>
            <rFont val="Tahoma"/>
            <family val="2"/>
          </rPr>
          <t xml:space="preserve">
MGO</t>
        </r>
      </text>
    </comment>
    <comment ref="D118" authorId="0" shapeId="0">
      <text>
        <r>
          <rPr>
            <sz val="9"/>
            <color indexed="81"/>
            <rFont val="Tahoma"/>
            <family val="2"/>
          </rPr>
          <t>UNIVERSIDAD INTERNACIONES</t>
        </r>
      </text>
    </comment>
    <comment ref="D121" authorId="0" shapeId="0">
      <text>
        <r>
          <rPr>
            <b/>
            <sz val="9"/>
            <color indexed="81"/>
            <rFont val="Tahoma"/>
            <family val="2"/>
          </rPr>
          <t>Josue Andreé Ricart Vásquez:</t>
        </r>
        <r>
          <rPr>
            <sz val="9"/>
            <color indexed="81"/>
            <rFont val="Tahoma"/>
            <family val="2"/>
          </rPr>
          <t xml:space="preserve">
Deloitte</t>
        </r>
      </text>
    </comment>
    <comment ref="E122" authorId="0" shapeId="0">
      <text>
        <r>
          <rPr>
            <b/>
            <sz val="9"/>
            <color indexed="81"/>
            <rFont val="Tahoma"/>
            <family val="2"/>
          </rPr>
          <t>Josue Andreé Ricart Vásquez:</t>
        </r>
        <r>
          <rPr>
            <sz val="9"/>
            <color indexed="81"/>
            <rFont val="Tahoma"/>
            <family val="2"/>
          </rPr>
          <t xml:space="preserve">
no se va a pagar nada este trimestre</t>
        </r>
      </text>
    </comment>
    <comment ref="E123" authorId="0" shapeId="0">
      <text>
        <r>
          <rPr>
            <b/>
            <sz val="9"/>
            <color indexed="81"/>
            <rFont val="Tahoma"/>
            <family val="2"/>
          </rPr>
          <t>Josue Andreé Ricart Vásquez:</t>
        </r>
        <r>
          <rPr>
            <sz val="9"/>
            <color indexed="81"/>
            <rFont val="Tahoma"/>
            <family val="2"/>
          </rPr>
          <t xml:space="preserve">
Este monto surgió de una rebaja en el monto estimado de Metro Riel, ya que al momento de realizar la SD no se tenían monto suficiente para cubrir este compromiso.</t>
        </r>
      </text>
    </comment>
    <comment ref="E125" authorId="0" shapeId="0">
      <text>
        <r>
          <rPr>
            <b/>
            <sz val="9"/>
            <color indexed="81"/>
            <rFont val="Tahoma"/>
            <family val="2"/>
          </rPr>
          <t>Josue Andreé Ricart Vásquez:</t>
        </r>
        <r>
          <rPr>
            <sz val="9"/>
            <color indexed="81"/>
            <rFont val="Tahoma"/>
            <family val="2"/>
          </rPr>
          <t xml:space="preserve">
reprogramar 2020</t>
        </r>
      </text>
    </comment>
    <comment ref="D126" authorId="0" shapeId="0">
      <text>
        <r>
          <rPr>
            <b/>
            <sz val="9"/>
            <color indexed="81"/>
            <rFont val="Tahoma"/>
            <family val="2"/>
          </rPr>
          <t>Josue Andreé Ricart Vásquez:</t>
        </r>
        <r>
          <rPr>
            <sz val="9"/>
            <color indexed="81"/>
            <rFont val="Tahoma"/>
            <family val="2"/>
          </rPr>
          <t xml:space="preserve">
ya están los terminos de referencia
están en proceso de evaluación 02/09/2019</t>
        </r>
      </text>
    </comment>
    <comment ref="E126" authorId="0" shapeId="0">
      <text>
        <r>
          <rPr>
            <b/>
            <sz val="9"/>
            <color indexed="81"/>
            <rFont val="Tahoma"/>
            <family val="2"/>
          </rPr>
          <t>Josue Andreé Ricart Vásquez:</t>
        </r>
        <r>
          <rPr>
            <sz val="9"/>
            <color indexed="81"/>
            <rFont val="Tahoma"/>
            <family val="2"/>
          </rPr>
          <t xml:space="preserve">
ES NECESARIO REBAJAR EL MONTO POR 75,000 DEBIDO A LA CAPACITACIÓN QUE TENDRAN CONGRESISTAS DE GUATEMALA EN EL REINO UNIDO, CASO CONTRARIO SE DESFINANCIA EL PROYECTO.
***De acuerdo a una nueva gestión se dividirá en dos fases Metro Riel. la primera se tiene un estimado de 900,000. y de la segunda desconozco el monto aun.
según nueva información para el siguiente trimestre, estiman que el valor de la consultoría será de 1.3 millones (18 de febrero 2019)</t>
        </r>
      </text>
    </comment>
    <comment ref="D133" authorId="0" shapeId="0">
      <text>
        <r>
          <rPr>
            <b/>
            <sz val="9"/>
            <color indexed="81"/>
            <rFont val="Tahoma"/>
            <family val="2"/>
          </rPr>
          <t>Josue Andreé Ricart Vásquez:</t>
        </r>
        <r>
          <rPr>
            <sz val="9"/>
            <color indexed="81"/>
            <rFont val="Tahoma"/>
            <family val="2"/>
          </rPr>
          <t xml:space="preserve">
incluye pago de corporación abiansha por 1652.68</t>
        </r>
      </text>
    </comment>
    <comment ref="D134" authorId="0" shapeId="0">
      <text>
        <r>
          <rPr>
            <b/>
            <sz val="9"/>
            <color indexed="81"/>
            <rFont val="Tahoma"/>
            <family val="2"/>
          </rPr>
          <t>Josue Andreé Ricart Vásquez:</t>
        </r>
        <r>
          <rPr>
            <sz val="9"/>
            <color indexed="81"/>
            <rFont val="Tahoma"/>
            <family val="2"/>
          </rPr>
          <t xml:space="preserve">
Incluye pago de rustika</t>
        </r>
      </text>
    </comment>
    <comment ref="E135" authorId="0" shapeId="0">
      <text>
        <r>
          <rPr>
            <b/>
            <sz val="9"/>
            <color indexed="81"/>
            <rFont val="Tahoma"/>
            <family val="2"/>
          </rPr>
          <t>Josue Andreé Ricart Vásquez:</t>
        </r>
        <r>
          <rPr>
            <sz val="9"/>
            <color indexed="81"/>
            <rFont val="Tahoma"/>
            <family val="2"/>
          </rPr>
          <t xml:space="preserve">
PARA LA ELABORACIÓN DEL Q13 CONSIGNAR VALOR PAGADO TOTAL DE 47118.49, PARA QUE AJUSTE CON MCDR DE ENERO</t>
        </r>
      </text>
    </comment>
    <comment ref="E136" authorId="0" shapeId="0">
      <text>
        <r>
          <rPr>
            <b/>
            <sz val="9"/>
            <color indexed="81"/>
            <rFont val="Tahoma"/>
            <family val="2"/>
          </rPr>
          <t>Josue Andreé Ricart Vásquez:</t>
        </r>
        <r>
          <rPr>
            <sz val="9"/>
            <color indexed="81"/>
            <rFont val="Tahoma"/>
            <family val="2"/>
          </rPr>
          <t xml:space="preserve">
original 45,000, se dejó de utilizar 6498.00 se reversó</t>
        </r>
      </text>
    </comment>
    <comment ref="D141" authorId="0" shapeId="0">
      <text>
        <r>
          <rPr>
            <sz val="9"/>
            <color indexed="81"/>
            <rFont val="Tahoma"/>
            <family val="2"/>
          </rPr>
          <t>Experto en escala vertical</t>
        </r>
      </text>
    </comment>
    <comment ref="D166" authorId="0" shapeId="0">
      <text>
        <r>
          <rPr>
            <b/>
            <sz val="9"/>
            <color indexed="81"/>
            <rFont val="Tahoma"/>
            <family val="2"/>
          </rPr>
          <t>Josue Andreé Ricart Grupo Sega</t>
        </r>
      </text>
    </comment>
    <comment ref="D167" authorId="0" shapeId="0">
      <text>
        <r>
          <rPr>
            <b/>
            <sz val="9"/>
            <color indexed="81"/>
            <rFont val="Tahoma"/>
            <family val="2"/>
          </rPr>
          <t>Josue Andreé Ricart Vásquez:</t>
        </r>
        <r>
          <rPr>
            <sz val="9"/>
            <color indexed="81"/>
            <rFont val="Tahoma"/>
            <family val="2"/>
          </rPr>
          <t xml:space="preserve">
Tecnasa</t>
        </r>
      </text>
    </comment>
    <comment ref="D168" authorId="0" shapeId="0">
      <text>
        <r>
          <rPr>
            <b/>
            <sz val="9"/>
            <color indexed="81"/>
            <rFont val="Tahoma"/>
            <family val="2"/>
          </rPr>
          <t>Josue Andreé Ricart Vásquez:</t>
        </r>
        <r>
          <rPr>
            <sz val="9"/>
            <color indexed="81"/>
            <rFont val="Tahoma"/>
            <family val="2"/>
          </rPr>
          <t xml:space="preserve">
Tecnasa</t>
        </r>
      </text>
    </comment>
    <comment ref="D169" authorId="0" shapeId="0">
      <text>
        <r>
          <rPr>
            <b/>
            <sz val="9"/>
            <color indexed="81"/>
            <rFont val="Tahoma"/>
            <family val="2"/>
          </rPr>
          <t>Josue Andreé Ricart Vásquez:</t>
        </r>
        <r>
          <rPr>
            <sz val="9"/>
            <color indexed="81"/>
            <rFont val="Tahoma"/>
            <family val="2"/>
          </rPr>
          <t xml:space="preserve">
01-2017</t>
        </r>
      </text>
    </comment>
    <comment ref="D172" authorId="0" shapeId="0">
      <text>
        <r>
          <rPr>
            <b/>
            <sz val="9"/>
            <color indexed="81"/>
            <rFont val="Tahoma"/>
            <family val="2"/>
          </rPr>
          <t>Josue Andreé Ricart Vásquez:</t>
        </r>
        <r>
          <rPr>
            <sz val="9"/>
            <color indexed="81"/>
            <rFont val="Tahoma"/>
            <family val="2"/>
          </rPr>
          <t xml:space="preserve">
Reparación Impresora</t>
        </r>
      </text>
    </comment>
    <comment ref="D175" authorId="0" shapeId="0">
      <text>
        <r>
          <rPr>
            <b/>
            <sz val="9"/>
            <color indexed="81"/>
            <rFont val="Tahoma"/>
            <family val="2"/>
          </rPr>
          <t>Josue Andreé Ricart Vásquez:</t>
        </r>
        <r>
          <rPr>
            <sz val="9"/>
            <color indexed="81"/>
            <rFont val="Tahoma"/>
            <family val="2"/>
          </rPr>
          <t xml:space="preserve">
poliycom phone</t>
        </r>
      </text>
    </comment>
    <comment ref="D176" authorId="0" shapeId="0">
      <text>
        <r>
          <rPr>
            <b/>
            <sz val="9"/>
            <color indexed="81"/>
            <rFont val="Tahoma"/>
            <family val="2"/>
          </rPr>
          <t>Josue Andreé Ricart Vásquez:</t>
        </r>
        <r>
          <rPr>
            <sz val="9"/>
            <color indexed="81"/>
            <rFont val="Tahoma"/>
            <family val="2"/>
          </rPr>
          <t xml:space="preserve">
compra de credenzas</t>
        </r>
      </text>
    </comment>
    <comment ref="D177" authorId="0" shapeId="0">
      <text>
        <r>
          <rPr>
            <b/>
            <sz val="9"/>
            <color indexed="81"/>
            <rFont val="Tahoma"/>
            <family val="2"/>
          </rPr>
          <t>Josue Andreé Ricart Vásquez:</t>
        </r>
        <r>
          <rPr>
            <sz val="9"/>
            <color indexed="81"/>
            <rFont val="Tahoma"/>
            <family val="2"/>
          </rPr>
          <t xml:space="preserve">
PU-MCC-SNC-001-2016
</t>
        </r>
      </text>
    </comment>
    <comment ref="D178" authorId="0" shapeId="0">
      <text>
        <r>
          <rPr>
            <b/>
            <sz val="9"/>
            <color indexed="81"/>
            <rFont val="Tahoma"/>
            <family val="2"/>
          </rPr>
          <t>Josue Andreé Ricart Vásquez:</t>
        </r>
        <r>
          <rPr>
            <sz val="9"/>
            <color indexed="81"/>
            <rFont val="Tahoma"/>
            <family val="2"/>
          </rPr>
          <t xml:space="preserve">
03-2017
</t>
        </r>
      </text>
    </comment>
    <comment ref="D180" authorId="0" shapeId="0">
      <text>
        <r>
          <rPr>
            <b/>
            <sz val="9"/>
            <color indexed="81"/>
            <rFont val="Tahoma"/>
            <family val="2"/>
          </rPr>
          <t>Josue Andreé Ricart Vásquez:</t>
        </r>
        <r>
          <rPr>
            <sz val="9"/>
            <color indexed="81"/>
            <rFont val="Tahoma"/>
            <family val="2"/>
          </rPr>
          <t xml:space="preserve">
01-2018</t>
        </r>
      </text>
    </comment>
    <comment ref="BG195" authorId="0" shapeId="0">
      <text>
        <r>
          <rPr>
            <b/>
            <sz val="9"/>
            <color indexed="81"/>
            <rFont val="Tahoma"/>
            <family val="2"/>
          </rPr>
          <t>Josue Andreé Ricart Vásquez:</t>
        </r>
        <r>
          <rPr>
            <sz val="9"/>
            <color indexed="81"/>
            <rFont val="Tahoma"/>
            <family val="2"/>
          </rPr>
          <t xml:space="preserve">
ojo se debe quitar un usd 1.00 solo ejecuto 24999
</t>
        </r>
      </text>
    </comment>
    <comment ref="E220" authorId="1" shapeId="0">
      <text>
        <r>
          <rPr>
            <b/>
            <sz val="9"/>
            <color indexed="81"/>
            <rFont val="Tahoma"/>
            <family val="2"/>
          </rPr>
          <t>Josue Ricart:
Q16 increse 130,000.0</t>
        </r>
      </text>
    </comment>
    <comment ref="E224" authorId="1" shapeId="0">
      <text>
        <r>
          <rPr>
            <b/>
            <sz val="9"/>
            <color indexed="81"/>
            <rFont val="Tahoma"/>
            <family val="2"/>
          </rPr>
          <t>Josue Ricart:</t>
        </r>
        <r>
          <rPr>
            <sz val="9"/>
            <color indexed="81"/>
            <rFont val="Tahoma"/>
            <family val="2"/>
          </rPr>
          <t xml:space="preserve">
Increse 25,000
</t>
        </r>
      </text>
    </comment>
  </commentList>
</comments>
</file>

<file path=xl/sharedStrings.xml><?xml version="1.0" encoding="utf-8"?>
<sst xmlns="http://schemas.openxmlformats.org/spreadsheetml/2006/main" count="1264" uniqueCount="336">
  <si>
    <t>Detailed Financial Plan - Commitments</t>
  </si>
  <si>
    <t>Country:</t>
  </si>
  <si>
    <t>Accountable Entity:</t>
  </si>
  <si>
    <t>Grant Number:</t>
  </si>
  <si>
    <t>Date Submitted:</t>
  </si>
  <si>
    <t>Quarter #</t>
  </si>
  <si>
    <t>Forecasted Commitments for -&gt;</t>
  </si>
  <si>
    <t>Cumulative</t>
  </si>
  <si>
    <t>Current Period</t>
  </si>
  <si>
    <t>Next Period</t>
  </si>
  <si>
    <t>TOTAL</t>
  </si>
  <si>
    <t>Variance</t>
  </si>
  <si>
    <t>Commitments As Currently Forecasted</t>
  </si>
  <si>
    <r>
      <t>Projections vs. Approved Plan Under /</t>
    </r>
    <r>
      <rPr>
        <b/>
        <sz val="10"/>
        <color indexed="53"/>
        <rFont val="Arial"/>
        <family val="2"/>
      </rPr>
      <t xml:space="preserve"> (Over)</t>
    </r>
    <r>
      <rPr>
        <b/>
        <sz val="10"/>
        <rFont val="Arial"/>
        <family val="2"/>
      </rPr>
      <t xml:space="preserve">
Budget
Difference</t>
    </r>
  </si>
  <si>
    <t>Date/Month/Quarter -&gt;</t>
  </si>
  <si>
    <t>TOTAL - M&amp;E</t>
  </si>
  <si>
    <t>Detailed Financial Plan - Cash</t>
  </si>
  <si>
    <t>Forecasted Cash for -&gt;</t>
  </si>
  <si>
    <t>Cash Disbursements As Currently Forecasted</t>
  </si>
  <si>
    <t>MCC Grant Quarterly Financial Report</t>
  </si>
  <si>
    <t>Schedule A.  Multi-Year Financial Plan Adjustment Request Form</t>
  </si>
  <si>
    <t>Amounts Expressed In US Dollars</t>
  </si>
  <si>
    <t>Original Program Multi-Year Financial Plan in Grant Agreement</t>
  </si>
  <si>
    <t xml:space="preserve">Current Approved Multi-Year Financial Plan </t>
  </si>
  <si>
    <t>Proposed Adjustments
(Display all #'s as positive)</t>
  </si>
  <si>
    <t>Proposed Adjusted Multi-Year Financial Plan</t>
  </si>
  <si>
    <t>(from Schedule B,
 Final Column)</t>
  </si>
  <si>
    <t>Increase (+)</t>
  </si>
  <si>
    <t>Decrease (-)</t>
  </si>
  <si>
    <t>(2+3-4)</t>
  </si>
  <si>
    <t>Grand Total</t>
  </si>
  <si>
    <t>Schedule B.  Summary of Multi-Year Financial Plan Adjustments to Date</t>
  </si>
  <si>
    <t>Amounts Expressed in US Dollars</t>
  </si>
  <si>
    <t>DISBURSEMENT REQUEST</t>
  </si>
  <si>
    <t xml:space="preserve">THRESHOLD PROGRAM GRANT AGREEMENT </t>
  </si>
  <si>
    <t>Country</t>
  </si>
  <si>
    <t>Projects</t>
  </si>
  <si>
    <t>Threshold Program Grant Agreement Date/ Entry into Force Date</t>
  </si>
  <si>
    <t xml:space="preserve">Threshold Program Number </t>
  </si>
  <si>
    <t>Accountable Entity</t>
  </si>
  <si>
    <t>Fiscal Agent</t>
  </si>
  <si>
    <t>Request Date</t>
  </si>
  <si>
    <t>Disbursement Period Beginning Date</t>
  </si>
  <si>
    <t>Disbursement Period Ending Date</t>
  </si>
  <si>
    <t>Disbursement Number</t>
  </si>
  <si>
    <t>Currency (Expressed in USD)</t>
  </si>
  <si>
    <t>US Dollars</t>
  </si>
  <si>
    <t>Exchange Rate used to calculate U.S. Dollar equivalent of any local currency balance for purposes of this MCC Disbursement Request</t>
  </si>
  <si>
    <t>1.  Forecasted Cash Disbursement Requirements (from DFP Cash Column)</t>
  </si>
  <si>
    <t>2. Interest to be Returned to the USG for Next Period (Interest Sum, Line 7)</t>
  </si>
  <si>
    <t>3. Working Capital (FOR MCC USE ONLY)</t>
  </si>
  <si>
    <t>4. Cash Balance at the End of the Current Period (Cash Req, Line 7)</t>
  </si>
  <si>
    <t>5. Disbursement Request Amount (Lines 1+2-4)</t>
  </si>
  <si>
    <t>6. Amount Requested in Words</t>
  </si>
  <si>
    <r>
      <t xml:space="preserve">C.  Compliance:  </t>
    </r>
    <r>
      <rPr>
        <sz val="10"/>
        <rFont val="Arial"/>
        <family val="2"/>
      </rPr>
      <t>the undersigned confirms that the MCC Disbursement requested herby is in accordance with the terms and conditions set forth in the Threshold Program Agreement, including the limitations on the use or treatment of MCC Funding set out in Section 2.4.</t>
    </r>
  </si>
  <si>
    <r>
      <t xml:space="preserve">D.  Authorization:  </t>
    </r>
    <r>
      <rPr>
        <sz val="10"/>
        <rFont val="Arial"/>
        <family val="2"/>
      </rPr>
      <t>the undersigned acknowledges that funds disbursed in accordance with this request will be either made (i) directly to third-party vendors for goods, works and services received by the accountable entity upon presentation of valid invoices utilizing MCC's Common Payment System, (ii) to the Permitted Account, or (iii) to the Petty Cash Account.</t>
    </r>
  </si>
  <si>
    <r>
      <t xml:space="preserve">E.  Certificates:  </t>
    </r>
    <r>
      <rPr>
        <sz val="10"/>
        <rFont val="Arial"/>
        <family val="2"/>
      </rPr>
      <t>Attached hereto are the certificates required under Section 5.2 and 5.3 of the Threshold Program Agreement.</t>
    </r>
  </si>
  <si>
    <t>By:  _______________________________________________________________</t>
  </si>
  <si>
    <t xml:space="preserve">Name: </t>
  </si>
  <si>
    <t>TOTAL - Education</t>
  </si>
  <si>
    <t>TOTAL - Resource Mobilization</t>
  </si>
  <si>
    <t>Guatemala</t>
  </si>
  <si>
    <t>PRONACOM</t>
  </si>
  <si>
    <t>TR14GTM15001</t>
  </si>
  <si>
    <t>Current Approved Multi-Year Financial Plan 
(to Schedule A, Column 2)</t>
  </si>
  <si>
    <t>1. Education Project (EDU)</t>
  </si>
  <si>
    <t>1.1 Improving the Quality of Education (0277)</t>
  </si>
  <si>
    <t>1.2 Developing Technical and Vocational Education and Training (0400)</t>
  </si>
  <si>
    <t>1.3 Strengthening Institutional and Planning Capacity (0043)</t>
  </si>
  <si>
    <t xml:space="preserve">     Activity (code)</t>
  </si>
  <si>
    <t>Project (code)</t>
  </si>
  <si>
    <t>2. Resource Mobilization Project (REV RFRM)</t>
  </si>
  <si>
    <t>3. M&amp;E (MON &amp; EVAL)</t>
  </si>
  <si>
    <t>4. Program Admin (PGM ADMIN)</t>
  </si>
  <si>
    <t>2.1 Improving Tax and Customs Administration (0443)*</t>
  </si>
  <si>
    <t>2.2 Strengthening Public-Private Partnership Capacity (0414)</t>
  </si>
  <si>
    <t>Monitoring and Evaluation (0016)</t>
  </si>
  <si>
    <t>Program Administration (0017)</t>
  </si>
  <si>
    <t xml:space="preserve">   Activity (code)</t>
  </si>
  <si>
    <t>3. M&amp;E (MON &amp; Eval)</t>
  </si>
  <si>
    <t xml:space="preserve">   Monitoring and Evaluation (0016)</t>
  </si>
  <si>
    <t xml:space="preserve">TOTAL - Program Admin </t>
  </si>
  <si>
    <t xml:space="preserve">   Program Administration (0017)</t>
  </si>
  <si>
    <t>Column Number</t>
  </si>
  <si>
    <t>Column 1</t>
  </si>
  <si>
    <t>Column 2</t>
  </si>
  <si>
    <t>Column 3</t>
  </si>
  <si>
    <t>Column 4</t>
  </si>
  <si>
    <t>Column 5</t>
  </si>
  <si>
    <t>Column X</t>
  </si>
  <si>
    <t>Column Y</t>
  </si>
  <si>
    <t>Column Z</t>
  </si>
  <si>
    <t xml:space="preserve">     1.1.a  Education Project Implementation Contract</t>
  </si>
  <si>
    <t xml:space="preserve">     1.1.b  Grants to Universities for Teacher Training (Diplomados)</t>
  </si>
  <si>
    <t xml:space="preserve">     1.3.a  Education Project Implementation Contract</t>
  </si>
  <si>
    <t xml:space="preserve">     3.1.a  Student Assessment</t>
  </si>
  <si>
    <t xml:space="preserve">     3.1.b  Teacher Evaluations</t>
  </si>
  <si>
    <t xml:space="preserve">     3.1.c  Voc Ed Tracer Studies</t>
  </si>
  <si>
    <t xml:space="preserve"> </t>
  </si>
  <si>
    <t>As Per Current Approved Multi-Year Financial Plan (Should match with Schedule B)**</t>
  </si>
  <si>
    <t xml:space="preserve">     1.1.c  Other</t>
  </si>
  <si>
    <t xml:space="preserve">     1.2.a  TVET</t>
  </si>
  <si>
    <t xml:space="preserve">2.1 Improving Tax and Customs Administration </t>
  </si>
  <si>
    <t xml:space="preserve">MCC Managed Fund </t>
  </si>
  <si>
    <t xml:space="preserve">     2.1.a  Tax and Customs</t>
  </si>
  <si>
    <t xml:space="preserve">     2.2.a  Advisors</t>
  </si>
  <si>
    <t xml:space="preserve">     2.2.b  Feasiblity Studies/  Transaction Advisory Services</t>
  </si>
  <si>
    <t xml:space="preserve">     3.1 d Other</t>
  </si>
  <si>
    <t xml:space="preserve">     2.2.c  Other</t>
  </si>
  <si>
    <t xml:space="preserve">     1.3.c  Other</t>
  </si>
  <si>
    <t xml:space="preserve">     1.3.b  Education Project Coordination team*</t>
  </si>
  <si>
    <t>2.1 Improving Tax and Customs Administration (0443)**</t>
  </si>
  <si>
    <t>As Per Current Approved Multi-Year Financial Plan (Should match with Schedule B)*</t>
  </si>
  <si>
    <t>TOTAL MCA-Managed Threshold Funds</t>
  </si>
  <si>
    <r>
      <t xml:space="preserve">A.  Disbursement Request:  </t>
    </r>
    <r>
      <rPr>
        <sz val="10"/>
        <rFont val="Arial"/>
        <family val="2"/>
      </rPr>
      <t>The undersigned hereby requests the Millennium Challenge Corporation to disburse funds under the Threshold Grant Agreement, dated as of August 28,2013 as follows:</t>
    </r>
  </si>
  <si>
    <t>* This activity is MCC Managed (commitments and disbursements are reported on the quarterly MCC-Managed Report)</t>
  </si>
  <si>
    <t>** These sub-activities that have amounts listed in Column Y are not part of Schedule B, but are being listed to comply with the Fiscal Accountability Plan's requirements for tracking/approving salary and travel budget changes.</t>
  </si>
  <si>
    <t xml:space="preserve">     4.1.a  Staff Compensation*</t>
  </si>
  <si>
    <t xml:space="preserve">     4.1.b  Travel*</t>
  </si>
  <si>
    <t xml:space="preserve">     4.1.c  Audit</t>
  </si>
  <si>
    <t xml:space="preserve">     4.1.d  Other</t>
  </si>
  <si>
    <t>Act#</t>
  </si>
  <si>
    <t>1.1.a</t>
  </si>
  <si>
    <t>1.1.b</t>
  </si>
  <si>
    <t>1.1.c</t>
  </si>
  <si>
    <t>1.2.a</t>
  </si>
  <si>
    <t>1.3.a</t>
  </si>
  <si>
    <t>1.3.b</t>
  </si>
  <si>
    <t>1.3.c</t>
  </si>
  <si>
    <t>2.1.a</t>
  </si>
  <si>
    <t>2.2.a</t>
  </si>
  <si>
    <t>2.2.b</t>
  </si>
  <si>
    <t>2.2.c</t>
  </si>
  <si>
    <t>3.1.a</t>
  </si>
  <si>
    <t>3.1.b</t>
  </si>
  <si>
    <t>3.1.c</t>
  </si>
  <si>
    <t>3.1.d</t>
  </si>
  <si>
    <t>4.1.a</t>
  </si>
  <si>
    <t>4.1.b</t>
  </si>
  <si>
    <t>4.1.c</t>
  </si>
  <si>
    <t>4.1.d</t>
  </si>
  <si>
    <t>Contract name</t>
  </si>
  <si>
    <t>Q1</t>
  </si>
  <si>
    <t>Value</t>
  </si>
  <si>
    <t>Sign quarter</t>
  </si>
  <si>
    <t>Percent of disbursements by quarter</t>
  </si>
  <si>
    <t>Q2</t>
  </si>
  <si>
    <t>Q3</t>
  </si>
  <si>
    <t>Q4</t>
  </si>
  <si>
    <t>Q5</t>
  </si>
  <si>
    <t>Q6</t>
  </si>
  <si>
    <t>Q7</t>
  </si>
  <si>
    <t>Q8</t>
  </si>
  <si>
    <t>Q9</t>
  </si>
  <si>
    <t>Q10</t>
  </si>
  <si>
    <t>Q11</t>
  </si>
  <si>
    <t>Q12</t>
  </si>
  <si>
    <t>Q13</t>
  </si>
  <si>
    <t>Q14</t>
  </si>
  <si>
    <t>Total</t>
  </si>
  <si>
    <t>Q15</t>
  </si>
  <si>
    <t>q3</t>
  </si>
  <si>
    <t>Diplomado Training</t>
  </si>
  <si>
    <t>q6</t>
  </si>
  <si>
    <t>Pedagogical Resource centers</t>
  </si>
  <si>
    <t>Director de Proyecto de Educación</t>
  </si>
  <si>
    <t>PPP coach</t>
  </si>
  <si>
    <t>PP Financial Adivisor (for MINFIN and ANADIE)</t>
  </si>
  <si>
    <t>Airport Feasiblity Study</t>
  </si>
  <si>
    <t>Airport Transaction Advisor</t>
  </si>
  <si>
    <t>Road Feasiblity Study</t>
  </si>
  <si>
    <t>Road Transaction Advisor</t>
  </si>
  <si>
    <t>Antigua Feasiblity Study</t>
  </si>
  <si>
    <t>Antigua Transaction Advisor</t>
  </si>
  <si>
    <t>Training</t>
  </si>
  <si>
    <t>q7</t>
  </si>
  <si>
    <t>Coordinador MCC-THP</t>
  </si>
  <si>
    <t>Audit</t>
  </si>
  <si>
    <t>IT Equipment</t>
  </si>
  <si>
    <t>Communications and Workshops</t>
  </si>
  <si>
    <t>Travel</t>
  </si>
  <si>
    <t>Especialista de Monitoreo y Evaluación</t>
  </si>
  <si>
    <t>Coordinador Administrativo Financiero (Especialista financiero)</t>
  </si>
  <si>
    <t>Especialista en Adquisiciones MCC  (Especialista en adquisiciones)</t>
  </si>
  <si>
    <t>Asistente de Proyecto de Educación</t>
  </si>
  <si>
    <t>Recurring Expenses for which commitments will  be made in same quarter as expense.</t>
  </si>
  <si>
    <t>Salary Type Expenses</t>
  </si>
  <si>
    <t>Cash by quarter</t>
  </si>
  <si>
    <t>Committments by quarter</t>
  </si>
  <si>
    <t>q2</t>
  </si>
  <si>
    <t>q5</t>
  </si>
  <si>
    <t>q1</t>
  </si>
  <si>
    <t>Training option</t>
  </si>
  <si>
    <t>q4</t>
  </si>
  <si>
    <t>tbd</t>
  </si>
  <si>
    <t>check Cash=comm</t>
  </si>
  <si>
    <t>FxT Coordinator</t>
  </si>
  <si>
    <t>Actual Cumulative Disbursements at Beginning of Current Period</t>
  </si>
  <si>
    <t>M&amp;E</t>
  </si>
  <si>
    <t>Total Comprometido a la fecha</t>
  </si>
  <si>
    <t>TVET place holder</t>
  </si>
  <si>
    <t>place holder</t>
  </si>
  <si>
    <t>q15</t>
  </si>
  <si>
    <t>Adjustment Reported/
Approved
(Q1 - 9/10/2016)</t>
  </si>
  <si>
    <t>data subscriptions</t>
  </si>
  <si>
    <t>IT consultants</t>
  </si>
  <si>
    <t>Managaement coach for customs and audit</t>
  </si>
  <si>
    <t>PPP coach option 1</t>
  </si>
  <si>
    <t>PPP coach option 2</t>
  </si>
  <si>
    <t>q8</t>
  </si>
  <si>
    <t xml:space="preserve">Date:  </t>
  </si>
  <si>
    <t xml:space="preserve"> 3 validadores para Pruebas de Educación de Nivel Medio</t>
  </si>
  <si>
    <t xml:space="preserve"> 6 redactores para Pruebas de Educación de Nivel Medio.</t>
  </si>
  <si>
    <t>1 curriculista para Pruebas de Educación de Nivel Medio.</t>
  </si>
  <si>
    <t>Un coordinador para Pruebas de Educación de Nivel Medio.</t>
  </si>
  <si>
    <t>Education Project Total</t>
  </si>
  <si>
    <t>Tax and Customs</t>
  </si>
  <si>
    <t>PPPs</t>
  </si>
  <si>
    <t>Program Admin</t>
  </si>
  <si>
    <t>Managaement coach for customs and audit (option 1)</t>
  </si>
  <si>
    <t>Asistente Administrativo Bilingüe</t>
  </si>
  <si>
    <t>q12</t>
  </si>
  <si>
    <t xml:space="preserve">Especialista Economista </t>
  </si>
  <si>
    <r>
      <t xml:space="preserve">F.  Definitions:  </t>
    </r>
    <r>
      <rPr>
        <sz val="10"/>
        <rFont val="Arial"/>
        <family val="2"/>
      </rPr>
      <t xml:space="preserve">Capitalized terms used herein shall have the meanings assigned to such terms in the Threshold Program Agreement by and between the Government of Guatemala and the United States, acting through the Millennium Challenge Corporation, dated April 8, 2015, and entered into force on May 15, 2016. </t>
    </r>
  </si>
  <si>
    <t>Exito Escolar 1.3</t>
  </si>
  <si>
    <t>Exito Escolar 1.1</t>
  </si>
  <si>
    <t>* This activity has  MCC Managed (commitments and disbursements are reported on the quarterly MCC-Managed Report)</t>
  </si>
  <si>
    <t>* This activity (0443) is partially MCC-Managed</t>
  </si>
  <si>
    <t>Projected Disbursements during Current Period</t>
  </si>
  <si>
    <t>q10</t>
  </si>
  <si>
    <t>q9</t>
  </si>
  <si>
    <t>Adjustment Reported/
Approved
(Q6 - 10/11/2017)</t>
  </si>
  <si>
    <t>Q16</t>
  </si>
  <si>
    <t>Threshold Program / Program Administration and Monitoring and Evaluation</t>
  </si>
  <si>
    <t>April 8, 2015/May 16, 2016</t>
  </si>
  <si>
    <t>Q17</t>
  </si>
  <si>
    <t>Q18</t>
  </si>
  <si>
    <t>Close Out</t>
  </si>
  <si>
    <t>Q19</t>
  </si>
  <si>
    <t>q11</t>
  </si>
  <si>
    <t>q14</t>
  </si>
  <si>
    <t>q13</t>
  </si>
  <si>
    <t>Adjustment Reported/ 
Approved 
(Q10 - 05/11/2018)</t>
  </si>
  <si>
    <t>Adjustment Reported/ 
Approved 
(Q12- 01/04/2019)</t>
  </si>
  <si>
    <t>q17</t>
  </si>
  <si>
    <t>q18</t>
  </si>
  <si>
    <t>Apr-21</t>
  </si>
  <si>
    <t>Q20</t>
  </si>
  <si>
    <t>Column 19</t>
  </si>
  <si>
    <t>Apr '21
Jun '21</t>
  </si>
  <si>
    <t>q19</t>
  </si>
  <si>
    <t xml:space="preserve">cash, cash cash cash cash cash, cash cash cash cash cash, cash cash cash cash cash, cash cash cash cash cash, cash cash cash cash cash, cash cash cash cash cash, cash cash cash cash cash, cash cash cash cash cash, cash cash cash cash cash, cash cash cash cash </t>
  </si>
  <si>
    <t xml:space="preserve">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COM </t>
  </si>
  <si>
    <t>q16</t>
  </si>
  <si>
    <t>Adjustment Reported/ 
Approved 
(Q15- 31/12/2019)</t>
  </si>
  <si>
    <t>Name: Francisca de Jesús Cárdenas Morán</t>
  </si>
  <si>
    <t>Signed by the  THP  Director</t>
  </si>
  <si>
    <t>Date:  ____________________________________________________</t>
  </si>
  <si>
    <t>Adjustment Reported/ 
Approved 
(Q16- 04/04/2020)</t>
  </si>
  <si>
    <t>check contract= com</t>
  </si>
  <si>
    <t>check contract= Dev</t>
  </si>
  <si>
    <t>Disbursement Period:01-oct-20 to 31-dec-20</t>
  </si>
  <si>
    <t>Out of Cycle Report:  Yes [ ] | No [ x ]</t>
  </si>
  <si>
    <t>Adjustment Reported/ 
Approved 
(Q17- 03/08/2020)</t>
  </si>
  <si>
    <t>Q21</t>
  </si>
  <si>
    <t>Q22</t>
  </si>
  <si>
    <t>q20</t>
  </si>
  <si>
    <t>q21</t>
  </si>
  <si>
    <t xml:space="preserve">
Grant Quarter #20</t>
  </si>
  <si>
    <t xml:space="preserve">
Grant Quarter #21</t>
  </si>
  <si>
    <t xml:space="preserve">
Grant Quarter #22</t>
  </si>
  <si>
    <t>Jul '21
Sep '21</t>
  </si>
  <si>
    <t>Oct '21          Dec '21</t>
  </si>
  <si>
    <t>Oct '21                      Dec '21</t>
  </si>
  <si>
    <t>Adjustment Reported/ 
Approved 
(Q19- 01/01/2021)</t>
  </si>
  <si>
    <t>de donde moví</t>
  </si>
  <si>
    <t>a donde pasé</t>
  </si>
  <si>
    <t>Adjustment Reported/ 
Approved 
(Q19-26/02/2021)</t>
  </si>
  <si>
    <t>Dec '20</t>
  </si>
  <si>
    <t>Apr '20</t>
  </si>
  <si>
    <t>May `20</t>
  </si>
  <si>
    <t>Jun´20</t>
  </si>
  <si>
    <t>MR-18</t>
  </si>
  <si>
    <t>MR-16</t>
  </si>
  <si>
    <t>MR-21</t>
  </si>
  <si>
    <t>ME-3</t>
  </si>
  <si>
    <t>ME-2</t>
  </si>
  <si>
    <t>ME-2.1</t>
  </si>
  <si>
    <t>ME-4</t>
  </si>
  <si>
    <t>ME-5</t>
  </si>
  <si>
    <t>ME-7</t>
  </si>
  <si>
    <t>ME-8</t>
  </si>
  <si>
    <t>A.4</t>
  </si>
  <si>
    <t>A-2</t>
  </si>
  <si>
    <t>A.3</t>
  </si>
  <si>
    <t>A.8</t>
  </si>
  <si>
    <t>A.9</t>
  </si>
  <si>
    <t>A.6</t>
  </si>
  <si>
    <t>A.5</t>
  </si>
  <si>
    <t>A.7</t>
  </si>
  <si>
    <t>A.1</t>
  </si>
  <si>
    <t>MR-4</t>
  </si>
  <si>
    <t>MR-6</t>
  </si>
  <si>
    <t>MR-7</t>
  </si>
  <si>
    <t>MR-8</t>
  </si>
  <si>
    <t>MR-22</t>
  </si>
  <si>
    <t>MR-5</t>
  </si>
  <si>
    <t>ED-5</t>
  </si>
  <si>
    <t>ED-8.1</t>
  </si>
  <si>
    <t>ED-11</t>
  </si>
  <si>
    <t>ED-16</t>
  </si>
  <si>
    <t>MR-12</t>
  </si>
  <si>
    <t>MR-11</t>
  </si>
  <si>
    <t>ME.11</t>
  </si>
  <si>
    <t>ME.12</t>
  </si>
  <si>
    <t>ME.13</t>
  </si>
  <si>
    <t>ME-14</t>
  </si>
  <si>
    <t>ME.18</t>
  </si>
  <si>
    <t>ME.15</t>
  </si>
  <si>
    <t>ME.16</t>
  </si>
  <si>
    <t>ME.29</t>
  </si>
  <si>
    <t>ME.21</t>
  </si>
  <si>
    <t>ME.24</t>
  </si>
  <si>
    <t>A.10</t>
  </si>
  <si>
    <t>Dec '20
Mar '21</t>
  </si>
  <si>
    <t>Out of Cycle Report:  Yes [ ] | No [X ]</t>
  </si>
  <si>
    <t>Dec '20                     Mar '21</t>
  </si>
  <si>
    <t>Jul '21</t>
  </si>
  <si>
    <t>Ago `21</t>
  </si>
  <si>
    <t>Sep´21</t>
  </si>
  <si>
    <t>travel</t>
  </si>
  <si>
    <t>q22</t>
  </si>
  <si>
    <t>Date: June 14, 2021</t>
  </si>
  <si>
    <t>31/09/2021</t>
  </si>
  <si>
    <t>One million two hundred ninety-seven thousand thirty and 69/100 dollars</t>
  </si>
  <si>
    <t>Disbursement Period:01-Jul-21  to 30-sep-21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</si>
</sst>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6" formatCode="&quot;Q&quot;#,##0;[Red]\-&quot;Q&quot;#,##0"/>
    <numFmt numFmtId="43" formatCode="_-* #,##0.00_-;\-* #,##0.00_-;_-* &quot;-&quot;??_-;_-@_-"/>
    <numFmt numFmtId="164" formatCode="&quot;$&quot;#,##0.00_);\(&quot;$&quot;#,##0.00\)"/>
    <numFmt numFmtId="165" formatCode="&quot;$&quot;#,##0.00_);[Red]\(&quot;$&quot;#,##0.00\)"/>
    <numFmt numFmtId="166" formatCode="_(&quot;$&quot;* #,##0.00_);_(&quot;$&quot;* \(#,##0.00\);_(&quot;$&quot;* &quot;-&quot;??_);_(@_)"/>
    <numFmt numFmtId="167" formatCode="_(* #,##0.00_);_(* \(#,##0.00\);_(* &quot;-&quot;??_);_(@_)"/>
    <numFmt numFmtId="168" formatCode="_(* #,##0_);_(* \(#,##0\);_(* &quot;-&quot;??_);_(@_)"/>
    <numFmt numFmtId="169" formatCode="0_);[Red]\(0\)"/>
    <numFmt numFmtId="170" formatCode="[$-409]mmmm\ d\,\ yyyy;@"/>
    <numFmt numFmtId="171" formatCode="[$-409]mmm\-yy;@"/>
    <numFmt numFmtId="172" formatCode="m/d/yy;@"/>
    <numFmt numFmtId="173" formatCode="_(&quot;$&quot;* #,##0_);_(&quot;$&quot;* \(#,##0\);_(&quot;$&quot;* &quot;-&quot;??_);_(@_)"/>
    <numFmt numFmtId="174" formatCode="0.0%"/>
    <numFmt numFmtId="175" formatCode="[$-409]dd\-mmm\-yy;@"/>
    <numFmt numFmtId="176" formatCode="_(* #,##0.00000_);_(* \(#,##0.00000\);_(* &quot;-&quot;??_);_(@_)"/>
    <numFmt numFmtId="177" formatCode="0.00000000;[Red]0.00000000"/>
    <numFmt numFmtId="178" formatCode="0.00000"/>
    <numFmt numFmtId="179" formatCode="0.00000000"/>
    <numFmt numFmtId="180" formatCode="0.000%"/>
  </numFmts>
  <fonts count="44">
    <font>
      <sz val="11"/>
      <color theme="1"/>
      <name val="Calibri"/>
      <family val="2"/>
      <scheme val="minor"/>
    </font>
    <font>
      <sz val="11"/>
      <color theme="1"/>
      <name val="Calibri"/>
      <family val="2"/>
      <scheme val="minor"/>
    </font>
    <font>
      <sz val="10"/>
      <name val="Arial"/>
      <family val="2"/>
    </font>
    <font>
      <b/>
      <sz val="10"/>
      <name val="Arial Narrow"/>
      <family val="2"/>
    </font>
    <font>
      <b/>
      <sz val="10"/>
      <name val="Arial"/>
      <family val="2"/>
    </font>
    <font>
      <b/>
      <u/>
      <sz val="10"/>
      <name val="Arial"/>
      <family val="2"/>
    </font>
    <font>
      <b/>
      <sz val="16"/>
      <color indexed="9"/>
      <name val="Arial Narrow"/>
      <family val="2"/>
    </font>
    <font>
      <b/>
      <sz val="12"/>
      <name val="Arial Narrow"/>
      <family val="2"/>
    </font>
    <font>
      <b/>
      <sz val="10"/>
      <color indexed="53"/>
      <name val="Arial"/>
      <family val="2"/>
    </font>
    <font>
      <b/>
      <sz val="16"/>
      <name val="Arial Narrow"/>
      <family val="2"/>
    </font>
    <font>
      <b/>
      <sz val="10"/>
      <color indexed="9"/>
      <name val="Arial Narrow"/>
      <family val="2"/>
    </font>
    <font>
      <sz val="11"/>
      <name val="Arial"/>
      <family val="2"/>
    </font>
    <font>
      <b/>
      <sz val="11"/>
      <name val="Arial Narrow"/>
      <family val="2"/>
    </font>
    <font>
      <b/>
      <sz val="11"/>
      <name val="Arial"/>
      <family val="2"/>
    </font>
    <font>
      <sz val="10"/>
      <color indexed="10"/>
      <name val="Arial"/>
      <family val="2"/>
    </font>
    <font>
      <sz val="9"/>
      <name val="Arial"/>
      <family val="2"/>
    </font>
    <font>
      <b/>
      <sz val="9"/>
      <name val="Arial"/>
      <family val="2"/>
    </font>
    <font>
      <b/>
      <sz val="8"/>
      <name val="Arial"/>
      <family val="2"/>
    </font>
    <font>
      <b/>
      <sz val="9"/>
      <name val="Times New Roman"/>
      <family val="1"/>
    </font>
    <font>
      <b/>
      <sz val="12"/>
      <name val="Arial"/>
      <family val="2"/>
    </font>
    <font>
      <b/>
      <sz val="12"/>
      <name val="Times New Roman"/>
      <family val="1"/>
    </font>
    <font>
      <sz val="10"/>
      <name val="Arial"/>
      <family val="2"/>
    </font>
    <font>
      <sz val="10"/>
      <color theme="1"/>
      <name val="Calibri"/>
      <family val="2"/>
      <scheme val="minor"/>
    </font>
    <font>
      <sz val="10"/>
      <name val="Arial Narrow"/>
      <family val="2"/>
    </font>
    <font>
      <b/>
      <sz val="11"/>
      <color theme="1"/>
      <name val="Calibri"/>
      <family val="2"/>
      <scheme val="minor"/>
    </font>
    <font>
      <sz val="12"/>
      <color theme="1"/>
      <name val="Calibri"/>
      <family val="2"/>
      <scheme val="minor"/>
    </font>
    <font>
      <sz val="11"/>
      <color theme="0"/>
      <name val="Calibri"/>
      <family val="2"/>
      <scheme val="minor"/>
    </font>
    <font>
      <sz val="11"/>
      <color rgb="FFFF0000"/>
      <name val="Calibri"/>
      <family val="2"/>
      <scheme val="minor"/>
    </font>
    <font>
      <sz val="8"/>
      <name val="Calibri"/>
      <family val="2"/>
      <scheme val="minor"/>
    </font>
    <font>
      <sz val="10"/>
      <name val="Arial"/>
      <family val="2"/>
    </font>
    <font>
      <sz val="11"/>
      <name val="Calibri"/>
      <family val="2"/>
      <scheme val="minor"/>
    </font>
    <font>
      <b/>
      <sz val="11"/>
      <name val="Calibri"/>
      <family val="2"/>
      <scheme val="minor"/>
    </font>
    <font>
      <sz val="10"/>
      <name val="Calibri"/>
      <family val="2"/>
      <scheme val="minor"/>
    </font>
    <font>
      <b/>
      <sz val="9"/>
      <color indexed="81"/>
      <name val="Tahoma"/>
      <family val="2"/>
    </font>
    <font>
      <sz val="9"/>
      <color indexed="81"/>
      <name val="Tahoma"/>
      <family val="2"/>
    </font>
    <font>
      <b/>
      <sz val="16"/>
      <color theme="1"/>
      <name val="Calibri"/>
      <family val="2"/>
      <scheme val="minor"/>
    </font>
    <font>
      <sz val="11"/>
      <color rgb="FF006100"/>
      <name val="Calibri"/>
      <family val="2"/>
      <scheme val="minor"/>
    </font>
    <font>
      <b/>
      <sz val="14"/>
      <color theme="1"/>
      <name val="Calibri"/>
      <family val="2"/>
      <scheme val="minor"/>
    </font>
    <font>
      <b/>
      <sz val="11"/>
      <color theme="0"/>
      <name val="Calibri"/>
      <family val="2"/>
      <scheme val="minor"/>
    </font>
    <font>
      <b/>
      <sz val="12"/>
      <color theme="1"/>
      <name val="Century Gothic"/>
      <family val="2"/>
    </font>
    <font>
      <b/>
      <sz val="10"/>
      <color theme="1"/>
      <name val="Montserrat"/>
      <family val="3"/>
    </font>
    <font>
      <b/>
      <sz val="12"/>
      <color theme="1"/>
      <name val="Calibri"/>
      <family val="2"/>
      <scheme val="minor"/>
    </font>
    <font>
      <u/>
      <sz val="11"/>
      <color theme="10"/>
      <name val="Calibri"/>
      <family val="2"/>
      <scheme val="minor"/>
    </font>
    <font>
      <u/>
      <sz val="11"/>
      <color theme="11"/>
      <name val="Calibri"/>
      <family val="2"/>
      <scheme val="minor"/>
    </font>
  </fonts>
  <fills count="33">
    <fill>
      <patternFill patternType="none"/>
    </fill>
    <fill>
      <patternFill patternType="gray125"/>
    </fill>
    <fill>
      <patternFill patternType="solid">
        <fgColor indexed="8"/>
        <bgColor indexed="64"/>
      </patternFill>
    </fill>
    <fill>
      <patternFill patternType="solid">
        <fgColor indexed="46"/>
        <bgColor indexed="64"/>
      </patternFill>
    </fill>
    <fill>
      <patternFill patternType="solid">
        <fgColor indexed="50"/>
        <bgColor indexed="64"/>
      </patternFill>
    </fill>
    <fill>
      <patternFill patternType="solid">
        <fgColor indexed="44"/>
        <bgColor indexed="64"/>
      </patternFill>
    </fill>
    <fill>
      <patternFill patternType="solid">
        <fgColor theme="0" tint="-0.249977111117893"/>
        <bgColor indexed="64"/>
      </patternFill>
    </fill>
    <fill>
      <patternFill patternType="solid">
        <fgColor indexed="22"/>
        <bgColor indexed="64"/>
      </patternFill>
    </fill>
    <fill>
      <patternFill patternType="solid">
        <fgColor theme="9" tint="0.59999389629810485"/>
        <bgColor indexed="64"/>
      </patternFill>
    </fill>
    <fill>
      <patternFill patternType="solid">
        <fgColor indexed="13"/>
        <bgColor indexed="64"/>
      </patternFill>
    </fill>
    <fill>
      <patternFill patternType="solid">
        <fgColor indexed="47"/>
        <bgColor indexed="64"/>
      </patternFill>
    </fill>
    <fill>
      <patternFill patternType="solid">
        <fgColor indexed="9"/>
        <bgColor indexed="64"/>
      </patternFill>
    </fill>
    <fill>
      <patternFill patternType="darkTrellis"/>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7"/>
        <bgColor indexed="64"/>
      </patternFill>
    </fill>
    <fill>
      <patternFill patternType="solid">
        <fgColor rgb="FFFF0000"/>
        <bgColor indexed="64"/>
      </patternFill>
    </fill>
    <fill>
      <patternFill patternType="solid">
        <fgColor theme="8" tint="-0.499984740745262"/>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C6EFCE"/>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70C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6600"/>
        <bgColor indexed="64"/>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double">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top/>
      <bottom style="thin">
        <color auto="1"/>
      </bottom>
      <diagonal/>
    </border>
    <border>
      <left style="thin">
        <color indexed="55"/>
      </left>
      <right/>
      <top/>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style="thin">
        <color auto="1"/>
      </top>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diagonal/>
    </border>
    <border>
      <left style="medium">
        <color auto="1"/>
      </left>
      <right/>
      <top style="thin">
        <color auto="1"/>
      </top>
      <bottom/>
      <diagonal/>
    </border>
    <border>
      <left style="medium">
        <color auto="1"/>
      </left>
      <right/>
      <top/>
      <bottom style="thin">
        <color auto="1"/>
      </bottom>
      <diagonal/>
    </border>
  </borders>
  <cellStyleXfs count="287">
    <xf numFmtId="0" fontId="0" fillId="0" borderId="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1" fillId="0" borderId="0"/>
    <xf numFmtId="167" fontId="21" fillId="0" borderId="0" applyFont="0" applyFill="0" applyBorder="0" applyAlignment="0" applyProtection="0"/>
    <xf numFmtId="167" fontId="21" fillId="0" borderId="0" applyFont="0" applyFill="0" applyBorder="0" applyAlignment="0" applyProtection="0"/>
    <xf numFmtId="43"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0" fontId="25" fillId="0" borderId="0"/>
    <xf numFmtId="43" fontId="25" fillId="0" borderId="0" applyFont="0" applyFill="0" applyBorder="0" applyAlignment="0" applyProtection="0"/>
    <xf numFmtId="0" fontId="29" fillId="0" borderId="0"/>
    <xf numFmtId="167" fontId="29" fillId="0" borderId="0" applyFont="0" applyFill="0" applyBorder="0" applyAlignment="0" applyProtection="0"/>
    <xf numFmtId="167" fontId="29" fillId="0" borderId="0" applyFont="0" applyFill="0" applyBorder="0" applyAlignment="0" applyProtection="0"/>
    <xf numFmtId="166" fontId="29" fillId="0" borderId="0" applyFont="0" applyFill="0" applyBorder="0" applyAlignment="0" applyProtection="0"/>
    <xf numFmtId="9" fontId="1" fillId="0" borderId="0" applyFont="0" applyFill="0" applyBorder="0" applyAlignment="0" applyProtection="0"/>
    <xf numFmtId="0" fontId="36" fillId="23" borderId="0" applyNumberFormat="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592">
    <xf numFmtId="0" fontId="0" fillId="0" borderId="0" xfId="0"/>
    <xf numFmtId="168" fontId="2" fillId="0" borderId="0" xfId="2" applyNumberFormat="1"/>
    <xf numFmtId="168" fontId="3" fillId="0" borderId="1" xfId="3" applyNumberFormat="1" applyFont="1" applyBorder="1"/>
    <xf numFmtId="168" fontId="2" fillId="0" borderId="2" xfId="2" applyNumberFormat="1" applyFill="1" applyBorder="1"/>
    <xf numFmtId="168" fontId="2" fillId="0" borderId="3" xfId="2" applyNumberFormat="1" applyBorder="1"/>
    <xf numFmtId="168" fontId="2" fillId="0" borderId="0" xfId="2" applyNumberFormat="1" applyBorder="1"/>
    <xf numFmtId="169" fontId="2" fillId="0" borderId="0" xfId="2" applyNumberFormat="1"/>
    <xf numFmtId="0" fontId="2" fillId="0" borderId="0" xfId="4"/>
    <xf numFmtId="168" fontId="4" fillId="0" borderId="1" xfId="2" applyNumberFormat="1" applyFont="1" applyBorder="1"/>
    <xf numFmtId="168" fontId="2" fillId="0" borderId="0" xfId="2" applyNumberFormat="1" applyFont="1"/>
    <xf numFmtId="0" fontId="2" fillId="0" borderId="0" xfId="4" applyBorder="1"/>
    <xf numFmtId="168" fontId="2" fillId="0" borderId="4" xfId="2" applyNumberFormat="1" applyFill="1" applyBorder="1" applyAlignment="1">
      <alignment horizontal="right"/>
    </xf>
    <xf numFmtId="168" fontId="2" fillId="0" borderId="5" xfId="2" applyNumberFormat="1" applyFill="1" applyBorder="1"/>
    <xf numFmtId="0" fontId="0" fillId="0" borderId="6" xfId="0" applyBorder="1" applyAlignment="1">
      <alignment horizontal="left" indent="1"/>
    </xf>
    <xf numFmtId="168" fontId="2" fillId="0" borderId="7" xfId="2" applyNumberFormat="1" applyFill="1" applyBorder="1" applyAlignment="1">
      <alignment horizontal="right"/>
    </xf>
    <xf numFmtId="168" fontId="2" fillId="0" borderId="0" xfId="2" applyNumberFormat="1" applyFill="1" applyBorder="1"/>
    <xf numFmtId="0" fontId="0" fillId="0" borderId="8" xfId="0" applyBorder="1" applyAlignment="1">
      <alignment horizontal="left" indent="1"/>
    </xf>
    <xf numFmtId="168" fontId="2" fillId="0" borderId="7" xfId="2" applyNumberFormat="1" applyFont="1" applyFill="1" applyBorder="1" applyAlignment="1">
      <alignment horizontal="right"/>
    </xf>
    <xf numFmtId="168" fontId="2" fillId="0" borderId="9" xfId="2" applyNumberFormat="1" applyFont="1" applyBorder="1" applyAlignment="1">
      <alignment horizontal="right"/>
    </xf>
    <xf numFmtId="168" fontId="2" fillId="0" borderId="10" xfId="2" applyNumberFormat="1" applyFill="1" applyBorder="1" applyAlignment="1"/>
    <xf numFmtId="168" fontId="2" fillId="0" borderId="0" xfId="2" applyNumberFormat="1" applyAlignment="1"/>
    <xf numFmtId="168" fontId="2" fillId="0" borderId="0" xfId="2" applyNumberFormat="1" applyFill="1" applyBorder="1" applyAlignment="1">
      <alignment horizontal="center"/>
    </xf>
    <xf numFmtId="168" fontId="2" fillId="0" borderId="0" xfId="2" applyNumberFormat="1" applyBorder="1" applyAlignment="1">
      <alignment horizontal="center"/>
    </xf>
    <xf numFmtId="168" fontId="5" fillId="0" borderId="0" xfId="2" applyNumberFormat="1" applyFont="1" applyBorder="1" applyAlignment="1">
      <alignment horizontal="left"/>
    </xf>
    <xf numFmtId="169" fontId="4" fillId="0" borderId="0" xfId="2" applyNumberFormat="1" applyFont="1" applyFill="1"/>
    <xf numFmtId="168" fontId="4" fillId="0" borderId="0" xfId="2" applyNumberFormat="1" applyFont="1" applyFill="1"/>
    <xf numFmtId="168" fontId="2" fillId="0" borderId="0" xfId="2" applyNumberFormat="1" applyFont="1" applyFill="1" applyBorder="1" applyAlignment="1">
      <alignment horizontal="left"/>
    </xf>
    <xf numFmtId="168" fontId="5" fillId="0" borderId="0" xfId="2" applyNumberFormat="1" applyFont="1" applyFill="1" applyBorder="1" applyAlignment="1">
      <alignment horizontal="left"/>
    </xf>
    <xf numFmtId="0" fontId="2" fillId="0" borderId="0" xfId="4" applyFont="1" applyFill="1" applyBorder="1" applyAlignment="1">
      <alignment horizontal="left"/>
    </xf>
    <xf numFmtId="49" fontId="7" fillId="3" borderId="13" xfId="3" applyNumberFormat="1" applyFont="1" applyFill="1" applyBorder="1" applyAlignment="1">
      <alignment horizontal="center" vertical="center"/>
    </xf>
    <xf numFmtId="49" fontId="7" fillId="4" borderId="12" xfId="3" applyNumberFormat="1" applyFont="1" applyFill="1" applyBorder="1" applyAlignment="1">
      <alignment horizontal="center" vertical="center"/>
    </xf>
    <xf numFmtId="169" fontId="4" fillId="6" borderId="12" xfId="2" applyNumberFormat="1" applyFont="1" applyFill="1" applyBorder="1" applyAlignment="1">
      <alignment horizontal="center" vertical="center"/>
    </xf>
    <xf numFmtId="169" fontId="4" fillId="0" borderId="0" xfId="2" applyNumberFormat="1" applyFont="1" applyFill="1" applyBorder="1" applyAlignment="1">
      <alignment horizontal="center" vertical="center"/>
    </xf>
    <xf numFmtId="49" fontId="3" fillId="3" borderId="13" xfId="3" applyNumberFormat="1" applyFont="1" applyFill="1" applyBorder="1" applyAlignment="1">
      <alignment horizontal="center" vertical="center" wrapText="1"/>
    </xf>
    <xf numFmtId="49" fontId="3" fillId="4" borderId="12" xfId="3" applyNumberFormat="1" applyFont="1" applyFill="1" applyBorder="1" applyAlignment="1">
      <alignment horizontal="center" vertical="center" wrapText="1"/>
    </xf>
    <xf numFmtId="169" fontId="4" fillId="0" borderId="0" xfId="2" applyNumberFormat="1" applyFont="1" applyFill="1" applyBorder="1" applyAlignment="1">
      <alignment horizontal="center" vertical="center" wrapText="1"/>
    </xf>
    <xf numFmtId="168" fontId="2" fillId="0" borderId="13" xfId="2" applyNumberFormat="1" applyBorder="1"/>
    <xf numFmtId="168" fontId="2" fillId="0" borderId="12" xfId="2" applyNumberFormat="1" applyBorder="1"/>
    <xf numFmtId="168" fontId="9" fillId="7" borderId="12" xfId="3" applyNumberFormat="1" applyFont="1" applyFill="1" applyBorder="1" applyAlignment="1">
      <alignment horizontal="center" vertical="center"/>
    </xf>
    <xf numFmtId="49" fontId="3" fillId="3" borderId="16" xfId="3" applyNumberFormat="1" applyFont="1" applyFill="1" applyBorder="1" applyAlignment="1">
      <alignment horizontal="center" vertical="center" wrapText="1"/>
    </xf>
    <xf numFmtId="49" fontId="3" fillId="4" borderId="17" xfId="3" applyNumberFormat="1" applyFont="1" applyFill="1" applyBorder="1" applyAlignment="1">
      <alignment horizontal="center" vertical="center" wrapText="1"/>
    </xf>
    <xf numFmtId="168" fontId="4" fillId="5" borderId="12" xfId="2" applyNumberFormat="1" applyFont="1" applyFill="1" applyBorder="1"/>
    <xf numFmtId="168" fontId="4" fillId="8" borderId="12" xfId="2" applyNumberFormat="1" applyFont="1" applyFill="1" applyBorder="1" applyAlignment="1">
      <alignment horizontal="center"/>
    </xf>
    <xf numFmtId="168" fontId="4" fillId="8" borderId="13" xfId="2" applyNumberFormat="1" applyFont="1" applyFill="1" applyBorder="1" applyAlignment="1">
      <alignment horizontal="center"/>
    </xf>
    <xf numFmtId="168" fontId="10" fillId="2" borderId="12" xfId="2" applyNumberFormat="1" applyFont="1" applyFill="1" applyBorder="1" applyAlignment="1">
      <alignment wrapText="1"/>
    </xf>
    <xf numFmtId="168" fontId="4" fillId="2" borderId="13" xfId="2" applyNumberFormat="1" applyFont="1" applyFill="1" applyBorder="1" applyAlignment="1">
      <alignment horizontal="center"/>
    </xf>
    <xf numFmtId="168" fontId="4" fillId="2" borderId="12" xfId="2" applyNumberFormat="1" applyFont="1" applyFill="1" applyBorder="1" applyAlignment="1">
      <alignment horizontal="center"/>
    </xf>
    <xf numFmtId="169" fontId="4" fillId="2" borderId="12" xfId="2" applyNumberFormat="1" applyFont="1" applyFill="1" applyBorder="1" applyAlignment="1">
      <alignment horizontal="center"/>
    </xf>
    <xf numFmtId="1" fontId="2" fillId="0" borderId="0" xfId="2" applyNumberFormat="1" applyBorder="1"/>
    <xf numFmtId="168" fontId="3" fillId="5" borderId="12" xfId="2" applyNumberFormat="1" applyFont="1" applyFill="1" applyBorder="1" applyAlignment="1">
      <alignment horizontal="left" vertical="center" wrapText="1"/>
    </xf>
    <xf numFmtId="168" fontId="3" fillId="9" borderId="12" xfId="2" applyNumberFormat="1" applyFont="1" applyFill="1" applyBorder="1" applyAlignment="1">
      <alignment horizontal="left" wrapText="1"/>
    </xf>
    <xf numFmtId="168" fontId="3" fillId="0" borderId="12" xfId="2" applyNumberFormat="1" applyFont="1" applyBorder="1" applyAlignment="1">
      <alignment wrapText="1"/>
    </xf>
    <xf numFmtId="168" fontId="4" fillId="0" borderId="13" xfId="2" applyNumberFormat="1" applyFont="1" applyBorder="1"/>
    <xf numFmtId="168" fontId="4" fillId="0" borderId="12" xfId="2" applyNumberFormat="1" applyFont="1" applyBorder="1"/>
    <xf numFmtId="168" fontId="4" fillId="2" borderId="13" xfId="2" applyNumberFormat="1" applyFont="1" applyFill="1" applyBorder="1"/>
    <xf numFmtId="168" fontId="4" fillId="2" borderId="12" xfId="2" applyNumberFormat="1" applyFont="1" applyFill="1" applyBorder="1"/>
    <xf numFmtId="168" fontId="3" fillId="9" borderId="12" xfId="2" applyNumberFormat="1" applyFont="1" applyFill="1" applyBorder="1" applyAlignment="1">
      <alignment wrapText="1"/>
    </xf>
    <xf numFmtId="1" fontId="2" fillId="0" borderId="0" xfId="4" applyNumberFormat="1" applyBorder="1"/>
    <xf numFmtId="0" fontId="4" fillId="2" borderId="13" xfId="4" applyFont="1" applyFill="1" applyBorder="1"/>
    <xf numFmtId="0" fontId="4" fillId="2" borderId="12" xfId="4" applyFont="1" applyFill="1" applyBorder="1"/>
    <xf numFmtId="0" fontId="2" fillId="0" borderId="13" xfId="4" applyBorder="1"/>
    <xf numFmtId="0" fontId="2" fillId="0" borderId="12" xfId="4" applyBorder="1"/>
    <xf numFmtId="0" fontId="3" fillId="5" borderId="12" xfId="2" applyNumberFormat="1" applyFont="1" applyFill="1" applyBorder="1" applyAlignment="1">
      <alignment horizontal="left" wrapText="1"/>
    </xf>
    <xf numFmtId="168" fontId="3" fillId="5" borderId="12" xfId="2" applyNumberFormat="1" applyFont="1" applyFill="1" applyBorder="1" applyAlignment="1">
      <alignment horizontal="left" wrapText="1"/>
    </xf>
    <xf numFmtId="0" fontId="3" fillId="9" borderId="12" xfId="2" applyNumberFormat="1" applyFont="1" applyFill="1" applyBorder="1" applyAlignment="1">
      <alignment horizontal="left" wrapText="1"/>
    </xf>
    <xf numFmtId="168" fontId="2" fillId="0" borderId="0" xfId="2" applyNumberFormat="1" applyFill="1"/>
    <xf numFmtId="0" fontId="2" fillId="0" borderId="0" xfId="4" applyFont="1"/>
    <xf numFmtId="168" fontId="14" fillId="0" borderId="0" xfId="2" applyNumberFormat="1" applyFont="1"/>
    <xf numFmtId="169" fontId="14" fillId="0" borderId="0" xfId="2" applyNumberFormat="1" applyFont="1"/>
    <xf numFmtId="168" fontId="14" fillId="0" borderId="0" xfId="2" applyNumberFormat="1" applyFont="1" applyFill="1"/>
    <xf numFmtId="0" fontId="4" fillId="0" borderId="4" xfId="0" applyFont="1" applyBorder="1"/>
    <xf numFmtId="0" fontId="0" fillId="0" borderId="5" xfId="0" applyBorder="1"/>
    <xf numFmtId="0" fontId="0" fillId="0" borderId="6" xfId="0" applyBorder="1"/>
    <xf numFmtId="0" fontId="2" fillId="0" borderId="7" xfId="0" applyFont="1" applyBorder="1" applyAlignment="1">
      <alignment horizontal="center"/>
    </xf>
    <xf numFmtId="0" fontId="0" fillId="0" borderId="0" xfId="0" applyBorder="1" applyAlignment="1">
      <alignment horizontal="right"/>
    </xf>
    <xf numFmtId="0" fontId="0" fillId="0" borderId="0" xfId="0" applyBorder="1" applyAlignment="1">
      <alignment horizontal="left" indent="1"/>
    </xf>
    <xf numFmtId="0" fontId="0" fillId="0" borderId="0" xfId="0" applyBorder="1" applyAlignment="1"/>
    <xf numFmtId="0" fontId="2" fillId="0" borderId="0" xfId="0" applyFont="1" applyBorder="1" applyAlignment="1">
      <alignment horizontal="center"/>
    </xf>
    <xf numFmtId="0" fontId="2" fillId="0" borderId="8" xfId="0" applyFont="1" applyBorder="1" applyAlignment="1">
      <alignment horizontal="center"/>
    </xf>
    <xf numFmtId="170" fontId="0" fillId="0" borderId="0" xfId="0" applyNumberFormat="1" applyBorder="1" applyAlignment="1">
      <alignment horizontal="left" indent="1"/>
    </xf>
    <xf numFmtId="0" fontId="2" fillId="0" borderId="9" xfId="0" applyFont="1" applyBorder="1" applyAlignment="1">
      <alignment horizontal="center"/>
    </xf>
    <xf numFmtId="0" fontId="0" fillId="0" borderId="10" xfId="0" applyBorder="1" applyAlignment="1"/>
    <xf numFmtId="0" fontId="2" fillId="0" borderId="10" xfId="0" applyFont="1" applyBorder="1" applyAlignment="1">
      <alignment horizontal="center"/>
    </xf>
    <xf numFmtId="0" fontId="2" fillId="0" borderId="11" xfId="0" applyFont="1" applyBorder="1" applyAlignment="1">
      <alignment horizontal="center"/>
    </xf>
    <xf numFmtId="0" fontId="5" fillId="0" borderId="4" xfId="0" applyFont="1" applyBorder="1" applyAlignment="1"/>
    <xf numFmtId="0" fontId="5" fillId="0" borderId="5" xfId="0" applyFont="1" applyBorder="1" applyAlignment="1">
      <alignment horizontal="left"/>
    </xf>
    <xf numFmtId="0" fontId="5" fillId="0" borderId="6" xfId="0" applyFont="1" applyBorder="1" applyAlignment="1">
      <alignment horizontal="left"/>
    </xf>
    <xf numFmtId="168" fontId="2" fillId="0" borderId="0" xfId="1" applyNumberFormat="1" applyFont="1" applyBorder="1"/>
    <xf numFmtId="172" fontId="2" fillId="0" borderId="7" xfId="0" applyNumberFormat="1" applyFont="1" applyBorder="1" applyAlignment="1">
      <alignment horizontal="left"/>
    </xf>
    <xf numFmtId="0" fontId="5" fillId="0" borderId="0" xfId="0" applyFont="1" applyBorder="1" applyAlignment="1">
      <alignment horizontal="left"/>
    </xf>
    <xf numFmtId="0" fontId="5" fillId="0" borderId="8" xfId="0" applyFont="1" applyBorder="1" applyAlignment="1">
      <alignment horizontal="left"/>
    </xf>
    <xf numFmtId="0" fontId="2" fillId="0" borderId="7" xfId="0" applyFont="1" applyBorder="1" applyAlignment="1">
      <alignment horizontal="left"/>
    </xf>
    <xf numFmtId="0" fontId="15" fillId="0" borderId="0" xfId="0" applyFont="1" applyBorder="1" applyAlignment="1"/>
    <xf numFmtId="0" fontId="15" fillId="0" borderId="0" xfId="0" applyFont="1" applyBorder="1"/>
    <xf numFmtId="0" fontId="15" fillId="0" borderId="8" xfId="0" applyFont="1" applyBorder="1"/>
    <xf numFmtId="168" fontId="4" fillId="0" borderId="0" xfId="1" applyNumberFormat="1" applyFont="1" applyBorder="1"/>
    <xf numFmtId="0" fontId="4" fillId="0" borderId="0" xfId="0" applyFont="1"/>
    <xf numFmtId="0" fontId="15" fillId="0" borderId="9" xfId="0" applyFont="1" applyBorder="1" applyAlignment="1"/>
    <xf numFmtId="0" fontId="0" fillId="0" borderId="10" xfId="0" applyBorder="1"/>
    <xf numFmtId="0" fontId="0" fillId="0" borderId="11" xfId="0" applyBorder="1"/>
    <xf numFmtId="0" fontId="16" fillId="0" borderId="1" xfId="0" applyFont="1" applyFill="1" applyBorder="1"/>
    <xf numFmtId="0" fontId="16" fillId="7" borderId="19" xfId="0" applyFont="1" applyFill="1" applyBorder="1" applyAlignment="1">
      <alignment horizontal="center" wrapText="1"/>
    </xf>
    <xf numFmtId="0" fontId="16" fillId="7" borderId="2"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5" borderId="22" xfId="0" applyFont="1" applyFill="1" applyBorder="1"/>
    <xf numFmtId="0" fontId="16" fillId="0" borderId="17" xfId="0" applyFont="1" applyFill="1" applyBorder="1" applyAlignment="1">
      <alignment horizontal="left"/>
    </xf>
    <xf numFmtId="0" fontId="17" fillId="0" borderId="23" xfId="0" applyFont="1" applyFill="1" applyBorder="1" applyAlignment="1">
      <alignment horizontal="center" wrapText="1"/>
    </xf>
    <xf numFmtId="0" fontId="16" fillId="0" borderId="0" xfId="0" applyFont="1" applyFill="1" applyBorder="1" applyAlignment="1">
      <alignment horizontal="center"/>
    </xf>
    <xf numFmtId="0" fontId="16" fillId="0" borderId="24" xfId="0" applyFont="1" applyFill="1" applyBorder="1" applyAlignment="1">
      <alignment horizontal="center"/>
    </xf>
    <xf numFmtId="0" fontId="16" fillId="0" borderId="25" xfId="0" applyFont="1" applyFill="1" applyBorder="1" applyAlignment="1">
      <alignment horizontal="center"/>
    </xf>
    <xf numFmtId="0" fontId="15" fillId="0" borderId="26" xfId="0" applyFont="1" applyFill="1" applyBorder="1"/>
    <xf numFmtId="0" fontId="16" fillId="0" borderId="12" xfId="0" applyFont="1" applyFill="1" applyBorder="1" applyAlignment="1">
      <alignment horizontal="center"/>
    </xf>
    <xf numFmtId="0" fontId="16" fillId="0" borderId="27" xfId="0" applyFont="1" applyFill="1" applyBorder="1" applyAlignment="1">
      <alignment horizontal="center"/>
    </xf>
    <xf numFmtId="0" fontId="5" fillId="0" borderId="5" xfId="0" applyFont="1" applyBorder="1" applyAlignment="1"/>
    <xf numFmtId="0" fontId="5" fillId="0" borderId="6" xfId="0" applyFont="1" applyBorder="1" applyAlignment="1"/>
    <xf numFmtId="0" fontId="19" fillId="0" borderId="4" xfId="5" applyFont="1" applyBorder="1"/>
    <xf numFmtId="0" fontId="2" fillId="0" borderId="6" xfId="5" applyBorder="1" applyAlignment="1">
      <alignment horizontal="center"/>
    </xf>
    <xf numFmtId="0" fontId="2" fillId="0" borderId="0" xfId="5"/>
    <xf numFmtId="0" fontId="20" fillId="0" borderId="7" xfId="5" applyFont="1" applyBorder="1"/>
    <xf numFmtId="0" fontId="2" fillId="0" borderId="8" xfId="5" applyBorder="1" applyAlignment="1">
      <alignment horizontal="center"/>
    </xf>
    <xf numFmtId="0" fontId="4" fillId="0" borderId="17" xfId="5" applyFont="1" applyBorder="1"/>
    <xf numFmtId="0" fontId="2" fillId="0" borderId="17" xfId="5" applyFont="1" applyBorder="1" applyAlignment="1">
      <alignment horizontal="left"/>
    </xf>
    <xf numFmtId="0" fontId="4" fillId="0" borderId="12" xfId="5" applyFont="1" applyBorder="1"/>
    <xf numFmtId="0" fontId="2" fillId="0" borderId="12" xfId="4" applyFont="1" applyFill="1" applyBorder="1" applyAlignment="1">
      <alignment horizontal="left" wrapText="1"/>
    </xf>
    <xf numFmtId="0" fontId="2" fillId="0" borderId="0" xfId="4" applyFont="1" applyFill="1" applyBorder="1" applyAlignment="1">
      <alignment wrapText="1"/>
    </xf>
    <xf numFmtId="0" fontId="4" fillId="0" borderId="12" xfId="4" applyFont="1" applyFill="1" applyBorder="1" applyAlignment="1"/>
    <xf numFmtId="0" fontId="2" fillId="0" borderId="12" xfId="5" applyFont="1" applyBorder="1" applyAlignment="1">
      <alignment horizontal="left"/>
    </xf>
    <xf numFmtId="0" fontId="4" fillId="0" borderId="12" xfId="4" applyFont="1" applyFill="1" applyBorder="1" applyAlignment="1">
      <alignment wrapText="1"/>
    </xf>
    <xf numFmtId="0" fontId="2" fillId="0" borderId="12" xfId="5" applyFont="1" applyBorder="1" applyAlignment="1">
      <alignment horizontal="left" wrapText="1"/>
    </xf>
    <xf numFmtId="170" fontId="2" fillId="0" borderId="12" xfId="5" applyNumberFormat="1" applyFont="1" applyBorder="1" applyAlignment="1">
      <alignment horizontal="left"/>
    </xf>
    <xf numFmtId="0" fontId="4" fillId="0" borderId="12" xfId="5" applyFont="1" applyFill="1" applyBorder="1"/>
    <xf numFmtId="0" fontId="4" fillId="0" borderId="12" xfId="5" applyFont="1" applyBorder="1" applyAlignment="1">
      <alignment wrapText="1"/>
    </xf>
    <xf numFmtId="173" fontId="2" fillId="0" borderId="12" xfId="6" applyNumberFormat="1" applyFont="1" applyFill="1" applyBorder="1" applyAlignment="1">
      <alignment horizontal="center"/>
    </xf>
    <xf numFmtId="173" fontId="2" fillId="12" borderId="12" xfId="6" applyNumberFormat="1" applyFont="1" applyFill="1" applyBorder="1" applyAlignment="1">
      <alignment horizontal="center"/>
    </xf>
    <xf numFmtId="0" fontId="2" fillId="0" borderId="31" xfId="5" applyFont="1" applyBorder="1"/>
    <xf numFmtId="0" fontId="2" fillId="0" borderId="32" xfId="5" applyFont="1" applyBorder="1" applyAlignment="1">
      <alignment horizontal="center"/>
    </xf>
    <xf numFmtId="0" fontId="4" fillId="0" borderId="33" xfId="5" applyFont="1" applyBorder="1"/>
    <xf numFmtId="0" fontId="2" fillId="0" borderId="34" xfId="5" applyFont="1" applyBorder="1" applyAlignment="1">
      <alignment horizontal="center"/>
    </xf>
    <xf numFmtId="0" fontId="4" fillId="0" borderId="35" xfId="5" applyFont="1" applyBorder="1"/>
    <xf numFmtId="0" fontId="2" fillId="0" borderId="16" xfId="5" applyFont="1" applyBorder="1" applyAlignment="1">
      <alignment horizontal="center"/>
    </xf>
    <xf numFmtId="0" fontId="4" fillId="0" borderId="36" xfId="5" applyFont="1" applyBorder="1"/>
    <xf numFmtId="0" fontId="2" fillId="0" borderId="35" xfId="5" applyFont="1" applyBorder="1"/>
    <xf numFmtId="0" fontId="2" fillId="0" borderId="0" xfId="5" applyFont="1"/>
    <xf numFmtId="0" fontId="2" fillId="0" borderId="0" xfId="5" applyFont="1" applyAlignment="1">
      <alignment horizontal="center"/>
    </xf>
    <xf numFmtId="0" fontId="2" fillId="0" borderId="0" xfId="5" applyFill="1" applyBorder="1"/>
    <xf numFmtId="0" fontId="2" fillId="0" borderId="0" xfId="5" applyFill="1" applyBorder="1" applyAlignment="1">
      <alignment horizontal="center"/>
    </xf>
    <xf numFmtId="0" fontId="2" fillId="0" borderId="0" xfId="5" applyAlignment="1">
      <alignment horizontal="center"/>
    </xf>
    <xf numFmtId="0" fontId="0" fillId="0" borderId="23" xfId="0" applyBorder="1" applyAlignment="1">
      <alignment horizontal="left" indent="1"/>
    </xf>
    <xf numFmtId="170" fontId="0" fillId="0" borderId="23" xfId="0" applyNumberFormat="1" applyBorder="1" applyAlignment="1">
      <alignment horizontal="left" indent="1"/>
    </xf>
    <xf numFmtId="0" fontId="2" fillId="0" borderId="7" xfId="0" applyFont="1" applyBorder="1" applyAlignment="1"/>
    <xf numFmtId="0" fontId="4" fillId="5" borderId="7" xfId="0" applyFont="1" applyFill="1" applyBorder="1"/>
    <xf numFmtId="0" fontId="15" fillId="0" borderId="4" xfId="0" applyFont="1" applyFill="1" applyBorder="1"/>
    <xf numFmtId="0" fontId="2" fillId="0" borderId="40" xfId="0" applyFont="1" applyFill="1" applyBorder="1"/>
    <xf numFmtId="0" fontId="4" fillId="5" borderId="22" xfId="0" applyFont="1" applyFill="1" applyBorder="1" applyAlignment="1">
      <alignment wrapText="1"/>
    </xf>
    <xf numFmtId="0" fontId="4" fillId="5" borderId="26" xfId="0" applyFont="1" applyFill="1" applyBorder="1" applyAlignment="1">
      <alignment horizontal="left" wrapText="1"/>
    </xf>
    <xf numFmtId="0" fontId="4" fillId="0" borderId="41" xfId="0" applyFont="1" applyFill="1" applyBorder="1" applyAlignment="1">
      <alignment horizontal="center"/>
    </xf>
    <xf numFmtId="4" fontId="4" fillId="5" borderId="12" xfId="0" applyNumberFormat="1" applyFont="1" applyFill="1" applyBorder="1"/>
    <xf numFmtId="167" fontId="4" fillId="5" borderId="12" xfId="0" applyNumberFormat="1" applyFont="1" applyFill="1" applyBorder="1"/>
    <xf numFmtId="4" fontId="2" fillId="11" borderId="12" xfId="0" applyNumberFormat="1" applyFont="1" applyFill="1" applyBorder="1"/>
    <xf numFmtId="0" fontId="4" fillId="13" borderId="42" xfId="0" applyFont="1" applyFill="1" applyBorder="1" applyAlignment="1">
      <alignment horizontal="center"/>
    </xf>
    <xf numFmtId="4" fontId="2" fillId="11" borderId="29" xfId="0" applyNumberFormat="1" applyFont="1" applyFill="1" applyBorder="1"/>
    <xf numFmtId="4" fontId="4" fillId="6" borderId="37" xfId="0" applyNumberFormat="1" applyFont="1" applyFill="1" applyBorder="1"/>
    <xf numFmtId="167" fontId="2" fillId="11" borderId="12" xfId="0" applyNumberFormat="1" applyFont="1" applyFill="1" applyBorder="1"/>
    <xf numFmtId="0" fontId="2" fillId="11" borderId="26" xfId="0" applyFont="1" applyFill="1" applyBorder="1" applyAlignment="1">
      <alignment horizontal="left" vertical="top" wrapText="1"/>
    </xf>
    <xf numFmtId="0" fontId="4" fillId="11" borderId="26" xfId="0" applyFont="1" applyFill="1" applyBorder="1" applyAlignment="1">
      <alignment vertical="top" wrapText="1"/>
    </xf>
    <xf numFmtId="0" fontId="4" fillId="5" borderId="26" xfId="0" applyFont="1" applyFill="1" applyBorder="1" applyAlignment="1">
      <alignment vertical="top" wrapText="1"/>
    </xf>
    <xf numFmtId="0" fontId="4" fillId="5" borderId="26" xfId="0" applyFont="1" applyFill="1" applyBorder="1" applyAlignment="1">
      <alignment horizontal="left" vertical="top" wrapText="1"/>
    </xf>
    <xf numFmtId="0" fontId="4" fillId="11" borderId="28" xfId="0" applyFont="1" applyFill="1" applyBorder="1" applyAlignment="1">
      <alignment vertical="top" wrapText="1"/>
    </xf>
    <xf numFmtId="0" fontId="4" fillId="6" borderId="38" xfId="0" applyFont="1" applyFill="1" applyBorder="1" applyAlignment="1">
      <alignment wrapText="1"/>
    </xf>
    <xf numFmtId="0" fontId="2" fillId="11" borderId="26" xfId="0" applyFont="1" applyFill="1" applyBorder="1" applyAlignment="1">
      <alignment horizontal="left" wrapText="1"/>
    </xf>
    <xf numFmtId="0" fontId="0" fillId="0" borderId="15" xfId="0" applyBorder="1" applyAlignment="1">
      <alignment horizontal="left" indent="1"/>
    </xf>
    <xf numFmtId="170" fontId="0" fillId="0" borderId="15" xfId="0" applyNumberFormat="1" applyBorder="1" applyAlignment="1">
      <alignment horizontal="left" indent="1"/>
    </xf>
    <xf numFmtId="167" fontId="4" fillId="5" borderId="17" xfId="0" applyNumberFormat="1" applyFont="1" applyFill="1" applyBorder="1"/>
    <xf numFmtId="167" fontId="2" fillId="9" borderId="12" xfId="0" applyNumberFormat="1" applyFont="1" applyFill="1" applyBorder="1"/>
    <xf numFmtId="167" fontId="2" fillId="11" borderId="10" xfId="0" applyNumberFormat="1" applyFont="1" applyFill="1" applyBorder="1"/>
    <xf numFmtId="167" fontId="4" fillId="7" borderId="29" xfId="0" applyNumberFormat="1" applyFont="1" applyFill="1" applyBorder="1" applyAlignment="1"/>
    <xf numFmtId="167" fontId="4" fillId="5" borderId="25" xfId="0" applyNumberFormat="1" applyFont="1" applyFill="1" applyBorder="1"/>
    <xf numFmtId="167" fontId="2" fillId="11" borderId="27" xfId="0" applyNumberFormat="1" applyFont="1" applyFill="1" applyBorder="1"/>
    <xf numFmtId="167" fontId="4" fillId="5" borderId="27" xfId="0" applyNumberFormat="1" applyFont="1" applyFill="1" applyBorder="1"/>
    <xf numFmtId="167" fontId="4" fillId="11" borderId="27" xfId="0" applyNumberFormat="1" applyFont="1" applyFill="1" applyBorder="1"/>
    <xf numFmtId="167" fontId="2" fillId="11" borderId="11" xfId="0" applyNumberFormat="1" applyFont="1" applyFill="1" applyBorder="1"/>
    <xf numFmtId="167" fontId="4" fillId="7" borderId="43" xfId="0" applyNumberFormat="1" applyFont="1" applyFill="1" applyBorder="1" applyAlignment="1"/>
    <xf numFmtId="168" fontId="3" fillId="10" borderId="12" xfId="1" applyNumberFormat="1" applyFont="1" applyFill="1" applyBorder="1" applyAlignment="1">
      <alignment horizontal="center"/>
    </xf>
    <xf numFmtId="0" fontId="2" fillId="0" borderId="11" xfId="2" applyNumberFormat="1" applyFont="1" applyBorder="1" applyAlignment="1">
      <alignment horizontal="center"/>
    </xf>
    <xf numFmtId="168" fontId="2" fillId="0" borderId="0" xfId="2" applyNumberFormat="1" applyAlignment="1">
      <alignment vertical="top"/>
    </xf>
    <xf numFmtId="168" fontId="2" fillId="0" borderId="0" xfId="2" applyNumberFormat="1" applyFont="1" applyAlignment="1">
      <alignment vertical="top"/>
    </xf>
    <xf numFmtId="0" fontId="2" fillId="0" borderId="0" xfId="4" applyAlignment="1">
      <alignment vertical="top"/>
    </xf>
    <xf numFmtId="169" fontId="4" fillId="6" borderId="12" xfId="2" applyNumberFormat="1" applyFont="1" applyFill="1" applyBorder="1" applyAlignment="1">
      <alignment horizontal="center" vertical="top"/>
    </xf>
    <xf numFmtId="168" fontId="3" fillId="10" borderId="12" xfId="1" applyNumberFormat="1" applyFont="1" applyFill="1" applyBorder="1" applyAlignment="1">
      <alignment horizontal="center" vertical="top"/>
    </xf>
    <xf numFmtId="168" fontId="4" fillId="2" borderId="12" xfId="2" applyNumberFormat="1" applyFont="1" applyFill="1" applyBorder="1" applyAlignment="1">
      <alignment horizontal="center" vertical="top"/>
    </xf>
    <xf numFmtId="167" fontId="4" fillId="5" borderId="13" xfId="2" applyNumberFormat="1" applyFont="1" applyFill="1" applyBorder="1"/>
    <xf numFmtId="167" fontId="4" fillId="9" borderId="13" xfId="2" applyNumberFormat="1" applyFont="1" applyFill="1" applyBorder="1"/>
    <xf numFmtId="167" fontId="4" fillId="5" borderId="12" xfId="2" applyNumberFormat="1" applyFont="1" applyFill="1" applyBorder="1" applyAlignment="1">
      <alignment vertical="top"/>
    </xf>
    <xf numFmtId="167" fontId="4" fillId="9" borderId="12" xfId="2" applyNumberFormat="1" applyFont="1" applyFill="1" applyBorder="1" applyAlignment="1">
      <alignment vertical="top"/>
    </xf>
    <xf numFmtId="168" fontId="23" fillId="14" borderId="12" xfId="2" applyNumberFormat="1" applyFont="1" applyFill="1" applyBorder="1" applyAlignment="1">
      <alignment horizontal="left" vertical="center" wrapText="1"/>
    </xf>
    <xf numFmtId="167" fontId="2" fillId="14" borderId="12" xfId="2" applyNumberFormat="1" applyFont="1" applyFill="1" applyBorder="1"/>
    <xf numFmtId="167" fontId="2" fillId="14" borderId="12" xfId="2" applyNumberFormat="1" applyFont="1" applyFill="1" applyBorder="1" applyAlignment="1">
      <alignment vertical="top"/>
    </xf>
    <xf numFmtId="1" fontId="2" fillId="0" borderId="0" xfId="2" applyNumberFormat="1" applyFont="1" applyBorder="1"/>
    <xf numFmtId="168" fontId="2" fillId="0" borderId="0" xfId="2" applyNumberFormat="1" applyFont="1" applyBorder="1"/>
    <xf numFmtId="168" fontId="2" fillId="0" borderId="13" xfId="2" applyNumberFormat="1" applyFont="1" applyBorder="1"/>
    <xf numFmtId="168" fontId="2" fillId="0" borderId="12" xfId="2" applyNumberFormat="1" applyFont="1" applyBorder="1"/>
    <xf numFmtId="1" fontId="2" fillId="0" borderId="0" xfId="4" applyNumberFormat="1" applyFont="1" applyBorder="1"/>
    <xf numFmtId="0" fontId="23" fillId="14" borderId="12" xfId="2" applyNumberFormat="1" applyFont="1" applyFill="1" applyBorder="1" applyAlignment="1">
      <alignment horizontal="left" wrapText="1"/>
    </xf>
    <xf numFmtId="0" fontId="2" fillId="0" borderId="0" xfId="4" applyFont="1" applyBorder="1"/>
    <xf numFmtId="0" fontId="2" fillId="0" borderId="13" xfId="4" applyFont="1" applyBorder="1"/>
    <xf numFmtId="0" fontId="2" fillId="0" borderId="12" xfId="4" applyFont="1" applyBorder="1"/>
    <xf numFmtId="168" fontId="23" fillId="14" borderId="12" xfId="2" applyNumberFormat="1" applyFont="1" applyFill="1" applyBorder="1" applyAlignment="1">
      <alignment horizontal="left" wrapText="1"/>
    </xf>
    <xf numFmtId="167" fontId="4" fillId="0" borderId="12" xfId="2" applyNumberFormat="1" applyFont="1" applyBorder="1"/>
    <xf numFmtId="167" fontId="4" fillId="2" borderId="12" xfId="2" applyNumberFormat="1" applyFont="1" applyFill="1" applyBorder="1"/>
    <xf numFmtId="167" fontId="4" fillId="0" borderId="12" xfId="2" applyNumberFormat="1" applyFont="1" applyFill="1" applyBorder="1"/>
    <xf numFmtId="167" fontId="4" fillId="5" borderId="12" xfId="2" applyNumberFormat="1" applyFont="1" applyFill="1" applyBorder="1"/>
    <xf numFmtId="0" fontId="0" fillId="0" borderId="14" xfId="0" applyBorder="1"/>
    <xf numFmtId="0" fontId="0" fillId="0" borderId="15" xfId="0" applyBorder="1"/>
    <xf numFmtId="0" fontId="0" fillId="0" borderId="13" xfId="0" applyBorder="1"/>
    <xf numFmtId="0" fontId="11" fillId="0" borderId="0" xfId="4" applyFont="1" applyBorder="1" applyAlignment="1">
      <alignment horizontal="center" vertical="center"/>
    </xf>
    <xf numFmtId="167" fontId="13" fillId="10" borderId="18" xfId="2" applyNumberFormat="1" applyFont="1" applyFill="1" applyBorder="1" applyAlignment="1">
      <alignment horizontal="center" vertical="center"/>
    </xf>
    <xf numFmtId="0" fontId="11" fillId="0" borderId="13" xfId="4" applyFont="1" applyBorder="1" applyAlignment="1">
      <alignment horizontal="center" vertical="center"/>
    </xf>
    <xf numFmtId="0" fontId="11" fillId="0" borderId="12" xfId="4" applyFont="1" applyBorder="1" applyAlignment="1">
      <alignment horizontal="center" vertical="center"/>
    </xf>
    <xf numFmtId="0" fontId="12" fillId="10" borderId="12" xfId="2" applyNumberFormat="1" applyFont="1" applyFill="1" applyBorder="1" applyAlignment="1">
      <alignment horizontal="left" vertical="center" wrapText="1"/>
    </xf>
    <xf numFmtId="0" fontId="2" fillId="0" borderId="0" xfId="5" applyFill="1"/>
    <xf numFmtId="168" fontId="4" fillId="6" borderId="15" xfId="2" applyNumberFormat="1" applyFont="1" applyFill="1" applyBorder="1" applyAlignment="1">
      <alignment horizontal="center" vertical="center"/>
    </xf>
    <xf numFmtId="171" fontId="0" fillId="0" borderId="0" xfId="0" applyNumberFormat="1"/>
    <xf numFmtId="174" fontId="0" fillId="0" borderId="0" xfId="0" applyNumberFormat="1"/>
    <xf numFmtId="173" fontId="0" fillId="0" borderId="0" xfId="12" applyNumberFormat="1" applyFont="1"/>
    <xf numFmtId="0" fontId="0" fillId="15" borderId="0" xfId="0" applyFill="1"/>
    <xf numFmtId="0" fontId="0" fillId="16" borderId="0" xfId="0" applyFill="1"/>
    <xf numFmtId="10" fontId="0" fillId="0" borderId="0" xfId="0" applyNumberFormat="1"/>
    <xf numFmtId="0" fontId="24" fillId="6" borderId="0" xfId="0" applyFont="1" applyFill="1"/>
    <xf numFmtId="0" fontId="0" fillId="6" borderId="0" xfId="0" applyFill="1"/>
    <xf numFmtId="171" fontId="24" fillId="6" borderId="0" xfId="0" applyNumberFormat="1" applyFont="1" applyFill="1"/>
    <xf numFmtId="4" fontId="0" fillId="0" borderId="0" xfId="0" applyNumberFormat="1"/>
    <xf numFmtId="173" fontId="0" fillId="0" borderId="0" xfId="0" applyNumberFormat="1" applyFill="1"/>
    <xf numFmtId="0" fontId="0" fillId="18" borderId="0" xfId="0" applyFill="1"/>
    <xf numFmtId="167" fontId="4" fillId="0" borderId="0" xfId="0" applyNumberFormat="1" applyFont="1"/>
    <xf numFmtId="0" fontId="0" fillId="0" borderId="0" xfId="0" applyFill="1"/>
    <xf numFmtId="0" fontId="26" fillId="0" borderId="0" xfId="0" applyFont="1" applyFill="1"/>
    <xf numFmtId="167" fontId="26" fillId="0" borderId="0" xfId="1" applyFont="1" applyFill="1"/>
    <xf numFmtId="167" fontId="26" fillId="0" borderId="0" xfId="0" applyNumberFormat="1" applyFont="1" applyFill="1"/>
    <xf numFmtId="173" fontId="24" fillId="6" borderId="0" xfId="0" applyNumberFormat="1" applyFont="1" applyFill="1"/>
    <xf numFmtId="167" fontId="0" fillId="0" borderId="0" xfId="0" applyNumberFormat="1"/>
    <xf numFmtId="43" fontId="0" fillId="0" borderId="0" xfId="0" applyNumberFormat="1"/>
    <xf numFmtId="173" fontId="24" fillId="0" borderId="0" xfId="0" applyNumberFormat="1" applyFont="1" applyFill="1"/>
    <xf numFmtId="0" fontId="24" fillId="0" borderId="0" xfId="0" applyFont="1" applyFill="1"/>
    <xf numFmtId="0" fontId="26" fillId="20" borderId="0" xfId="0" applyFont="1" applyFill="1"/>
    <xf numFmtId="4" fontId="3" fillId="10" borderId="12" xfId="1" applyNumberFormat="1" applyFont="1" applyFill="1" applyBorder="1" applyAlignment="1">
      <alignment horizontal="center"/>
    </xf>
    <xf numFmtId="167" fontId="2" fillId="0" borderId="0" xfId="2" applyNumberFormat="1" applyBorder="1"/>
    <xf numFmtId="167" fontId="2" fillId="0" borderId="0" xfId="2" applyNumberFormat="1" applyFont="1" applyBorder="1" applyAlignment="1">
      <alignment horizontal="center"/>
    </xf>
    <xf numFmtId="167" fontId="2" fillId="0" borderId="0" xfId="2" applyNumberFormat="1" applyBorder="1" applyAlignment="1">
      <alignment horizontal="center"/>
    </xf>
    <xf numFmtId="167" fontId="5" fillId="0" borderId="0" xfId="2" applyNumberFormat="1" applyFont="1" applyBorder="1" applyAlignment="1">
      <alignment horizontal="left"/>
    </xf>
    <xf numFmtId="167" fontId="5" fillId="0" borderId="0" xfId="2" applyNumberFormat="1" applyFont="1" applyFill="1" applyBorder="1" applyAlignment="1">
      <alignment horizontal="left"/>
    </xf>
    <xf numFmtId="167" fontId="3" fillId="10" borderId="12" xfId="1" applyNumberFormat="1" applyFont="1" applyFill="1" applyBorder="1" applyAlignment="1">
      <alignment horizontal="center"/>
    </xf>
    <xf numFmtId="167" fontId="4" fillId="8" borderId="12" xfId="2" applyNumberFormat="1" applyFont="1" applyFill="1" applyBorder="1" applyAlignment="1">
      <alignment horizontal="center"/>
    </xf>
    <xf numFmtId="167" fontId="4" fillId="2" borderId="12" xfId="2" applyNumberFormat="1" applyFont="1" applyFill="1" applyBorder="1" applyAlignment="1">
      <alignment horizontal="center"/>
    </xf>
    <xf numFmtId="167" fontId="4" fillId="2" borderId="12" xfId="4" applyNumberFormat="1" applyFont="1" applyFill="1" applyBorder="1"/>
    <xf numFmtId="167" fontId="2" fillId="0" borderId="0" xfId="2" applyNumberFormat="1"/>
    <xf numFmtId="167" fontId="4" fillId="0" borderId="12" xfId="2" applyNumberFormat="1" applyFont="1" applyFill="1" applyBorder="1" applyAlignment="1">
      <alignment vertical="top"/>
    </xf>
    <xf numFmtId="167" fontId="4" fillId="2" borderId="12" xfId="2" applyNumberFormat="1" applyFont="1" applyFill="1" applyBorder="1" applyAlignment="1">
      <alignment vertical="top"/>
    </xf>
    <xf numFmtId="167" fontId="2" fillId="14" borderId="13" xfId="2" applyNumberFormat="1" applyFont="1" applyFill="1" applyBorder="1" applyAlignment="1">
      <alignment vertical="top"/>
    </xf>
    <xf numFmtId="167" fontId="4" fillId="9" borderId="13" xfId="2" applyNumberFormat="1" applyFont="1" applyFill="1" applyBorder="1" applyAlignment="1">
      <alignment vertical="top"/>
    </xf>
    <xf numFmtId="167" fontId="4" fillId="0" borderId="13" xfId="2" applyNumberFormat="1" applyFont="1" applyBorder="1"/>
    <xf numFmtId="167" fontId="4" fillId="2" borderId="13" xfId="2" applyNumberFormat="1" applyFont="1" applyFill="1" applyBorder="1"/>
    <xf numFmtId="167" fontId="4" fillId="2" borderId="13" xfId="4" applyNumberFormat="1" applyFont="1" applyFill="1" applyBorder="1"/>
    <xf numFmtId="167" fontId="2" fillId="0" borderId="0" xfId="2" applyNumberFormat="1" applyFill="1"/>
    <xf numFmtId="167" fontId="2" fillId="0" borderId="0" xfId="2" applyNumberFormat="1" applyAlignment="1">
      <alignment vertical="top"/>
    </xf>
    <xf numFmtId="40" fontId="4" fillId="5" borderId="12" xfId="0" applyNumberFormat="1" applyFont="1" applyFill="1" applyBorder="1"/>
    <xf numFmtId="40" fontId="2" fillId="11" borderId="12" xfId="0" applyNumberFormat="1" applyFont="1" applyFill="1" applyBorder="1"/>
    <xf numFmtId="40" fontId="2" fillId="0" borderId="12" xfId="0" applyNumberFormat="1" applyFont="1" applyFill="1" applyBorder="1"/>
    <xf numFmtId="40" fontId="2" fillId="11" borderId="29" xfId="0" applyNumberFormat="1" applyFont="1" applyFill="1" applyBorder="1"/>
    <xf numFmtId="40" fontId="2" fillId="0" borderId="29" xfId="0" applyNumberFormat="1" applyFont="1" applyFill="1" applyBorder="1"/>
    <xf numFmtId="40" fontId="4" fillId="6" borderId="37" xfId="0" applyNumberFormat="1" applyFont="1" applyFill="1" applyBorder="1"/>
    <xf numFmtId="40" fontId="4" fillId="5" borderId="12" xfId="2" applyNumberFormat="1" applyFont="1" applyFill="1" applyBorder="1"/>
    <xf numFmtId="40" fontId="2" fillId="14" borderId="12" xfId="2" applyNumberFormat="1" applyFont="1" applyFill="1" applyBorder="1"/>
    <xf numFmtId="40" fontId="4" fillId="9" borderId="12" xfId="2" applyNumberFormat="1" applyFont="1" applyFill="1" applyBorder="1"/>
    <xf numFmtId="40" fontId="4" fillId="0" borderId="12" xfId="2" applyNumberFormat="1" applyFont="1" applyBorder="1"/>
    <xf numFmtId="40" fontId="4" fillId="2" borderId="12" xfId="2" applyNumberFormat="1" applyFont="1" applyFill="1" applyBorder="1"/>
    <xf numFmtId="40" fontId="2" fillId="14" borderId="13" xfId="2" applyNumberFormat="1" applyFont="1" applyFill="1" applyBorder="1"/>
    <xf numFmtId="40" fontId="4" fillId="9" borderId="13" xfId="2" applyNumberFormat="1" applyFont="1" applyFill="1" applyBorder="1"/>
    <xf numFmtId="40" fontId="4" fillId="0" borderId="12" xfId="2" applyNumberFormat="1" applyFont="1" applyFill="1" applyBorder="1"/>
    <xf numFmtId="40" fontId="13" fillId="10" borderId="18" xfId="2" applyNumberFormat="1" applyFont="1" applyFill="1" applyBorder="1" applyAlignment="1">
      <alignment horizontal="center" vertical="center"/>
    </xf>
    <xf numFmtId="40" fontId="2" fillId="0" borderId="0" xfId="4" applyNumberFormat="1" applyFont="1"/>
    <xf numFmtId="40" fontId="2" fillId="0" borderId="0" xfId="4" applyNumberFormat="1"/>
    <xf numFmtId="40" fontId="4" fillId="8" borderId="12" xfId="2" applyNumberFormat="1" applyFont="1" applyFill="1" applyBorder="1" applyAlignment="1">
      <alignment horizontal="center"/>
    </xf>
    <xf numFmtId="40" fontId="4" fillId="2" borderId="12" xfId="2" applyNumberFormat="1" applyFont="1" applyFill="1" applyBorder="1" applyAlignment="1">
      <alignment horizontal="center"/>
    </xf>
    <xf numFmtId="0" fontId="0" fillId="0" borderId="0" xfId="0"/>
    <xf numFmtId="167" fontId="2" fillId="14" borderId="13" xfId="2" applyNumberFormat="1" applyFont="1" applyFill="1" applyBorder="1"/>
    <xf numFmtId="167" fontId="2" fillId="14" borderId="12" xfId="2" applyNumberFormat="1" applyFont="1" applyFill="1" applyBorder="1"/>
    <xf numFmtId="9" fontId="0" fillId="0" borderId="0" xfId="0" applyNumberFormat="1"/>
    <xf numFmtId="173" fontId="0" fillId="0" borderId="0" xfId="0" applyNumberFormat="1"/>
    <xf numFmtId="173" fontId="0" fillId="6" borderId="0" xfId="0" applyNumberFormat="1" applyFill="1"/>
    <xf numFmtId="173" fontId="26" fillId="17" borderId="0" xfId="12" applyNumberFormat="1" applyFont="1" applyFill="1"/>
    <xf numFmtId="173" fontId="22" fillId="0" borderId="0" xfId="12" applyNumberFormat="1" applyFont="1"/>
    <xf numFmtId="175" fontId="0" fillId="0" borderId="8" xfId="0" applyNumberFormat="1" applyBorder="1" applyAlignment="1">
      <alignment horizontal="left" indent="1"/>
    </xf>
    <xf numFmtId="0" fontId="31" fillId="21" borderId="0" xfId="0" applyFont="1" applyFill="1" applyAlignment="1">
      <alignment horizontal="left"/>
    </xf>
    <xf numFmtId="173" fontId="24" fillId="21" borderId="0" xfId="12" applyNumberFormat="1" applyFont="1" applyFill="1" applyAlignment="1">
      <alignment horizontal="left"/>
    </xf>
    <xf numFmtId="173" fontId="24" fillId="21" borderId="0" xfId="12" applyNumberFormat="1" applyFont="1" applyFill="1"/>
    <xf numFmtId="0" fontId="30" fillId="19" borderId="0" xfId="0" applyFont="1" applyFill="1"/>
    <xf numFmtId="173" fontId="30" fillId="19" borderId="0" xfId="0" applyNumberFormat="1" applyFont="1" applyFill="1"/>
    <xf numFmtId="0" fontId="2" fillId="0" borderId="0" xfId="2" applyNumberFormat="1" applyFont="1" applyBorder="1" applyAlignment="1">
      <alignment horizontal="center"/>
    </xf>
    <xf numFmtId="9" fontId="0" fillId="0" borderId="0" xfId="19" applyFont="1"/>
    <xf numFmtId="173" fontId="27" fillId="22" borderId="0" xfId="12" applyNumberFormat="1" applyFont="1" applyFill="1"/>
    <xf numFmtId="0" fontId="30" fillId="0" borderId="0" xfId="0" applyFont="1"/>
    <xf numFmtId="171" fontId="30" fillId="0" borderId="0" xfId="0" applyNumberFormat="1" applyFont="1"/>
    <xf numFmtId="174" fontId="30" fillId="0" borderId="0" xfId="0" applyNumberFormat="1" applyFont="1"/>
    <xf numFmtId="9" fontId="30" fillId="0" borderId="0" xfId="0" applyNumberFormat="1" applyFont="1"/>
    <xf numFmtId="9" fontId="30" fillId="0" borderId="0" xfId="19" applyFont="1"/>
    <xf numFmtId="173" fontId="32" fillId="0" borderId="0" xfId="12" applyNumberFormat="1" applyFont="1"/>
    <xf numFmtId="0" fontId="30" fillId="0" borderId="0" xfId="0" applyFont="1" applyFill="1"/>
    <xf numFmtId="0" fontId="30" fillId="6" borderId="0" xfId="0" applyFont="1" applyFill="1"/>
    <xf numFmtId="0" fontId="4" fillId="13" borderId="33" xfId="5" applyFont="1" applyFill="1" applyBorder="1"/>
    <xf numFmtId="173" fontId="1" fillId="0" borderId="0" xfId="12" applyNumberFormat="1" applyFont="1" applyFill="1"/>
    <xf numFmtId="173" fontId="0" fillId="13" borderId="0" xfId="12" applyNumberFormat="1" applyFont="1" applyFill="1"/>
    <xf numFmtId="173" fontId="27" fillId="13" borderId="0" xfId="12" applyNumberFormat="1" applyFont="1" applyFill="1"/>
    <xf numFmtId="164" fontId="2" fillId="0" borderId="12" xfId="6" applyNumberFormat="1" applyFont="1" applyFill="1" applyBorder="1" applyAlignment="1"/>
    <xf numFmtId="168" fontId="4" fillId="0" borderId="0" xfId="2" applyNumberFormat="1" applyFont="1" applyFill="1" applyBorder="1"/>
    <xf numFmtId="0" fontId="0" fillId="0" borderId="0" xfId="0" applyBorder="1"/>
    <xf numFmtId="167" fontId="13" fillId="10" borderId="18" xfId="1" applyFont="1" applyFill="1" applyBorder="1" applyAlignment="1">
      <alignment horizontal="center" vertical="center"/>
    </xf>
    <xf numFmtId="0" fontId="4" fillId="0" borderId="33" xfId="5" applyFont="1" applyFill="1" applyBorder="1"/>
    <xf numFmtId="0" fontId="17" fillId="0" borderId="12" xfId="5" applyFont="1" applyFill="1" applyBorder="1" applyAlignment="1">
      <alignment horizontal="left" vertical="top" wrapText="1"/>
    </xf>
    <xf numFmtId="4" fontId="0" fillId="0" borderId="0" xfId="0" applyNumberFormat="1" applyFill="1"/>
    <xf numFmtId="167" fontId="2" fillId="22" borderId="12" xfId="0" applyNumberFormat="1" applyFont="1" applyFill="1" applyBorder="1"/>
    <xf numFmtId="173" fontId="35" fillId="0" borderId="0" xfId="0" applyNumberFormat="1" applyFont="1"/>
    <xf numFmtId="167" fontId="2" fillId="11" borderId="46" xfId="0" applyNumberFormat="1" applyFont="1" applyFill="1" applyBorder="1"/>
    <xf numFmtId="167" fontId="2" fillId="11" borderId="31" xfId="0" applyNumberFormat="1" applyFont="1" applyFill="1" applyBorder="1"/>
    <xf numFmtId="167" fontId="24" fillId="0" borderId="0" xfId="1" applyFont="1" applyFill="1"/>
    <xf numFmtId="173" fontId="32" fillId="0" borderId="0" xfId="12" applyNumberFormat="1" applyFont="1" applyFill="1"/>
    <xf numFmtId="167" fontId="0" fillId="0" borderId="0" xfId="1" applyFont="1"/>
    <xf numFmtId="167" fontId="30" fillId="0" borderId="0" xfId="1" applyFont="1" applyFill="1"/>
    <xf numFmtId="167" fontId="4" fillId="5" borderId="13" xfId="1" applyFont="1" applyFill="1" applyBorder="1"/>
    <xf numFmtId="0" fontId="30" fillId="0" borderId="0" xfId="20" applyFont="1" applyFill="1"/>
    <xf numFmtId="9" fontId="30" fillId="0" borderId="0" xfId="20" applyNumberFormat="1" applyFont="1" applyFill="1" applyAlignment="1">
      <alignment vertical="center"/>
    </xf>
    <xf numFmtId="173" fontId="30" fillId="0" borderId="0" xfId="20" applyNumberFormat="1" applyFont="1" applyFill="1"/>
    <xf numFmtId="173" fontId="30" fillId="0" borderId="0" xfId="0" applyNumberFormat="1" applyFont="1" applyFill="1"/>
    <xf numFmtId="168" fontId="4" fillId="8" borderId="12" xfId="2" applyNumberFormat="1" applyFont="1" applyFill="1" applyBorder="1" applyAlignment="1">
      <alignment horizontal="center" vertical="center"/>
    </xf>
    <xf numFmtId="0" fontId="0" fillId="0" borderId="0" xfId="0" applyAlignment="1">
      <alignment vertical="center"/>
    </xf>
    <xf numFmtId="167" fontId="0" fillId="0" borderId="0" xfId="1" applyFont="1" applyAlignment="1">
      <alignment vertical="center"/>
    </xf>
    <xf numFmtId="49" fontId="0" fillId="0" borderId="12" xfId="0" applyNumberFormat="1" applyBorder="1"/>
    <xf numFmtId="0" fontId="0" fillId="0" borderId="12" xfId="0" applyBorder="1"/>
    <xf numFmtId="167" fontId="0" fillId="0" borderId="12" xfId="1" applyFont="1" applyBorder="1"/>
    <xf numFmtId="0" fontId="0" fillId="24" borderId="12" xfId="0" applyFill="1" applyBorder="1" applyAlignment="1">
      <alignment vertical="center" wrapText="1"/>
    </xf>
    <xf numFmtId="167" fontId="0" fillId="24" borderId="12" xfId="1" applyFont="1" applyFill="1" applyBorder="1" applyAlignment="1">
      <alignment vertical="center" wrapText="1"/>
    </xf>
    <xf numFmtId="167" fontId="2" fillId="14" borderId="13" xfId="1" applyFont="1" applyFill="1" applyBorder="1"/>
    <xf numFmtId="49" fontId="30" fillId="0" borderId="0" xfId="20" applyNumberFormat="1" applyFont="1" applyFill="1"/>
    <xf numFmtId="167" fontId="0" fillId="0" borderId="0" xfId="1" applyFont="1" applyFill="1"/>
    <xf numFmtId="0" fontId="4" fillId="0" borderId="47" xfId="0" applyFont="1" applyFill="1" applyBorder="1" applyAlignment="1">
      <alignment horizontal="center"/>
    </xf>
    <xf numFmtId="40" fontId="2" fillId="0" borderId="14" xfId="0" applyNumberFormat="1" applyFont="1" applyFill="1" applyBorder="1"/>
    <xf numFmtId="40" fontId="2" fillId="0" borderId="48" xfId="0" applyNumberFormat="1" applyFont="1" applyFill="1" applyBorder="1"/>
    <xf numFmtId="0" fontId="4" fillId="7" borderId="12" xfId="4" applyFont="1" applyFill="1" applyBorder="1" applyAlignment="1">
      <alignment horizontal="center" vertical="center" wrapText="1"/>
    </xf>
    <xf numFmtId="167" fontId="2" fillId="14" borderId="12" xfId="1" applyFont="1" applyFill="1" applyBorder="1"/>
    <xf numFmtId="168" fontId="2" fillId="0" borderId="0" xfId="2" applyNumberFormat="1" applyFill="1" applyAlignment="1">
      <alignment vertical="top"/>
    </xf>
    <xf numFmtId="167" fontId="30" fillId="25" borderId="0" xfId="20" applyNumberFormat="1" applyFont="1" applyFill="1"/>
    <xf numFmtId="167" fontId="30" fillId="25" borderId="0" xfId="1" applyFont="1" applyFill="1"/>
    <xf numFmtId="173" fontId="30" fillId="0" borderId="0" xfId="20" applyNumberFormat="1" applyFont="1" applyFill="1" applyBorder="1"/>
    <xf numFmtId="0" fontId="31" fillId="0" borderId="0" xfId="0" applyFont="1" applyFill="1" applyAlignment="1">
      <alignment horizontal="left"/>
    </xf>
    <xf numFmtId="173" fontId="24" fillId="0" borderId="0" xfId="12" applyNumberFormat="1" applyFont="1" applyFill="1" applyAlignment="1">
      <alignment horizontal="left"/>
    </xf>
    <xf numFmtId="173" fontId="24" fillId="0" borderId="0" xfId="12" applyNumberFormat="1" applyFont="1" applyFill="1"/>
    <xf numFmtId="167" fontId="0" fillId="0" borderId="0" xfId="0" applyNumberFormat="1" applyFill="1"/>
    <xf numFmtId="0" fontId="0" fillId="26" borderId="0" xfId="0" applyFill="1"/>
    <xf numFmtId="0" fontId="0" fillId="25" borderId="0" xfId="0" applyFill="1"/>
    <xf numFmtId="0" fontId="30" fillId="25" borderId="0" xfId="20" applyFont="1" applyFill="1"/>
    <xf numFmtId="173" fontId="30" fillId="25" borderId="0" xfId="20" applyNumberFormat="1" applyFont="1" applyFill="1"/>
    <xf numFmtId="9" fontId="30" fillId="25" borderId="0" xfId="20" applyNumberFormat="1" applyFont="1" applyFill="1" applyAlignment="1">
      <alignment vertical="center"/>
    </xf>
    <xf numFmtId="0" fontId="30" fillId="25" borderId="0" xfId="20" applyFont="1" applyFill="1" applyAlignment="1">
      <alignment vertical="center"/>
    </xf>
    <xf numFmtId="0" fontId="0" fillId="27" borderId="0" xfId="0" applyFill="1"/>
    <xf numFmtId="167" fontId="0" fillId="27" borderId="0" xfId="1" applyFont="1" applyFill="1"/>
    <xf numFmtId="173" fontId="0" fillId="27" borderId="0" xfId="12" applyNumberFormat="1" applyFont="1" applyFill="1"/>
    <xf numFmtId="167" fontId="2" fillId="0" borderId="0" xfId="1" applyFont="1"/>
    <xf numFmtId="167" fontId="4" fillId="9" borderId="13" xfId="1" applyFont="1" applyFill="1" applyBorder="1"/>
    <xf numFmtId="167" fontId="4" fillId="5" borderId="12" xfId="1" applyFont="1" applyFill="1" applyBorder="1"/>
    <xf numFmtId="167" fontId="26" fillId="27" borderId="0" xfId="1" applyFont="1" applyFill="1"/>
    <xf numFmtId="167" fontId="0" fillId="14" borderId="0" xfId="1" applyFont="1" applyFill="1"/>
    <xf numFmtId="167" fontId="0" fillId="14" borderId="0" xfId="0" applyNumberFormat="1" applyFill="1"/>
    <xf numFmtId="43" fontId="0" fillId="14" borderId="0" xfId="0" applyNumberFormat="1" applyFill="1"/>
    <xf numFmtId="10" fontId="30" fillId="25" borderId="0" xfId="20" applyNumberFormat="1" applyFont="1" applyFill="1" applyAlignment="1">
      <alignment vertical="center"/>
    </xf>
    <xf numFmtId="9" fontId="30" fillId="25" borderId="0" xfId="19" applyFont="1" applyFill="1" applyAlignment="1">
      <alignment vertical="center"/>
    </xf>
    <xf numFmtId="0" fontId="26" fillId="25" borderId="0" xfId="0" applyFont="1" applyFill="1"/>
    <xf numFmtId="0" fontId="36" fillId="25" borderId="0" xfId="20" applyFill="1"/>
    <xf numFmtId="167" fontId="36" fillId="25" borderId="0" xfId="20" applyNumberFormat="1" applyFill="1"/>
    <xf numFmtId="173" fontId="36" fillId="25" borderId="0" xfId="20" applyNumberFormat="1" applyFill="1"/>
    <xf numFmtId="43" fontId="0" fillId="0" borderId="0" xfId="0" applyNumberFormat="1" applyFill="1"/>
    <xf numFmtId="167" fontId="30" fillId="19" borderId="0" xfId="20" applyNumberFormat="1" applyFont="1" applyFill="1"/>
    <xf numFmtId="0" fontId="30" fillId="19" borderId="0" xfId="20" applyFont="1" applyFill="1"/>
    <xf numFmtId="167" fontId="38" fillId="27" borderId="0" xfId="1" applyFont="1" applyFill="1"/>
    <xf numFmtId="167" fontId="0" fillId="22" borderId="0" xfId="1" applyFont="1" applyFill="1"/>
    <xf numFmtId="176" fontId="0" fillId="0" borderId="0" xfId="1" applyNumberFormat="1" applyFont="1"/>
    <xf numFmtId="167" fontId="4" fillId="0" borderId="0" xfId="1" applyFont="1" applyFill="1" applyBorder="1" applyAlignment="1">
      <alignment horizontal="center" vertical="center" wrapText="1"/>
    </xf>
    <xf numFmtId="9" fontId="30" fillId="0" borderId="0" xfId="20" applyNumberFormat="1" applyFont="1" applyFill="1" applyBorder="1" applyAlignment="1">
      <alignment vertical="center"/>
    </xf>
    <xf numFmtId="167" fontId="30" fillId="0" borderId="0" xfId="20" applyNumberFormat="1" applyFont="1" applyFill="1"/>
    <xf numFmtId="9" fontId="30" fillId="0" borderId="0" xfId="20" applyNumberFormat="1" applyFont="1" applyFill="1"/>
    <xf numFmtId="0" fontId="30" fillId="0" borderId="0" xfId="20" applyFont="1" applyFill="1" applyAlignment="1">
      <alignment vertical="center"/>
    </xf>
    <xf numFmtId="9" fontId="30" fillId="0" borderId="0" xfId="19" applyFont="1" applyFill="1" applyAlignment="1">
      <alignment vertical="center"/>
    </xf>
    <xf numFmtId="174" fontId="30" fillId="0" borderId="0" xfId="20" applyNumberFormat="1" applyFont="1" applyFill="1" applyAlignment="1">
      <alignment vertical="center"/>
    </xf>
    <xf numFmtId="167" fontId="30" fillId="0" borderId="0" xfId="20" applyNumberFormat="1" applyFont="1" applyFill="1" applyAlignment="1">
      <alignment vertical="center"/>
    </xf>
    <xf numFmtId="0" fontId="0" fillId="0" borderId="0" xfId="0" applyFont="1" applyFill="1"/>
    <xf numFmtId="166" fontId="30" fillId="0" borderId="0" xfId="20" applyNumberFormat="1" applyFont="1" applyFill="1"/>
    <xf numFmtId="10" fontId="30" fillId="0" borderId="0" xfId="20" applyNumberFormat="1" applyFont="1" applyFill="1" applyAlignment="1">
      <alignment vertical="center"/>
    </xf>
    <xf numFmtId="10" fontId="30" fillId="0" borderId="0" xfId="20" applyNumberFormat="1" applyFont="1" applyFill="1"/>
    <xf numFmtId="173" fontId="30" fillId="0" borderId="0" xfId="20" applyNumberFormat="1" applyFont="1" applyFill="1" applyAlignment="1">
      <alignment vertical="center"/>
    </xf>
    <xf numFmtId="167" fontId="36" fillId="0" borderId="0" xfId="1" applyFont="1" applyFill="1"/>
    <xf numFmtId="173" fontId="36" fillId="0" borderId="0" xfId="20" applyNumberFormat="1" applyFill="1"/>
    <xf numFmtId="173" fontId="36" fillId="14" borderId="0" xfId="20" applyNumberFormat="1" applyFill="1"/>
    <xf numFmtId="40" fontId="4" fillId="5" borderId="14" xfId="0" applyNumberFormat="1" applyFont="1" applyFill="1" applyBorder="1"/>
    <xf numFmtId="40" fontId="0" fillId="0" borderId="0" xfId="0" applyNumberFormat="1"/>
    <xf numFmtId="167" fontId="4" fillId="5" borderId="12" xfId="2" applyNumberFormat="1" applyFont="1" applyFill="1" applyBorder="1" applyAlignment="1">
      <alignment horizontal="right" vertical="center"/>
    </xf>
    <xf numFmtId="0" fontId="30" fillId="0" borderId="0" xfId="20" applyFont="1" applyFill="1" applyAlignment="1">
      <alignment horizontal="center" vertical="center"/>
    </xf>
    <xf numFmtId="177" fontId="2" fillId="0" borderId="0" xfId="2" applyNumberFormat="1"/>
    <xf numFmtId="43" fontId="0" fillId="0" borderId="0" xfId="0" applyNumberFormat="1" applyFill="1" applyBorder="1"/>
    <xf numFmtId="167" fontId="30" fillId="0" borderId="0" xfId="1" applyFont="1" applyFill="1" applyBorder="1"/>
    <xf numFmtId="9" fontId="30" fillId="0" borderId="49" xfId="19" applyFont="1" applyFill="1" applyBorder="1" applyAlignment="1">
      <alignment vertical="center"/>
    </xf>
    <xf numFmtId="167" fontId="1" fillId="0" borderId="0" xfId="20" applyNumberFormat="1" applyFont="1" applyFill="1"/>
    <xf numFmtId="9" fontId="30" fillId="0" borderId="0" xfId="19" applyFont="1" applyFill="1" applyBorder="1" applyAlignment="1">
      <alignment vertical="center"/>
    </xf>
    <xf numFmtId="167" fontId="0" fillId="25" borderId="0" xfId="1" applyFont="1" applyFill="1"/>
    <xf numFmtId="178" fontId="0" fillId="0" borderId="0" xfId="0" applyNumberFormat="1"/>
    <xf numFmtId="167" fontId="30" fillId="0" borderId="0" xfId="1" applyFont="1" applyFill="1" applyAlignment="1">
      <alignment vertical="center"/>
    </xf>
    <xf numFmtId="9" fontId="2" fillId="0" borderId="0" xfId="19" applyFont="1"/>
    <xf numFmtId="0" fontId="30" fillId="0" borderId="49" xfId="20" applyFont="1" applyFill="1" applyBorder="1"/>
    <xf numFmtId="0" fontId="31" fillId="0" borderId="49" xfId="20" applyFont="1" applyFill="1" applyBorder="1" applyAlignment="1">
      <alignment horizontal="center" vertical="center"/>
    </xf>
    <xf numFmtId="9" fontId="30" fillId="0" borderId="49" xfId="20" applyNumberFormat="1" applyFont="1" applyFill="1" applyBorder="1" applyAlignment="1">
      <alignment vertical="center"/>
    </xf>
    <xf numFmtId="9" fontId="30" fillId="0" borderId="49" xfId="20" applyNumberFormat="1" applyFont="1" applyFill="1" applyBorder="1"/>
    <xf numFmtId="173" fontId="30" fillId="0" borderId="49" xfId="20" applyNumberFormat="1" applyFont="1" applyFill="1" applyBorder="1"/>
    <xf numFmtId="167" fontId="30" fillId="0" borderId="49" xfId="20" applyNumberFormat="1" applyFont="1" applyFill="1" applyBorder="1"/>
    <xf numFmtId="167" fontId="30" fillId="0" borderId="49" xfId="1" applyFont="1" applyFill="1" applyBorder="1"/>
    <xf numFmtId="0" fontId="0" fillId="0" borderId="33" xfId="0" applyFill="1" applyBorder="1"/>
    <xf numFmtId="0" fontId="0" fillId="0" borderId="0" xfId="0" applyFill="1" applyBorder="1"/>
    <xf numFmtId="0" fontId="30" fillId="0" borderId="0" xfId="20" applyFont="1" applyFill="1" applyBorder="1"/>
    <xf numFmtId="167" fontId="31" fillId="0" borderId="0" xfId="20" applyNumberFormat="1" applyFont="1" applyFill="1" applyBorder="1"/>
    <xf numFmtId="0" fontId="31" fillId="0" borderId="0" xfId="20" applyFont="1" applyFill="1" applyBorder="1" applyAlignment="1">
      <alignment horizontal="center" vertical="center"/>
    </xf>
    <xf numFmtId="9" fontId="30" fillId="0" borderId="0" xfId="20" applyNumberFormat="1" applyFont="1" applyFill="1" applyBorder="1"/>
    <xf numFmtId="167" fontId="30" fillId="0" borderId="0" xfId="20" applyNumberFormat="1" applyFont="1" applyFill="1" applyBorder="1"/>
    <xf numFmtId="9" fontId="0" fillId="0" borderId="0" xfId="19" applyFont="1" applyFill="1"/>
    <xf numFmtId="0" fontId="37" fillId="28" borderId="0" xfId="0" applyFont="1" applyFill="1" applyAlignment="1">
      <alignment horizontal="center"/>
    </xf>
    <xf numFmtId="0" fontId="30" fillId="0" borderId="0" xfId="20" applyFont="1" applyFill="1" applyBorder="1" applyAlignment="1">
      <alignment horizontal="center" vertical="center"/>
    </xf>
    <xf numFmtId="167" fontId="30" fillId="0" borderId="0" xfId="1" applyNumberFormat="1" applyFont="1" applyFill="1" applyBorder="1"/>
    <xf numFmtId="173" fontId="0" fillId="0" borderId="0" xfId="12" applyNumberFormat="1" applyFont="1" applyFill="1"/>
    <xf numFmtId="43" fontId="24" fillId="0" borderId="0" xfId="0" applyNumberFormat="1" applyFont="1" applyFill="1"/>
    <xf numFmtId="171" fontId="0" fillId="0" borderId="0" xfId="0" applyNumberFormat="1" applyFill="1" applyAlignment="1">
      <alignment horizontal="center" vertical="center"/>
    </xf>
    <xf numFmtId="171" fontId="30" fillId="0" borderId="0" xfId="0" applyNumberFormat="1" applyFont="1" applyFill="1" applyAlignment="1">
      <alignment horizontal="center" vertical="center"/>
    </xf>
    <xf numFmtId="0" fontId="0" fillId="0" borderId="0" xfId="0" applyFill="1" applyAlignment="1">
      <alignment horizontal="center"/>
    </xf>
    <xf numFmtId="171" fontId="24" fillId="0" borderId="0" xfId="0" applyNumberFormat="1" applyFont="1" applyFill="1" applyAlignment="1">
      <alignment horizontal="center"/>
    </xf>
    <xf numFmtId="0" fontId="30" fillId="0" borderId="0" xfId="0" applyFont="1" applyFill="1" applyAlignment="1">
      <alignment horizontal="center"/>
    </xf>
    <xf numFmtId="49" fontId="0" fillId="0" borderId="0" xfId="0" applyNumberFormat="1" applyFill="1" applyAlignment="1">
      <alignment horizontal="center"/>
    </xf>
    <xf numFmtId="6" fontId="0" fillId="0" borderId="0" xfId="0" applyNumberFormat="1" applyFill="1" applyAlignment="1">
      <alignment horizontal="center"/>
    </xf>
    <xf numFmtId="0" fontId="24" fillId="0" borderId="0" xfId="0" applyFont="1" applyFill="1" applyAlignment="1">
      <alignment horizontal="center"/>
    </xf>
    <xf numFmtId="6" fontId="24" fillId="0" borderId="0" xfId="0" applyNumberFormat="1" applyFont="1" applyFill="1" applyAlignment="1">
      <alignment horizontal="center"/>
    </xf>
    <xf numFmtId="0" fontId="24" fillId="0" borderId="0" xfId="0" applyFont="1" applyFill="1" applyAlignment="1">
      <alignment horizontal="center" vertical="center"/>
    </xf>
    <xf numFmtId="49" fontId="24" fillId="0" borderId="0" xfId="0" applyNumberFormat="1" applyFont="1" applyFill="1" applyAlignment="1">
      <alignment horizontal="center" vertical="center"/>
    </xf>
    <xf numFmtId="167" fontId="24" fillId="0" borderId="0" xfId="1" applyFont="1" applyFill="1" applyAlignment="1">
      <alignment horizontal="center" vertical="center"/>
    </xf>
    <xf numFmtId="179" fontId="0" fillId="0" borderId="0" xfId="0" applyNumberFormat="1"/>
    <xf numFmtId="167" fontId="39" fillId="0" borderId="0" xfId="1" applyFont="1" applyFill="1" applyAlignment="1">
      <alignment vertical="center"/>
    </xf>
    <xf numFmtId="167" fontId="37" fillId="0" borderId="0" xfId="0" applyNumberFormat="1" applyFont="1" applyFill="1"/>
    <xf numFmtId="0" fontId="4" fillId="7" borderId="12" xfId="4" applyFont="1" applyFill="1" applyBorder="1" applyAlignment="1">
      <alignment horizontal="center" vertical="center" wrapText="1"/>
    </xf>
    <xf numFmtId="167" fontId="24" fillId="0" borderId="0" xfId="1" applyFont="1"/>
    <xf numFmtId="0" fontId="4" fillId="7" borderId="46" xfId="4" applyFont="1" applyFill="1" applyBorder="1" applyAlignment="1">
      <alignment horizontal="center" vertical="center" wrapText="1"/>
    </xf>
    <xf numFmtId="169" fontId="4" fillId="6" borderId="0" xfId="2" applyNumberFormat="1" applyFont="1" applyFill="1" applyBorder="1" applyAlignment="1">
      <alignment horizontal="center" vertical="center"/>
    </xf>
    <xf numFmtId="169" fontId="4" fillId="7" borderId="0" xfId="2" applyNumberFormat="1" applyFont="1" applyFill="1" applyBorder="1" applyAlignment="1">
      <alignment horizontal="center" vertical="center" wrapText="1"/>
    </xf>
    <xf numFmtId="168" fontId="3" fillId="10" borderId="0" xfId="1" applyNumberFormat="1" applyFont="1" applyFill="1" applyBorder="1" applyAlignment="1">
      <alignment horizontal="center"/>
    </xf>
    <xf numFmtId="40" fontId="4" fillId="8" borderId="0" xfId="2" applyNumberFormat="1" applyFont="1" applyFill="1" applyBorder="1" applyAlignment="1">
      <alignment horizontal="center"/>
    </xf>
    <xf numFmtId="40" fontId="4" fillId="2" borderId="0" xfId="2" applyNumberFormat="1" applyFont="1" applyFill="1" applyBorder="1" applyAlignment="1">
      <alignment horizontal="center"/>
    </xf>
    <xf numFmtId="40" fontId="4" fillId="5" borderId="0" xfId="2" applyNumberFormat="1" applyFont="1" applyFill="1" applyBorder="1"/>
    <xf numFmtId="40" fontId="2" fillId="14" borderId="0" xfId="2" applyNumberFormat="1" applyFont="1" applyFill="1" applyBorder="1"/>
    <xf numFmtId="40" fontId="4" fillId="9" borderId="0" xfId="2" applyNumberFormat="1" applyFont="1" applyFill="1" applyBorder="1"/>
    <xf numFmtId="40" fontId="4" fillId="0" borderId="0" xfId="2" applyNumberFormat="1" applyFont="1" applyBorder="1"/>
    <xf numFmtId="40" fontId="4" fillId="2" borderId="0" xfId="2" applyNumberFormat="1" applyFont="1" applyFill="1" applyBorder="1"/>
    <xf numFmtId="40" fontId="4" fillId="0" borderId="0" xfId="2" applyNumberFormat="1" applyFont="1" applyFill="1" applyBorder="1"/>
    <xf numFmtId="40" fontId="13" fillId="10" borderId="0" xfId="2" applyNumberFormat="1" applyFont="1" applyFill="1" applyBorder="1" applyAlignment="1">
      <alignment horizontal="center" vertical="center"/>
    </xf>
    <xf numFmtId="169" fontId="2" fillId="29" borderId="0" xfId="2" applyNumberFormat="1" applyFill="1"/>
    <xf numFmtId="169" fontId="4" fillId="29" borderId="0" xfId="2" applyNumberFormat="1" applyFont="1" applyFill="1"/>
    <xf numFmtId="169" fontId="4" fillId="29" borderId="0" xfId="2" applyNumberFormat="1" applyFont="1" applyFill="1" applyBorder="1" applyAlignment="1">
      <alignment horizontal="center" vertical="center"/>
    </xf>
    <xf numFmtId="169" fontId="4" fillId="29" borderId="0" xfId="2" applyNumberFormat="1" applyFont="1" applyFill="1" applyBorder="1" applyAlignment="1">
      <alignment horizontal="center" vertical="center" wrapText="1"/>
    </xf>
    <xf numFmtId="168" fontId="3" fillId="29" borderId="0" xfId="1" applyNumberFormat="1" applyFont="1" applyFill="1" applyBorder="1" applyAlignment="1">
      <alignment horizontal="center"/>
    </xf>
    <xf numFmtId="40" fontId="4" fillId="29" borderId="0" xfId="2" applyNumberFormat="1" applyFont="1" applyFill="1" applyBorder="1" applyAlignment="1">
      <alignment horizontal="center"/>
    </xf>
    <xf numFmtId="40" fontId="4" fillId="29" borderId="0" xfId="2" applyNumberFormat="1" applyFont="1" applyFill="1" applyBorder="1"/>
    <xf numFmtId="40" fontId="2" fillId="29" borderId="0" xfId="2" applyNumberFormat="1" applyFont="1" applyFill="1" applyBorder="1"/>
    <xf numFmtId="40" fontId="13" fillId="29" borderId="0" xfId="2" applyNumberFormat="1" applyFont="1" applyFill="1" applyBorder="1" applyAlignment="1">
      <alignment horizontal="center" vertical="center"/>
    </xf>
    <xf numFmtId="9" fontId="2" fillId="29" borderId="0" xfId="19" applyFont="1" applyFill="1"/>
    <xf numFmtId="167" fontId="2" fillId="29" borderId="0" xfId="1" applyFont="1" applyFill="1"/>
    <xf numFmtId="177" fontId="2" fillId="29" borderId="0" xfId="2" applyNumberFormat="1" applyFill="1"/>
    <xf numFmtId="167" fontId="4" fillId="0" borderId="0" xfId="1" applyFont="1" applyBorder="1"/>
    <xf numFmtId="14" fontId="3" fillId="5" borderId="12" xfId="0" applyNumberFormat="1" applyFont="1" applyFill="1" applyBorder="1" applyAlignment="1">
      <alignment horizontal="center" vertical="center" wrapText="1"/>
    </xf>
    <xf numFmtId="167" fontId="3" fillId="10" borderId="12" xfId="1" applyFont="1" applyFill="1" applyBorder="1" applyAlignment="1">
      <alignment horizontal="center"/>
    </xf>
    <xf numFmtId="167" fontId="4" fillId="8" borderId="12" xfId="2" applyFont="1" applyFill="1" applyBorder="1" applyAlignment="1">
      <alignment horizontal="center"/>
    </xf>
    <xf numFmtId="167" fontId="4" fillId="2" borderId="12" xfId="2" applyFont="1" applyFill="1" applyBorder="1" applyAlignment="1">
      <alignment horizontal="center"/>
    </xf>
    <xf numFmtId="167" fontId="4" fillId="5" borderId="13" xfId="2" applyFont="1" applyFill="1" applyBorder="1"/>
    <xf numFmtId="167" fontId="2" fillId="14" borderId="12" xfId="2" applyFont="1" applyFill="1" applyBorder="1"/>
    <xf numFmtId="167" fontId="4" fillId="9" borderId="13" xfId="2" applyFont="1" applyFill="1" applyBorder="1"/>
    <xf numFmtId="167" fontId="4" fillId="0" borderId="12" xfId="2" applyFont="1" applyBorder="1"/>
    <xf numFmtId="167" fontId="4" fillId="2" borderId="12" xfId="2" applyFont="1" applyFill="1" applyBorder="1"/>
    <xf numFmtId="167" fontId="4" fillId="5" borderId="12" xfId="2" applyFont="1" applyFill="1" applyBorder="1"/>
    <xf numFmtId="167" fontId="13" fillId="10" borderId="18" xfId="2" applyFont="1" applyFill="1" applyBorder="1" applyAlignment="1">
      <alignment horizontal="center" vertical="center"/>
    </xf>
    <xf numFmtId="167" fontId="2" fillId="0" borderId="12" xfId="6" applyNumberFormat="1" applyFont="1" applyFill="1" applyBorder="1" applyAlignment="1"/>
    <xf numFmtId="0" fontId="40" fillId="0" borderId="0" xfId="0" applyFont="1"/>
    <xf numFmtId="165" fontId="40" fillId="0" borderId="0" xfId="0" applyNumberFormat="1" applyFont="1"/>
    <xf numFmtId="4" fontId="40" fillId="0" borderId="0" xfId="0" applyNumberFormat="1" applyFont="1"/>
    <xf numFmtId="49" fontId="3" fillId="3" borderId="16" xfId="3" applyNumberFormat="1" applyFont="1" applyFill="1" applyBorder="1" applyAlignment="1">
      <alignment horizontal="center" vertical="center" wrapText="1"/>
    </xf>
    <xf numFmtId="49" fontId="3" fillId="4" borderId="17" xfId="3" applyNumberFormat="1" applyFont="1" applyFill="1" applyBorder="1" applyAlignment="1">
      <alignment horizontal="center" vertical="center" wrapText="1"/>
    </xf>
    <xf numFmtId="9" fontId="4" fillId="0" borderId="0" xfId="19" applyFont="1"/>
    <xf numFmtId="10" fontId="4" fillId="0" borderId="0" xfId="0" applyNumberFormat="1" applyFont="1"/>
    <xf numFmtId="43" fontId="4" fillId="9" borderId="13" xfId="2" applyNumberFormat="1" applyFont="1" applyFill="1" applyBorder="1"/>
    <xf numFmtId="173" fontId="27" fillId="0" borderId="0" xfId="20" applyNumberFormat="1" applyFont="1" applyFill="1"/>
    <xf numFmtId="0" fontId="0" fillId="0" borderId="31" xfId="0" applyFill="1" applyBorder="1"/>
    <xf numFmtId="0" fontId="0" fillId="0" borderId="49" xfId="0" applyFill="1" applyBorder="1"/>
    <xf numFmtId="167" fontId="31" fillId="0" borderId="49" xfId="20" applyNumberFormat="1" applyFont="1" applyFill="1" applyBorder="1"/>
    <xf numFmtId="0" fontId="30" fillId="0" borderId="0" xfId="20" applyFont="1" applyFill="1" applyAlignment="1">
      <alignment wrapText="1"/>
    </xf>
    <xf numFmtId="180" fontId="30" fillId="0" borderId="0" xfId="20" applyNumberFormat="1" applyFont="1" applyFill="1" applyAlignment="1">
      <alignment vertical="center"/>
    </xf>
    <xf numFmtId="167" fontId="1" fillId="0" borderId="0" xfId="1" applyFont="1" applyFill="1"/>
    <xf numFmtId="43" fontId="41" fillId="0" borderId="0" xfId="0" applyNumberFormat="1" applyFont="1" applyFill="1"/>
    <xf numFmtId="168" fontId="2" fillId="0" borderId="7" xfId="1" applyNumberFormat="1" applyFont="1" applyBorder="1"/>
    <xf numFmtId="170" fontId="0" fillId="0" borderId="8" xfId="0" applyNumberFormat="1" applyFont="1" applyBorder="1" applyAlignment="1">
      <alignment horizontal="left" indent="1"/>
    </xf>
    <xf numFmtId="0" fontId="0" fillId="30" borderId="33" xfId="0" applyFill="1" applyBorder="1"/>
    <xf numFmtId="0" fontId="0" fillId="30" borderId="0" xfId="0" applyFill="1" applyBorder="1"/>
    <xf numFmtId="0" fontId="30" fillId="30" borderId="0" xfId="20" applyFont="1" applyFill="1" applyBorder="1"/>
    <xf numFmtId="167" fontId="31" fillId="30" borderId="0" xfId="20" applyNumberFormat="1" applyFont="1" applyFill="1" applyBorder="1"/>
    <xf numFmtId="0" fontId="31" fillId="30" borderId="0" xfId="20" applyFont="1" applyFill="1" applyBorder="1" applyAlignment="1">
      <alignment horizontal="center" vertical="center"/>
    </xf>
    <xf numFmtId="9" fontId="30" fillId="30" borderId="0" xfId="20" applyNumberFormat="1" applyFont="1" applyFill="1" applyBorder="1" applyAlignment="1">
      <alignment vertical="center"/>
    </xf>
    <xf numFmtId="9" fontId="0" fillId="30" borderId="0" xfId="19" applyFont="1" applyFill="1"/>
    <xf numFmtId="9" fontId="30" fillId="30" borderId="0" xfId="20" applyNumberFormat="1" applyFont="1" applyFill="1" applyBorder="1"/>
    <xf numFmtId="173" fontId="30" fillId="30" borderId="0" xfId="20" applyNumberFormat="1" applyFont="1" applyFill="1" applyBorder="1"/>
    <xf numFmtId="167" fontId="30" fillId="30" borderId="0" xfId="20" applyNumberFormat="1" applyFont="1" applyFill="1" applyBorder="1"/>
    <xf numFmtId="167" fontId="30" fillId="30" borderId="0" xfId="1" applyFont="1" applyFill="1" applyBorder="1"/>
    <xf numFmtId="43" fontId="0" fillId="30" borderId="0" xfId="0" applyNumberFormat="1" applyFill="1"/>
    <xf numFmtId="0" fontId="0" fillId="30" borderId="0" xfId="0" applyFill="1"/>
    <xf numFmtId="9" fontId="30" fillId="30" borderId="0" xfId="19" applyFont="1" applyFill="1" applyBorder="1" applyAlignment="1">
      <alignment vertical="center"/>
    </xf>
    <xf numFmtId="0" fontId="30" fillId="30" borderId="0" xfId="20" applyFont="1" applyFill="1"/>
    <xf numFmtId="167" fontId="30" fillId="30" borderId="0" xfId="20" applyNumberFormat="1" applyFont="1" applyFill="1"/>
    <xf numFmtId="174" fontId="30" fillId="30" borderId="0" xfId="20" applyNumberFormat="1" applyFont="1" applyFill="1" applyAlignment="1">
      <alignment vertical="center"/>
    </xf>
    <xf numFmtId="9" fontId="30" fillId="30" borderId="0" xfId="20" applyNumberFormat="1" applyFont="1" applyFill="1" applyAlignment="1">
      <alignment vertical="center"/>
    </xf>
    <xf numFmtId="173" fontId="30" fillId="30" borderId="0" xfId="20" applyNumberFormat="1" applyFont="1" applyFill="1"/>
    <xf numFmtId="167" fontId="30" fillId="30" borderId="0" xfId="1" applyFont="1" applyFill="1"/>
    <xf numFmtId="167" fontId="0" fillId="30" borderId="0" xfId="1" applyFont="1" applyFill="1"/>
    <xf numFmtId="167" fontId="30" fillId="30" borderId="0" xfId="20" applyNumberFormat="1" applyFont="1" applyFill="1" applyAlignment="1">
      <alignment horizontal="center" vertical="center"/>
    </xf>
    <xf numFmtId="0" fontId="30" fillId="30" borderId="0" xfId="20" applyFont="1" applyFill="1" applyAlignment="1">
      <alignment horizontal="center" vertical="center"/>
    </xf>
    <xf numFmtId="0" fontId="30" fillId="30" borderId="0" xfId="20" applyFont="1" applyFill="1" applyAlignment="1">
      <alignment vertical="center"/>
    </xf>
    <xf numFmtId="9" fontId="30" fillId="30" borderId="0" xfId="20" applyNumberFormat="1" applyFont="1" applyFill="1"/>
    <xf numFmtId="167" fontId="30" fillId="14" borderId="0" xfId="1" applyFont="1" applyFill="1"/>
    <xf numFmtId="167" fontId="30" fillId="19" borderId="0" xfId="1" applyFont="1" applyFill="1"/>
    <xf numFmtId="167" fontId="30" fillId="31" borderId="0" xfId="1" applyFont="1" applyFill="1"/>
    <xf numFmtId="167" fontId="0" fillId="32" borderId="0" xfId="1" applyFont="1" applyFill="1"/>
    <xf numFmtId="0" fontId="0" fillId="29" borderId="0" xfId="0" applyFill="1"/>
    <xf numFmtId="0" fontId="30" fillId="29" borderId="0" xfId="0" applyFont="1" applyFill="1"/>
    <xf numFmtId="0" fontId="30" fillId="29" borderId="0" xfId="20" applyFont="1" applyFill="1"/>
    <xf numFmtId="167" fontId="30" fillId="29" borderId="0" xfId="20" applyNumberFormat="1" applyFont="1" applyFill="1"/>
    <xf numFmtId="9" fontId="30" fillId="29" borderId="0" xfId="20" applyNumberFormat="1" applyFont="1" applyFill="1" applyAlignment="1">
      <alignment vertical="center"/>
    </xf>
    <xf numFmtId="9" fontId="30" fillId="29" borderId="0" xfId="19" applyFont="1" applyFill="1" applyAlignment="1">
      <alignment vertical="center"/>
    </xf>
    <xf numFmtId="180" fontId="30" fillId="29" borderId="0" xfId="20" applyNumberFormat="1" applyFont="1" applyFill="1" applyAlignment="1">
      <alignment vertical="center"/>
    </xf>
    <xf numFmtId="9" fontId="30" fillId="29" borderId="0" xfId="20" applyNumberFormat="1" applyFont="1" applyFill="1" applyBorder="1"/>
    <xf numFmtId="173" fontId="30" fillId="29" borderId="0" xfId="20" applyNumberFormat="1" applyFont="1" applyFill="1"/>
    <xf numFmtId="167" fontId="30" fillId="29" borderId="0" xfId="1" applyFont="1" applyFill="1"/>
    <xf numFmtId="173" fontId="30" fillId="29" borderId="0" xfId="20" applyNumberFormat="1" applyFont="1" applyFill="1" applyBorder="1"/>
    <xf numFmtId="43" fontId="0" fillId="29" borderId="0" xfId="0" applyNumberFormat="1" applyFill="1"/>
    <xf numFmtId="0" fontId="0" fillId="29" borderId="0" xfId="0" applyFont="1" applyFill="1"/>
    <xf numFmtId="167" fontId="27" fillId="29" borderId="0" xfId="1" applyFont="1" applyFill="1"/>
    <xf numFmtId="0" fontId="2" fillId="0" borderId="0" xfId="4" applyFont="1" applyAlignment="1">
      <alignment horizontal="left" wrapText="1"/>
    </xf>
    <xf numFmtId="169" fontId="4" fillId="7" borderId="12" xfId="2" applyNumberFormat="1" applyFont="1" applyFill="1" applyBorder="1" applyAlignment="1">
      <alignment horizontal="center" vertical="top" wrapText="1"/>
    </xf>
    <xf numFmtId="168" fontId="6" fillId="2" borderId="12" xfId="3" applyNumberFormat="1" applyFont="1" applyFill="1" applyBorder="1" applyAlignment="1">
      <alignment horizontal="center" vertical="center" wrapText="1"/>
    </xf>
    <xf numFmtId="0" fontId="4" fillId="7" borderId="12" xfId="4" applyFont="1" applyFill="1" applyBorder="1" applyAlignment="1">
      <alignment horizontal="center" vertical="top" wrapText="1"/>
    </xf>
    <xf numFmtId="49" fontId="4" fillId="7" borderId="46" xfId="0" applyNumberFormat="1" applyFont="1" applyFill="1" applyBorder="1" applyAlignment="1">
      <alignment horizontal="center" vertical="center" wrapText="1"/>
    </xf>
    <xf numFmtId="49" fontId="4" fillId="7" borderId="17" xfId="0" applyNumberFormat="1" applyFont="1" applyFill="1" applyBorder="1" applyAlignment="1">
      <alignment horizontal="center" vertical="center" wrapText="1"/>
    </xf>
    <xf numFmtId="167" fontId="3" fillId="5" borderId="14" xfId="0" applyNumberFormat="1" applyFont="1" applyFill="1" applyBorder="1" applyAlignment="1">
      <alignment horizontal="center" vertical="center" wrapText="1"/>
    </xf>
    <xf numFmtId="167" fontId="3" fillId="5" borderId="15" xfId="0" applyNumberFormat="1" applyFont="1" applyFill="1" applyBorder="1" applyAlignment="1">
      <alignment horizontal="center" vertical="center" wrapText="1"/>
    </xf>
    <xf numFmtId="167" fontId="3" fillId="5" borderId="13" xfId="0" applyNumberFormat="1" applyFont="1" applyFill="1" applyBorder="1" applyAlignment="1">
      <alignment horizontal="center" vertical="center" wrapText="1"/>
    </xf>
    <xf numFmtId="4" fontId="3" fillId="5" borderId="12" xfId="0" applyNumberFormat="1" applyFont="1" applyFill="1" applyBorder="1" applyAlignment="1">
      <alignment horizontal="center" vertical="center" wrapText="1"/>
    </xf>
    <xf numFmtId="169" fontId="4" fillId="7" borderId="12" xfId="2" applyNumberFormat="1" applyFont="1" applyFill="1" applyBorder="1" applyAlignment="1">
      <alignment horizontal="center" vertical="center" wrapText="1"/>
    </xf>
    <xf numFmtId="49" fontId="3" fillId="7" borderId="12" xfId="0" applyNumberFormat="1" applyFont="1" applyFill="1" applyBorder="1" applyAlignment="1">
      <alignment horizontal="center" vertical="center" wrapText="1"/>
    </xf>
    <xf numFmtId="0" fontId="4" fillId="7" borderId="12" xfId="4" applyFont="1" applyFill="1" applyBorder="1" applyAlignment="1">
      <alignment horizontal="center" vertical="center" wrapText="1"/>
    </xf>
    <xf numFmtId="49" fontId="3" fillId="5" borderId="14" xfId="0" applyNumberFormat="1" applyFont="1" applyFill="1" applyBorder="1" applyAlignment="1">
      <alignment horizontal="center" vertical="center" wrapText="1"/>
    </xf>
    <xf numFmtId="49" fontId="3" fillId="5" borderId="15" xfId="0" applyNumberFormat="1" applyFont="1" applyFill="1" applyBorder="1" applyAlignment="1">
      <alignment horizontal="center" vertical="center" wrapText="1"/>
    </xf>
    <xf numFmtId="0" fontId="16" fillId="7" borderId="20" xfId="0" applyFont="1" applyFill="1" applyBorder="1" applyAlignment="1">
      <alignment horizontal="center" vertical="center" wrapText="1"/>
    </xf>
    <xf numFmtId="0" fontId="16" fillId="7" borderId="21" xfId="0" applyFont="1" applyFill="1" applyBorder="1" applyAlignment="1">
      <alignment horizontal="center" vertical="center"/>
    </xf>
    <xf numFmtId="0" fontId="18" fillId="7" borderId="40" xfId="0" applyFont="1" applyFill="1" applyBorder="1" applyAlignment="1">
      <alignment vertical="center" wrapText="1"/>
    </xf>
    <xf numFmtId="0" fontId="0" fillId="7" borderId="44" xfId="0" applyFill="1" applyBorder="1" applyAlignment="1"/>
    <xf numFmtId="0" fontId="0" fillId="7" borderId="45" xfId="0" applyFill="1" applyBorder="1" applyAlignment="1"/>
    <xf numFmtId="49" fontId="3" fillId="0" borderId="51"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0" fontId="4" fillId="7" borderId="30" xfId="0" applyFont="1" applyFill="1" applyBorder="1" applyAlignment="1">
      <alignment horizontal="center" vertical="center" wrapText="1"/>
    </xf>
    <xf numFmtId="0" fontId="22" fillId="0" borderId="39" xfId="0" applyFont="1" applyBorder="1" applyAlignment="1">
      <alignment horizontal="center" vertical="center"/>
    </xf>
    <xf numFmtId="0" fontId="4" fillId="0" borderId="33" xfId="5" applyFont="1" applyBorder="1"/>
    <xf numFmtId="0" fontId="4" fillId="0" borderId="34" xfId="5" applyFont="1" applyBorder="1"/>
    <xf numFmtId="0" fontId="4" fillId="0" borderId="31" xfId="5" applyFont="1" applyFill="1" applyBorder="1" applyAlignment="1"/>
    <xf numFmtId="0" fontId="4" fillId="0" borderId="32" xfId="5" applyFont="1" applyFill="1" applyBorder="1" applyAlignment="1"/>
    <xf numFmtId="0" fontId="19" fillId="0" borderId="9" xfId="5" applyFont="1" applyFill="1" applyBorder="1" applyAlignment="1">
      <alignment horizontal="center"/>
    </xf>
    <xf numFmtId="0" fontId="19" fillId="0" borderId="11" xfId="5" applyFont="1" applyFill="1" applyBorder="1" applyAlignment="1">
      <alignment horizontal="center"/>
    </xf>
    <xf numFmtId="0" fontId="4" fillId="7" borderId="14" xfId="5" applyFont="1" applyFill="1" applyBorder="1" applyAlignment="1">
      <alignment wrapText="1"/>
    </xf>
    <xf numFmtId="0" fontId="4" fillId="7" borderId="13" xfId="5" applyFont="1" applyFill="1" applyBorder="1" applyAlignment="1">
      <alignment wrapText="1"/>
    </xf>
    <xf numFmtId="0" fontId="4" fillId="7" borderId="12" xfId="5" applyFont="1" applyFill="1" applyBorder="1" applyAlignment="1">
      <alignment vertical="center" wrapText="1"/>
    </xf>
    <xf numFmtId="0" fontId="2" fillId="7" borderId="12" xfId="5" applyFill="1" applyBorder="1" applyAlignment="1">
      <alignment vertical="center" wrapText="1"/>
    </xf>
    <xf numFmtId="0" fontId="37" fillId="28" borderId="0" xfId="0" applyFont="1" applyFill="1" applyAlignment="1">
      <alignment horizontal="center"/>
    </xf>
    <xf numFmtId="0" fontId="0" fillId="28" borderId="0" xfId="0" applyFill="1" applyAlignment="1">
      <alignment horizontal="center"/>
    </xf>
    <xf numFmtId="167" fontId="0" fillId="28" borderId="0" xfId="1" applyFont="1" applyFill="1" applyAlignment="1">
      <alignment horizontal="center"/>
    </xf>
    <xf numFmtId="0" fontId="26" fillId="27" borderId="0" xfId="0" applyFont="1" applyFill="1" applyAlignment="1">
      <alignment horizontal="left"/>
    </xf>
    <xf numFmtId="0" fontId="0" fillId="24" borderId="14" xfId="0" applyFill="1" applyBorder="1" applyAlignment="1">
      <alignment horizontal="center" vertical="center" wrapText="1"/>
    </xf>
    <xf numFmtId="0" fontId="0" fillId="24" borderId="15" xfId="0" applyFill="1" applyBorder="1" applyAlignment="1">
      <alignment horizontal="center" vertical="center" wrapText="1"/>
    </xf>
    <xf numFmtId="0" fontId="0" fillId="24" borderId="13" xfId="0" applyFill="1" applyBorder="1" applyAlignment="1">
      <alignment horizontal="center" vertical="center" wrapText="1"/>
    </xf>
    <xf numFmtId="0" fontId="26" fillId="20" borderId="0" xfId="0" applyFont="1" applyFill="1" applyAlignment="1">
      <alignment horizontal="left"/>
    </xf>
  </cellXfs>
  <cellStyles count="287">
    <cellStyle name="Bueno" xfId="20" builtinId="26"/>
    <cellStyle name="Comma 2" xfId="9"/>
    <cellStyle name="Comma 2 2" xfId="17"/>
    <cellStyle name="Comma 2 2 2" xfId="27"/>
    <cellStyle name="Comma 2 3" xfId="23"/>
    <cellStyle name="Comma 3" xfId="10"/>
    <cellStyle name="Comma 4" xfId="8"/>
    <cellStyle name="Comma 4 2" xfId="16"/>
    <cellStyle name="Comma 4 2 2" xfId="26"/>
    <cellStyle name="Comma 4 3" xfId="22"/>
    <cellStyle name="Comma 5" xfId="14"/>
    <cellStyle name="Comma_Formatos Nuevos 6ta Desemb. MCA Oct-Dic 10_09_07" xfId="2"/>
    <cellStyle name="Currency 2" xfId="11"/>
    <cellStyle name="Currency 2 2" xfId="18"/>
    <cellStyle name="Currency 2 2 2" xfId="28"/>
    <cellStyle name="Currency 2 3" xfId="24"/>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Millares" xfId="1" builtinId="3"/>
    <cellStyle name="Millares 5" xfId="3"/>
    <cellStyle name="Moneda" xfId="12" builtinId="4"/>
    <cellStyle name="Moneda 4" xfId="6"/>
    <cellStyle name="Normal" xfId="0" builtinId="0"/>
    <cellStyle name="Normal 2" xfId="4"/>
    <cellStyle name="Normal 2 2" xfId="5"/>
    <cellStyle name="Normal 3" xfId="7"/>
    <cellStyle name="Normal 3 2" xfId="15"/>
    <cellStyle name="Normal 3 2 2" xfId="25"/>
    <cellStyle name="Normal 3 3" xfId="21"/>
    <cellStyle name="Normal 4" xfId="13"/>
    <cellStyle name="Porcentaje" xfId="19" builtinId="5"/>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QDRP%20Guatemala_Q6%20Draft%20_DA%20Ed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FP-Com"/>
      <sheetName val="DFP-CASH"/>
      <sheetName val="QFR - A"/>
      <sheetName val="QFR - B"/>
      <sheetName val="THP DR"/>
      <sheetName val="Contract level"/>
      <sheetName val="Error checks"/>
      <sheetName val="Historico"/>
    </sheetNames>
    <sheetDataSet>
      <sheetData sheetId="0"/>
      <sheetData sheetId="1"/>
      <sheetData sheetId="2"/>
      <sheetData sheetId="3">
        <row r="34">
          <cell r="G34">
            <v>1800000</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N84"/>
  <sheetViews>
    <sheetView showGridLines="0" topLeftCell="B17" zoomScale="125" zoomScaleNormal="125" zoomScaleSheetLayoutView="70" zoomScalePageLayoutView="125" workbookViewId="0">
      <selection activeCell="C52" sqref="C52"/>
    </sheetView>
  </sheetViews>
  <sheetFormatPr baseColWidth="10" defaultColWidth="0" defaultRowHeight="12.75" outlineLevelRow="1" outlineLevelCol="1"/>
  <cols>
    <col min="1" max="1" width="9.140625" style="1" hidden="1" customWidth="1" outlineLevel="1"/>
    <col min="2" max="2" width="50.42578125" style="1" customWidth="1" collapsed="1"/>
    <col min="3" max="3" width="17.42578125" style="65" customWidth="1" outlineLevel="1"/>
    <col min="4" max="4" width="17.42578125" style="1" customWidth="1"/>
    <col min="5" max="7" width="14.28515625" style="254" customWidth="1" outlineLevel="1"/>
    <col min="8" max="8" width="17.42578125" style="1" hidden="1" customWidth="1"/>
    <col min="9" max="10" width="17.42578125" style="1" customWidth="1"/>
    <col min="11" max="11" width="17.42578125" style="6" customWidth="1"/>
    <col min="12" max="12" width="28.7109375" style="184" customWidth="1"/>
    <col min="13" max="13" width="17.7109375" style="7" customWidth="1"/>
    <col min="14" max="16384" width="0" style="1" hidden="1"/>
  </cols>
  <sheetData>
    <row r="1" spans="1:14" ht="13.5" outlineLevel="1" thickBot="1">
      <c r="B1" s="2" t="s">
        <v>0</v>
      </c>
      <c r="C1" s="3"/>
      <c r="D1" s="4"/>
      <c r="E1" s="245"/>
      <c r="F1" s="245"/>
      <c r="G1" s="245"/>
    </row>
    <row r="2" spans="1:14" ht="13.5" outlineLevel="1" thickBot="1">
      <c r="B2" s="8"/>
      <c r="C2" s="3"/>
      <c r="D2" s="4"/>
      <c r="E2" s="245"/>
      <c r="F2" s="245"/>
      <c r="G2" s="245"/>
      <c r="L2" s="185"/>
    </row>
    <row r="3" spans="1:14" ht="12.75" customHeight="1" outlineLevel="1">
      <c r="B3" s="11" t="s">
        <v>1</v>
      </c>
      <c r="C3" s="12"/>
      <c r="D3" s="13" t="s">
        <v>61</v>
      </c>
      <c r="E3" s="246"/>
      <c r="F3" s="246"/>
      <c r="G3" s="246"/>
    </row>
    <row r="4" spans="1:14" ht="12.75" customHeight="1" outlineLevel="1">
      <c r="B4" s="14" t="s">
        <v>2</v>
      </c>
      <c r="C4" s="15"/>
      <c r="D4" s="16" t="s">
        <v>62</v>
      </c>
      <c r="E4" s="246"/>
      <c r="F4" s="246"/>
      <c r="G4" s="246"/>
    </row>
    <row r="5" spans="1:14" ht="12.75" customHeight="1" outlineLevel="1">
      <c r="B5" s="17" t="s">
        <v>3</v>
      </c>
      <c r="C5" s="15"/>
      <c r="D5" s="16" t="str">
        <f>'THP DR'!B7</f>
        <v>TR14GTM15001</v>
      </c>
      <c r="E5" s="246"/>
      <c r="F5" s="246"/>
      <c r="G5" s="246"/>
    </row>
    <row r="6" spans="1:14" ht="12.75" customHeight="1" outlineLevel="1">
      <c r="B6" s="14" t="s">
        <v>4</v>
      </c>
      <c r="C6" s="15"/>
      <c r="D6" s="291">
        <v>44361</v>
      </c>
      <c r="E6" s="246"/>
      <c r="F6" s="246"/>
      <c r="G6" s="246"/>
      <c r="L6" s="186"/>
    </row>
    <row r="7" spans="1:14" ht="13.5" customHeight="1" outlineLevel="1" thickBot="1">
      <c r="B7" s="18" t="s">
        <v>5</v>
      </c>
      <c r="C7" s="19"/>
      <c r="D7" s="183">
        <v>21</v>
      </c>
      <c r="E7" s="246"/>
      <c r="F7" s="246"/>
      <c r="G7" s="246"/>
    </row>
    <row r="8" spans="1:14" s="25" customFormat="1" ht="13.5" customHeight="1" outlineLevel="1">
      <c r="B8" s="26"/>
      <c r="C8" s="27"/>
      <c r="D8" s="28"/>
      <c r="E8" s="249"/>
      <c r="F8" s="249"/>
      <c r="G8" s="249"/>
      <c r="K8" s="24"/>
      <c r="L8" s="184"/>
      <c r="M8" s="7"/>
    </row>
    <row r="9" spans="1:14" ht="11.25" customHeight="1" outlineLevel="1">
      <c r="A9" s="5"/>
      <c r="B9" s="552" t="s">
        <v>6</v>
      </c>
      <c r="C9" s="29" t="s">
        <v>7</v>
      </c>
      <c r="D9" s="30" t="s">
        <v>8</v>
      </c>
      <c r="E9" s="559" t="s">
        <v>9</v>
      </c>
      <c r="F9" s="559"/>
      <c r="G9" s="559"/>
      <c r="H9" s="220"/>
      <c r="I9" s="220"/>
      <c r="J9" s="220"/>
      <c r="K9" s="31" t="s">
        <v>10</v>
      </c>
      <c r="L9" s="187" t="s">
        <v>10</v>
      </c>
      <c r="M9" s="31" t="s">
        <v>11</v>
      </c>
    </row>
    <row r="10" spans="1:14" s="37" customFormat="1" ht="72.75" customHeight="1">
      <c r="A10" s="5"/>
      <c r="B10" s="552"/>
      <c r="C10" s="33" t="s">
        <v>197</v>
      </c>
      <c r="D10" s="34" t="s">
        <v>228</v>
      </c>
      <c r="E10" s="556" t="str">
        <f>"Grant Quarter #"&amp;$D$7</f>
        <v>Grant Quarter #21</v>
      </c>
      <c r="F10" s="557"/>
      <c r="G10" s="558"/>
      <c r="H10" s="346" t="s">
        <v>268</v>
      </c>
      <c r="I10" s="451" t="s">
        <v>269</v>
      </c>
      <c r="J10" s="451" t="s">
        <v>270</v>
      </c>
      <c r="K10" s="554" t="s">
        <v>12</v>
      </c>
      <c r="L10" s="553" t="s">
        <v>112</v>
      </c>
      <c r="M10" s="551" t="s">
        <v>13</v>
      </c>
      <c r="N10" s="36"/>
    </row>
    <row r="11" spans="1:14" s="37" customFormat="1" ht="25.5">
      <c r="A11" s="5"/>
      <c r="B11" s="38" t="s">
        <v>14</v>
      </c>
      <c r="C11" s="39" t="s">
        <v>278</v>
      </c>
      <c r="D11" s="40" t="s">
        <v>326</v>
      </c>
      <c r="E11" s="477" t="s">
        <v>279</v>
      </c>
      <c r="F11" s="477" t="s">
        <v>280</v>
      </c>
      <c r="G11" s="477" t="s">
        <v>281</v>
      </c>
      <c r="H11" s="346" t="s">
        <v>249</v>
      </c>
      <c r="I11" s="449" t="s">
        <v>271</v>
      </c>
      <c r="J11" s="449" t="s">
        <v>273</v>
      </c>
      <c r="K11" s="555"/>
      <c r="L11" s="553"/>
      <c r="M11" s="551"/>
      <c r="N11" s="36"/>
    </row>
    <row r="12" spans="1:14" customFormat="1" ht="15">
      <c r="B12" s="182" t="s">
        <v>83</v>
      </c>
      <c r="C12" s="182" t="s">
        <v>84</v>
      </c>
      <c r="D12" s="182" t="s">
        <v>85</v>
      </c>
      <c r="E12" s="478" t="s">
        <v>86</v>
      </c>
      <c r="F12" s="478" t="s">
        <v>87</v>
      </c>
      <c r="G12" s="244" t="s">
        <v>88</v>
      </c>
      <c r="H12" s="250" t="s">
        <v>248</v>
      </c>
      <c r="I12" s="250"/>
      <c r="J12" s="250"/>
      <c r="K12" s="182" t="s">
        <v>89</v>
      </c>
      <c r="L12" s="188" t="s">
        <v>90</v>
      </c>
      <c r="M12" s="182" t="s">
        <v>91</v>
      </c>
    </row>
    <row r="13" spans="1:14" s="37" customFormat="1">
      <c r="A13" s="5"/>
      <c r="B13" s="42"/>
      <c r="C13" s="43"/>
      <c r="D13" s="42"/>
      <c r="E13" s="251"/>
      <c r="F13" s="251"/>
      <c r="G13" s="251"/>
      <c r="H13" s="42"/>
      <c r="I13" s="42"/>
      <c r="J13" s="42"/>
      <c r="K13" s="42"/>
      <c r="L13" s="42"/>
      <c r="M13" s="42"/>
      <c r="N13" s="36"/>
    </row>
    <row r="14" spans="1:14" s="37" customFormat="1">
      <c r="A14" s="5"/>
      <c r="B14" s="44" t="s">
        <v>65</v>
      </c>
      <c r="C14" s="45"/>
      <c r="D14" s="46"/>
      <c r="E14" s="252"/>
      <c r="F14" s="252"/>
      <c r="G14" s="252"/>
      <c r="H14" s="46"/>
      <c r="I14" s="46"/>
      <c r="J14" s="46"/>
      <c r="K14" s="47"/>
      <c r="L14" s="189"/>
      <c r="M14" s="47"/>
      <c r="N14" s="36"/>
    </row>
    <row r="15" spans="1:14" s="200" customFormat="1" outlineLevel="1">
      <c r="A15" s="197" t="str">
        <f>LEFT(B15,4)</f>
        <v xml:space="preserve">1.1 </v>
      </c>
      <c r="B15" s="49" t="s">
        <v>66</v>
      </c>
      <c r="C15" s="190">
        <f>+C16+C17+C18</f>
        <v>11984163.200000001</v>
      </c>
      <c r="D15" s="190">
        <f>+D16+D17+D18</f>
        <v>971794</v>
      </c>
      <c r="E15" s="190">
        <f t="shared" ref="E15:G15" si="0">SUM(E16:E18)</f>
        <v>0</v>
      </c>
      <c r="F15" s="190">
        <f t="shared" si="0"/>
        <v>200000</v>
      </c>
      <c r="G15" s="190">
        <f t="shared" si="0"/>
        <v>0</v>
      </c>
      <c r="H15" s="190">
        <f>+H16+H17+H18</f>
        <v>0</v>
      </c>
      <c r="I15" s="190">
        <f>+I16+I17+I18</f>
        <v>200000</v>
      </c>
      <c r="J15" s="190">
        <f>+J16+J17+J18</f>
        <v>0</v>
      </c>
      <c r="K15" s="190">
        <f>SUM(K16:K18)</f>
        <v>13155957.200000001</v>
      </c>
      <c r="L15" s="192">
        <f>'QFR - B'!M15</f>
        <v>13221955.41</v>
      </c>
      <c r="M15" s="270">
        <f>L15-K15</f>
        <v>65998.209999999031</v>
      </c>
      <c r="N15" s="199"/>
    </row>
    <row r="16" spans="1:14" s="200" customFormat="1" outlineLevel="1">
      <c r="A16" s="197" t="s">
        <v>122</v>
      </c>
      <c r="B16" s="194" t="s">
        <v>92</v>
      </c>
      <c r="C16" s="285">
        <v>7593016.0899999999</v>
      </c>
      <c r="D16" s="285">
        <v>0</v>
      </c>
      <c r="E16" s="285"/>
      <c r="F16" s="285"/>
      <c r="G16" s="285"/>
      <c r="H16" s="285">
        <f>SUMIF('Contract level'!$A:$A,"="&amp;'DFP-Com'!$A16,'Contract level'!BU:BU)</f>
        <v>0</v>
      </c>
      <c r="I16" s="285">
        <f>SUMIF('Contract level'!$A:$A,"="&amp;'DFP-Com'!$A16,'Contract level'!BV:BV)</f>
        <v>0</v>
      </c>
      <c r="J16" s="285">
        <f>SUMIF('Contract level'!$A:$A,"="&amp;'DFP-Com'!$A16,'Contract level'!BW:BW)</f>
        <v>0</v>
      </c>
      <c r="K16" s="285">
        <f>SUM(H16:J16)+D16+C16</f>
        <v>7593016.0899999999</v>
      </c>
      <c r="L16" s="196">
        <v>0</v>
      </c>
      <c r="M16" s="271"/>
      <c r="N16" s="199"/>
    </row>
    <row r="17" spans="1:14" s="200" customFormat="1" outlineLevel="1">
      <c r="A17" s="197" t="s">
        <v>123</v>
      </c>
      <c r="B17" s="194" t="s">
        <v>93</v>
      </c>
      <c r="C17" s="285">
        <v>4390617.6500000004</v>
      </c>
      <c r="D17" s="285">
        <v>920870</v>
      </c>
      <c r="E17" s="285">
        <v>0</v>
      </c>
      <c r="F17" s="285">
        <v>200000</v>
      </c>
      <c r="G17" s="285">
        <v>0</v>
      </c>
      <c r="H17" s="285">
        <v>0</v>
      </c>
      <c r="I17" s="285">
        <f>SUMIF('Contract level'!$A:$A,"="&amp;'DFP-Com'!$A17,'Contract level'!BV:BV)</f>
        <v>200000</v>
      </c>
      <c r="J17" s="285">
        <f>SUMIF('Contract level'!$A:$A,"="&amp;'DFP-Com'!$A17,'Contract level'!BW:BW)</f>
        <v>0</v>
      </c>
      <c r="K17" s="285">
        <f>SUM(H17:J17)+D17+C17</f>
        <v>5511487.6500000004</v>
      </c>
      <c r="L17" s="196">
        <v>0</v>
      </c>
      <c r="M17" s="271"/>
      <c r="N17" s="199"/>
    </row>
    <row r="18" spans="1:14" s="200" customFormat="1" outlineLevel="1">
      <c r="A18" s="197" t="s">
        <v>124</v>
      </c>
      <c r="B18" s="194" t="s">
        <v>100</v>
      </c>
      <c r="C18" s="285">
        <v>529.46</v>
      </c>
      <c r="D18" s="285">
        <f>47464+3460</f>
        <v>50924</v>
      </c>
      <c r="E18" s="285"/>
      <c r="F18" s="285"/>
      <c r="G18" s="285"/>
      <c r="H18" s="285">
        <v>0</v>
      </c>
      <c r="I18" s="285">
        <f>SUMIF('Contract level'!$A:$A,"="&amp;'DFP-Com'!$A18,'Contract level'!BV:BV)</f>
        <v>0</v>
      </c>
      <c r="J18" s="285">
        <f>SUMIF('Contract level'!$A:$A,"="&amp;'DFP-Com'!$A18,'Contract level'!BW:BW)</f>
        <v>0</v>
      </c>
      <c r="K18" s="285">
        <f>SUM(H18:J18)+D18+C18</f>
        <v>51453.46</v>
      </c>
      <c r="L18" s="196">
        <v>0</v>
      </c>
      <c r="M18" s="271"/>
      <c r="N18" s="199"/>
    </row>
    <row r="19" spans="1:14" s="200" customFormat="1" ht="12.95" customHeight="1" outlineLevel="1">
      <c r="A19" s="197" t="str">
        <f>LEFT(B19,4)</f>
        <v xml:space="preserve">1.2 </v>
      </c>
      <c r="B19" s="49" t="s">
        <v>67</v>
      </c>
      <c r="C19" s="190">
        <f>+C20</f>
        <v>4217885.6800000006</v>
      </c>
      <c r="D19" s="190">
        <f>+D20</f>
        <v>26375.64</v>
      </c>
      <c r="E19" s="190">
        <f>E20</f>
        <v>31285.86</v>
      </c>
      <c r="F19" s="190">
        <f t="shared" ref="F19:K19" si="1">F20</f>
        <v>0</v>
      </c>
      <c r="G19" s="190">
        <f t="shared" si="1"/>
        <v>0</v>
      </c>
      <c r="H19" s="190">
        <f t="shared" si="1"/>
        <v>0</v>
      </c>
      <c r="I19" s="190">
        <f t="shared" si="1"/>
        <v>31285.86</v>
      </c>
      <c r="J19" s="190">
        <f t="shared" si="1"/>
        <v>0</v>
      </c>
      <c r="K19" s="190">
        <f t="shared" si="1"/>
        <v>4275547.1800000006</v>
      </c>
      <c r="L19" s="192">
        <f>'QFR - B'!M16</f>
        <v>4279659.41</v>
      </c>
      <c r="M19" s="270">
        <f>L19-K19</f>
        <v>4112.2299999995157</v>
      </c>
      <c r="N19" s="199"/>
    </row>
    <row r="20" spans="1:14" s="200" customFormat="1" ht="12.95" customHeight="1" outlineLevel="1">
      <c r="A20" s="197" t="s">
        <v>125</v>
      </c>
      <c r="B20" s="194" t="s">
        <v>101</v>
      </c>
      <c r="C20" s="285">
        <v>4217885.6800000006</v>
      </c>
      <c r="D20" s="285">
        <v>26375.64</v>
      </c>
      <c r="E20" s="285">
        <v>31285.86</v>
      </c>
      <c r="F20" s="285"/>
      <c r="G20" s="285"/>
      <c r="H20" s="285">
        <v>0</v>
      </c>
      <c r="I20" s="285">
        <f>SUMIF('Contract level'!$A:$A,"="&amp;'DFP-Com'!$A20,'Contract level'!BV:BV)</f>
        <v>31285.86</v>
      </c>
      <c r="J20" s="285">
        <f>SUMIF('Contract level'!$A:$A,"="&amp;'DFP-Com'!$A20,'Contract level'!BW:BW)</f>
        <v>0</v>
      </c>
      <c r="K20" s="285">
        <f>SUM(H20:J20)+D20+C20</f>
        <v>4275547.1800000006</v>
      </c>
      <c r="L20" s="196">
        <v>0</v>
      </c>
      <c r="M20" s="271"/>
      <c r="N20" s="199"/>
    </row>
    <row r="21" spans="1:14" s="200" customFormat="1" outlineLevel="1">
      <c r="A21" s="197">
        <v>1.3</v>
      </c>
      <c r="B21" s="49" t="s">
        <v>68</v>
      </c>
      <c r="C21" s="190">
        <f>+C22+C23+C24</f>
        <v>3308240.5</v>
      </c>
      <c r="D21" s="190">
        <f>+D22+D23+D24</f>
        <v>15960</v>
      </c>
      <c r="E21" s="190">
        <f t="shared" ref="E21:G21" si="2">SUM(E22:E24)</f>
        <v>0</v>
      </c>
      <c r="F21" s="190">
        <f t="shared" si="2"/>
        <v>0</v>
      </c>
      <c r="G21" s="190">
        <f t="shared" si="2"/>
        <v>0</v>
      </c>
      <c r="H21" s="190">
        <f t="shared" ref="H21:J21" si="3">SUM(H22:H24)</f>
        <v>0</v>
      </c>
      <c r="I21" s="190">
        <f t="shared" si="3"/>
        <v>0</v>
      </c>
      <c r="J21" s="190">
        <f t="shared" si="3"/>
        <v>32522.113749999997</v>
      </c>
      <c r="K21" s="190">
        <f>SUM(K22:K24)</f>
        <v>3356722.61375</v>
      </c>
      <c r="L21" s="192">
        <f>'QFR - B'!M17</f>
        <v>3387959.57</v>
      </c>
      <c r="M21" s="270">
        <f>L21-K21</f>
        <v>31236.956249999814</v>
      </c>
      <c r="N21" s="199"/>
    </row>
    <row r="22" spans="1:14" s="200" customFormat="1" ht="12.95" customHeight="1" outlineLevel="1">
      <c r="A22" s="197" t="s">
        <v>126</v>
      </c>
      <c r="B22" s="194" t="s">
        <v>94</v>
      </c>
      <c r="C22" s="285">
        <v>2944197.1100000003</v>
      </c>
      <c r="D22" s="285">
        <v>0</v>
      </c>
      <c r="E22" s="285">
        <v>0</v>
      </c>
      <c r="F22" s="285">
        <v>0</v>
      </c>
      <c r="G22" s="285"/>
      <c r="H22" s="285">
        <f>SUMIF('Contract level'!$A:$A,"="&amp;'DFP-Com'!$A22,'Contract level'!BU:BU)</f>
        <v>0</v>
      </c>
      <c r="I22" s="285">
        <f>SUMIF('Contract level'!$A:$A,"="&amp;'DFP-Com'!$A22,'Contract level'!BV:BV)</f>
        <v>0</v>
      </c>
      <c r="J22" s="285">
        <f>SUMIF('Contract level'!$A:$A,"="&amp;'DFP-Com'!$A22,'Contract level'!BW:BW)</f>
        <v>0</v>
      </c>
      <c r="K22" s="285">
        <f>SUM(H22:J22)+D22+C22</f>
        <v>2944197.1100000003</v>
      </c>
      <c r="L22" s="196"/>
      <c r="M22" s="271"/>
      <c r="N22" s="199"/>
    </row>
    <row r="23" spans="1:14" s="200" customFormat="1" ht="12.95" customHeight="1" outlineLevel="1">
      <c r="A23" s="197" t="s">
        <v>127</v>
      </c>
      <c r="B23" s="194" t="s">
        <v>110</v>
      </c>
      <c r="C23" s="285">
        <v>361783.77999999997</v>
      </c>
      <c r="D23" s="285">
        <v>0</v>
      </c>
      <c r="E23" s="285">
        <v>0</v>
      </c>
      <c r="F23" s="285">
        <v>0</v>
      </c>
      <c r="G23" s="285"/>
      <c r="H23" s="285">
        <f>SUMIF('Contract level'!$A:$A,"="&amp;'DFP-Com'!$A23,'Contract level'!BU:BU)</f>
        <v>0</v>
      </c>
      <c r="I23" s="285">
        <f>SUMIF('Contract level'!$A:$A,"="&amp;'DFP-Com'!$A23,'Contract level'!BV:BV)</f>
        <v>0</v>
      </c>
      <c r="J23" s="285">
        <f>SUMIF('Contract level'!$A:$A,"="&amp;'DFP-Com'!$A23,'Contract level'!BW:BW)</f>
        <v>32522.113749999997</v>
      </c>
      <c r="K23" s="285">
        <f>SUM(H23:J23)+D23+C23</f>
        <v>394305.89374999999</v>
      </c>
      <c r="L23" s="196"/>
      <c r="M23" s="271"/>
      <c r="N23" s="199"/>
    </row>
    <row r="24" spans="1:14" s="200" customFormat="1" outlineLevel="1">
      <c r="A24" s="197" t="s">
        <v>128</v>
      </c>
      <c r="B24" s="194" t="s">
        <v>109</v>
      </c>
      <c r="C24" s="285">
        <v>2259.61</v>
      </c>
      <c r="D24" s="285">
        <v>15960</v>
      </c>
      <c r="E24" s="285">
        <v>0</v>
      </c>
      <c r="F24" s="285">
        <v>0</v>
      </c>
      <c r="G24" s="285">
        <v>0</v>
      </c>
      <c r="H24" s="285">
        <v>0</v>
      </c>
      <c r="I24" s="285">
        <f>SUMIF('Contract level'!$A:$A,"="&amp;'DFP-Com'!$A24,'Contract level'!BV:BV)</f>
        <v>0</v>
      </c>
      <c r="J24" s="285">
        <f>SUMIF('Contract level'!$A:$A,"="&amp;'DFP-Com'!$A24,'Contract level'!BW:BW)</f>
        <v>0</v>
      </c>
      <c r="K24" s="285">
        <f>SUM(H24:J24)+D24+C24</f>
        <v>18219.61</v>
      </c>
      <c r="L24" s="196"/>
      <c r="M24" s="271"/>
      <c r="N24" s="199"/>
    </row>
    <row r="25" spans="1:14" s="200" customFormat="1">
      <c r="A25" s="197" t="str">
        <f>LEFT(B25,4)</f>
        <v>TOTA</v>
      </c>
      <c r="B25" s="50" t="s">
        <v>59</v>
      </c>
      <c r="C25" s="191">
        <f>+C21+C19+C15</f>
        <v>19510289.380000003</v>
      </c>
      <c r="D25" s="191">
        <f>+D21+D19+D15</f>
        <v>1014129.64</v>
      </c>
      <c r="E25" s="191">
        <f t="shared" ref="E25:K25" si="4">E21+E19+E15</f>
        <v>31285.86</v>
      </c>
      <c r="F25" s="191">
        <f t="shared" si="4"/>
        <v>200000</v>
      </c>
      <c r="G25" s="191">
        <f t="shared" si="4"/>
        <v>0</v>
      </c>
      <c r="H25" s="191">
        <f t="shared" ref="H25:J25" si="5">H21+H19+H15</f>
        <v>0</v>
      </c>
      <c r="I25" s="191">
        <f t="shared" si="5"/>
        <v>231285.86</v>
      </c>
      <c r="J25" s="191">
        <f t="shared" si="5"/>
        <v>32522.113749999997</v>
      </c>
      <c r="K25" s="191">
        <f t="shared" si="4"/>
        <v>20788226.993750002</v>
      </c>
      <c r="L25" s="193">
        <f>L15+L19+L21</f>
        <v>20889574.390000001</v>
      </c>
      <c r="M25" s="272">
        <f>M15+M19+M21</f>
        <v>101347.39624999836</v>
      </c>
      <c r="N25" s="199"/>
    </row>
    <row r="26" spans="1:14" s="37" customFormat="1">
      <c r="A26" s="197" t="str">
        <f>LEFT(B26,4)</f>
        <v/>
      </c>
      <c r="B26" s="51"/>
      <c r="C26" s="259"/>
      <c r="D26" s="207"/>
      <c r="E26" s="207"/>
      <c r="F26" s="207"/>
      <c r="G26" s="207"/>
      <c r="H26" s="207"/>
      <c r="I26" s="207"/>
      <c r="J26" s="207"/>
      <c r="K26" s="207"/>
      <c r="L26" s="255"/>
      <c r="M26" s="273"/>
      <c r="N26" s="36"/>
    </row>
    <row r="27" spans="1:14" s="37" customFormat="1">
      <c r="A27" s="197" t="str">
        <f>LEFT(B27,4)</f>
        <v>2. R</v>
      </c>
      <c r="B27" s="44" t="s">
        <v>71</v>
      </c>
      <c r="C27" s="260"/>
      <c r="D27" s="208"/>
      <c r="E27" s="208"/>
      <c r="F27" s="208"/>
      <c r="G27" s="208"/>
      <c r="H27" s="208"/>
      <c r="I27" s="208"/>
      <c r="J27" s="208"/>
      <c r="K27" s="208"/>
      <c r="L27" s="256"/>
      <c r="M27" s="274"/>
      <c r="N27" s="36"/>
    </row>
    <row r="28" spans="1:14" s="37" customFormat="1" outlineLevel="1">
      <c r="A28" s="197">
        <v>2.1</v>
      </c>
      <c r="B28" s="49" t="s">
        <v>111</v>
      </c>
      <c r="C28" s="210">
        <f>+C29</f>
        <v>1323753.6400000001</v>
      </c>
      <c r="D28" s="210">
        <f>+D29</f>
        <v>0</v>
      </c>
      <c r="E28" s="210">
        <f t="shared" ref="E28:K28" si="6">SUM(E29:E29)</f>
        <v>0</v>
      </c>
      <c r="F28" s="210">
        <f t="shared" si="6"/>
        <v>37896.239999999998</v>
      </c>
      <c r="G28" s="210">
        <f t="shared" si="6"/>
        <v>0</v>
      </c>
      <c r="H28" s="210">
        <f t="shared" si="6"/>
        <v>0</v>
      </c>
      <c r="I28" s="210">
        <f t="shared" si="6"/>
        <v>37896.239999999998</v>
      </c>
      <c r="J28" s="210">
        <f t="shared" si="6"/>
        <v>0</v>
      </c>
      <c r="K28" s="210">
        <f t="shared" si="6"/>
        <v>1361649.8800000001</v>
      </c>
      <c r="L28" s="192">
        <f>'QFR - B'!M20</f>
        <v>1412145.29</v>
      </c>
      <c r="M28" s="270">
        <f>L28-K28</f>
        <v>50495.409999999916</v>
      </c>
      <c r="N28" s="36"/>
    </row>
    <row r="29" spans="1:14" s="200" customFormat="1" outlineLevel="1">
      <c r="A29" s="197" t="s">
        <v>129</v>
      </c>
      <c r="B29" s="194" t="s">
        <v>104</v>
      </c>
      <c r="C29" s="285">
        <v>1323753.6400000001</v>
      </c>
      <c r="D29" s="285">
        <v>0</v>
      </c>
      <c r="E29" s="285"/>
      <c r="F29" s="285">
        <v>37896.239999999998</v>
      </c>
      <c r="G29" s="285"/>
      <c r="H29" s="285">
        <f>SUMIF('Contract level'!$A:$A,"="&amp;'DFP-Com'!$A29,'Contract level'!BU:BU)</f>
        <v>0</v>
      </c>
      <c r="I29" s="285">
        <f>SUMIF('Contract level'!$A:$A,"="&amp;'DFP-Com'!$A29,'Contract level'!BV:BV)</f>
        <v>37896.239999999998</v>
      </c>
      <c r="J29" s="285">
        <f>SUMIF('Contract level'!$A:$A,"="&amp;'DFP-Com'!$A29,'Contract level'!BW:BW)</f>
        <v>0</v>
      </c>
      <c r="K29" s="285">
        <f>SUM(H29:J29)+D29+C29</f>
        <v>1361649.8800000001</v>
      </c>
      <c r="L29" s="196"/>
      <c r="M29" s="271"/>
      <c r="N29" s="199"/>
    </row>
    <row r="30" spans="1:14" s="37" customFormat="1" outlineLevel="1">
      <c r="A30" s="197">
        <v>2.2000000000000002</v>
      </c>
      <c r="B30" s="49" t="s">
        <v>75</v>
      </c>
      <c r="C30" s="190">
        <f>+C31+C32+C33</f>
        <v>1548175.27</v>
      </c>
      <c r="D30" s="190">
        <f>+D31+D32+D33</f>
        <v>0</v>
      </c>
      <c r="E30" s="190">
        <f t="shared" ref="E30:G30" si="7">SUM(E31:E33)</f>
        <v>0</v>
      </c>
      <c r="F30" s="190">
        <f t="shared" si="7"/>
        <v>0</v>
      </c>
      <c r="G30" s="190">
        <f t="shared" si="7"/>
        <v>0</v>
      </c>
      <c r="H30" s="190">
        <f t="shared" ref="H30:J30" si="8">SUM(H31:H33)</f>
        <v>0</v>
      </c>
      <c r="I30" s="190">
        <f t="shared" si="8"/>
        <v>0</v>
      </c>
      <c r="J30" s="190">
        <f t="shared" si="8"/>
        <v>0</v>
      </c>
      <c r="K30" s="190">
        <f>SUM(K31:K33)</f>
        <v>1548175.27</v>
      </c>
      <c r="L30" s="192">
        <f>'QFR - B'!M21</f>
        <v>1548175.27</v>
      </c>
      <c r="M30" s="270">
        <f>L30-K30</f>
        <v>0</v>
      </c>
      <c r="N30" s="36"/>
    </row>
    <row r="31" spans="1:14" s="200" customFormat="1" outlineLevel="1">
      <c r="A31" s="197" t="s">
        <v>130</v>
      </c>
      <c r="B31" s="194" t="s">
        <v>105</v>
      </c>
      <c r="C31" s="285">
        <v>477302.5</v>
      </c>
      <c r="D31" s="285">
        <v>0</v>
      </c>
      <c r="E31" s="285"/>
      <c r="F31" s="285">
        <v>0</v>
      </c>
      <c r="G31" s="285">
        <v>0</v>
      </c>
      <c r="H31" s="285">
        <f>SUMIF('Contract level'!$A:$A,"="&amp;'DFP-Com'!$A31,'Contract level'!BU:BU)</f>
        <v>0</v>
      </c>
      <c r="I31" s="285">
        <f>SUMIF('Contract level'!$A:$A,"="&amp;'DFP-Com'!$A31,'Contract level'!BV:BV)</f>
        <v>0</v>
      </c>
      <c r="J31" s="285">
        <f>SUMIF('Contract level'!$A:$A,"="&amp;'DFP-Com'!$A31,'Contract level'!BW:BW)</f>
        <v>0</v>
      </c>
      <c r="K31" s="285">
        <f>SUM(H31:J31)+D31+C31</f>
        <v>477302.5</v>
      </c>
      <c r="L31" s="196"/>
      <c r="M31" s="271"/>
      <c r="N31" s="199"/>
    </row>
    <row r="32" spans="1:14" s="200" customFormat="1" outlineLevel="1">
      <c r="A32" s="197" t="s">
        <v>131</v>
      </c>
      <c r="B32" s="194" t="s">
        <v>106</v>
      </c>
      <c r="C32" s="285">
        <v>1030229</v>
      </c>
      <c r="D32" s="285">
        <v>0</v>
      </c>
      <c r="E32" s="285">
        <v>0</v>
      </c>
      <c r="F32" s="285"/>
      <c r="G32" s="285"/>
      <c r="H32" s="285">
        <f>SUMIF('Contract level'!$A:$A,"="&amp;'DFP-Com'!$A32,'Contract level'!BU:BU)</f>
        <v>0</v>
      </c>
      <c r="I32" s="285">
        <f>SUMIF('Contract level'!$A:$A,"="&amp;'DFP-Com'!$A32,'Contract level'!BV:BV)</f>
        <v>0</v>
      </c>
      <c r="J32" s="285">
        <f>SUMIF('Contract level'!$A:$A,"="&amp;'DFP-Com'!$A32,'Contract level'!BW:BW)</f>
        <v>0</v>
      </c>
      <c r="K32" s="285">
        <f>SUM(H32:J32)+D32+C32</f>
        <v>1030229</v>
      </c>
      <c r="L32" s="196"/>
      <c r="M32" s="271"/>
      <c r="N32" s="199"/>
    </row>
    <row r="33" spans="1:14" s="200" customFormat="1" outlineLevel="1">
      <c r="A33" s="197" t="s">
        <v>132</v>
      </c>
      <c r="B33" s="194" t="s">
        <v>108</v>
      </c>
      <c r="C33" s="285">
        <v>40643.769999999997</v>
      </c>
      <c r="D33" s="285">
        <v>0</v>
      </c>
      <c r="E33" s="285"/>
      <c r="F33" s="285"/>
      <c r="G33" s="285"/>
      <c r="H33" s="285">
        <f>SUMIF('Contract level'!$A:$A,"="&amp;'DFP-Com'!$A33,'Contract level'!BU:BU)</f>
        <v>0</v>
      </c>
      <c r="I33" s="285">
        <f>SUMIF('Contract level'!$A:$A,"="&amp;'DFP-Com'!$A33,'Contract level'!BV:BV)</f>
        <v>0</v>
      </c>
      <c r="J33" s="285">
        <f>SUMIF('Contract level'!$A:$A,"="&amp;'DFP-Com'!$A33,'Contract level'!BW:BW)</f>
        <v>0</v>
      </c>
      <c r="K33" s="285">
        <f>SUM(H33:J33)+D33+C33</f>
        <v>40643.769999999997</v>
      </c>
      <c r="L33" s="196"/>
      <c r="M33" s="271"/>
      <c r="N33" s="199"/>
    </row>
    <row r="34" spans="1:14" s="37" customFormat="1">
      <c r="A34" s="197" t="str">
        <f>LEFT(B34,4)</f>
        <v>TOTA</v>
      </c>
      <c r="B34" s="56" t="s">
        <v>60</v>
      </c>
      <c r="C34" s="191">
        <f>+C30+C28</f>
        <v>2871928.91</v>
      </c>
      <c r="D34" s="191">
        <f>+D30+D28</f>
        <v>0</v>
      </c>
      <c r="E34" s="191">
        <f>+E28+E30</f>
        <v>0</v>
      </c>
      <c r="F34" s="191">
        <f>+F28+F30</f>
        <v>37896.239999999998</v>
      </c>
      <c r="G34" s="191">
        <f>+G28+G30</f>
        <v>0</v>
      </c>
      <c r="H34" s="191">
        <f t="shared" ref="H34:J34" si="9">H30+H28</f>
        <v>0</v>
      </c>
      <c r="I34" s="191">
        <f t="shared" si="9"/>
        <v>37896.239999999998</v>
      </c>
      <c r="J34" s="191">
        <f t="shared" si="9"/>
        <v>0</v>
      </c>
      <c r="K34" s="191">
        <f>K28+K30</f>
        <v>2909825.1500000004</v>
      </c>
      <c r="L34" s="258">
        <f>SUM(L28:L33)</f>
        <v>2960320.56</v>
      </c>
      <c r="M34" s="272">
        <f>SUM(M27:M33)</f>
        <v>50495.409999999916</v>
      </c>
      <c r="N34" s="36"/>
    </row>
    <row r="35" spans="1:14" s="37" customFormat="1">
      <c r="A35" s="197" t="str">
        <f>LEFT(B35,4)</f>
        <v/>
      </c>
      <c r="B35" s="51"/>
      <c r="C35" s="259"/>
      <c r="D35" s="207"/>
      <c r="E35" s="207"/>
      <c r="F35" s="207"/>
      <c r="G35" s="207"/>
      <c r="H35" s="207"/>
      <c r="I35" s="207"/>
      <c r="J35" s="207"/>
      <c r="K35" s="207"/>
      <c r="L35" s="255"/>
      <c r="M35" s="273"/>
      <c r="N35" s="36"/>
    </row>
    <row r="36" spans="1:14" s="61" customFormat="1">
      <c r="A36" s="197" t="str">
        <f>LEFT(B36,4)</f>
        <v>3. M</v>
      </c>
      <c r="B36" s="44" t="s">
        <v>79</v>
      </c>
      <c r="C36" s="261"/>
      <c r="D36" s="253"/>
      <c r="E36" s="253"/>
      <c r="F36" s="253"/>
      <c r="G36" s="253"/>
      <c r="H36" s="253"/>
      <c r="I36" s="253"/>
      <c r="J36" s="253"/>
      <c r="K36" s="208"/>
      <c r="L36" s="256"/>
      <c r="M36" s="274"/>
      <c r="N36" s="60"/>
    </row>
    <row r="37" spans="1:14" s="61" customFormat="1" outlineLevel="1">
      <c r="A37" s="197" t="str">
        <f>LEFT(B37,4)</f>
        <v xml:space="preserve">   M</v>
      </c>
      <c r="B37" s="62" t="s">
        <v>80</v>
      </c>
      <c r="C37" s="190">
        <f>+C38+C39+C40+C41</f>
        <v>531316.27</v>
      </c>
      <c r="D37" s="190">
        <f>+D38+D39+D40+D41</f>
        <v>13000</v>
      </c>
      <c r="E37" s="190">
        <f t="shared" ref="E37:G37" si="10">SUM(E38:E41)</f>
        <v>1512.36</v>
      </c>
      <c r="F37" s="190">
        <f t="shared" si="10"/>
        <v>0</v>
      </c>
      <c r="G37" s="190">
        <f t="shared" si="10"/>
        <v>0</v>
      </c>
      <c r="H37" s="190">
        <f t="shared" ref="H37:J37" si="11">SUM(H38:H41)</f>
        <v>0</v>
      </c>
      <c r="I37" s="190">
        <f t="shared" si="11"/>
        <v>1512.36</v>
      </c>
      <c r="J37" s="190">
        <f t="shared" si="11"/>
        <v>0</v>
      </c>
      <c r="K37" s="210">
        <f>SUM(K38:K41)</f>
        <v>545828.62999999989</v>
      </c>
      <c r="L37" s="192">
        <f>'QFR - B'!M24</f>
        <v>603518.79</v>
      </c>
      <c r="M37" s="270">
        <f>L37-K37</f>
        <v>57690.160000000149</v>
      </c>
      <c r="N37" s="60"/>
    </row>
    <row r="38" spans="1:14" s="205" customFormat="1" outlineLevel="1">
      <c r="A38" s="197" t="s">
        <v>133</v>
      </c>
      <c r="B38" s="202" t="s">
        <v>95</v>
      </c>
      <c r="C38" s="285">
        <v>464127.25999999995</v>
      </c>
      <c r="D38" s="285">
        <v>5000</v>
      </c>
      <c r="E38" s="285">
        <v>1512.36</v>
      </c>
      <c r="F38" s="285"/>
      <c r="G38" s="285">
        <v>0</v>
      </c>
      <c r="H38" s="285">
        <v>0</v>
      </c>
      <c r="I38" s="285">
        <f>SUMIF('Contract level'!$A:$A,"="&amp;'DFP-Com'!$A38,'Contract level'!BV:BV)</f>
        <v>1512.36</v>
      </c>
      <c r="J38" s="285">
        <f>SUMIF('Contract level'!$A:$A,"="&amp;'DFP-Com'!$A38,'Contract level'!BW:BW)</f>
        <v>0</v>
      </c>
      <c r="K38" s="285">
        <f>SUM(H38:J38)+D38+C38</f>
        <v>470639.61999999994</v>
      </c>
      <c r="L38" s="257"/>
      <c r="M38" s="275"/>
      <c r="N38" s="204"/>
    </row>
    <row r="39" spans="1:14" s="205" customFormat="1" outlineLevel="1">
      <c r="A39" s="197" t="s">
        <v>134</v>
      </c>
      <c r="B39" s="202" t="s">
        <v>96</v>
      </c>
      <c r="C39" s="285">
        <v>0</v>
      </c>
      <c r="D39" s="285">
        <v>0</v>
      </c>
      <c r="E39" s="285"/>
      <c r="F39" s="285"/>
      <c r="G39" s="285"/>
      <c r="H39" s="285">
        <f>SUMIF('Contract level'!$A:$A,"="&amp;'DFP-Com'!$A39,'Contract level'!BU:BU)</f>
        <v>0</v>
      </c>
      <c r="I39" s="285">
        <f>SUMIF('Contract level'!$A:$A,"="&amp;'DFP-Com'!$A39,'Contract level'!BV:BV)</f>
        <v>0</v>
      </c>
      <c r="J39" s="285">
        <f>SUMIF('Contract level'!$A:$A,"="&amp;'DFP-Com'!$A39,'Contract level'!BW:BW)</f>
        <v>0</v>
      </c>
      <c r="K39" s="285">
        <f>SUM(H39:J39)+D39+C39</f>
        <v>0</v>
      </c>
      <c r="L39" s="257"/>
      <c r="M39" s="275"/>
      <c r="N39" s="204"/>
    </row>
    <row r="40" spans="1:14" s="205" customFormat="1" outlineLevel="1">
      <c r="A40" s="197" t="s">
        <v>135</v>
      </c>
      <c r="B40" s="202" t="s">
        <v>97</v>
      </c>
      <c r="C40" s="285">
        <v>0</v>
      </c>
      <c r="D40" s="195">
        <v>0</v>
      </c>
      <c r="E40" s="285"/>
      <c r="F40" s="285"/>
      <c r="G40" s="285"/>
      <c r="H40" s="285">
        <f>SUMIF('Contract level'!$A:$A,"="&amp;'DFP-Com'!$A40,'Contract level'!BU:BU)</f>
        <v>0</v>
      </c>
      <c r="I40" s="285">
        <f>SUMIF('Contract level'!$A:$A,"="&amp;'DFP-Com'!$A40,'Contract level'!BV:BV)</f>
        <v>0</v>
      </c>
      <c r="J40" s="285">
        <f>SUMIF('Contract level'!$A:$A,"="&amp;'DFP-Com'!$A40,'Contract level'!BW:BW)</f>
        <v>0</v>
      </c>
      <c r="K40" s="285">
        <f>SUM(H40:J40)+D40+C40</f>
        <v>0</v>
      </c>
      <c r="L40" s="257"/>
      <c r="M40" s="275"/>
      <c r="N40" s="204"/>
    </row>
    <row r="41" spans="1:14" s="205" customFormat="1" outlineLevel="1">
      <c r="A41" s="197" t="s">
        <v>136</v>
      </c>
      <c r="B41" s="202" t="s">
        <v>107</v>
      </c>
      <c r="C41" s="285">
        <v>67189.010000000009</v>
      </c>
      <c r="D41" s="285">
        <v>8000</v>
      </c>
      <c r="E41" s="285"/>
      <c r="F41" s="285">
        <v>0</v>
      </c>
      <c r="G41" s="285"/>
      <c r="H41" s="285">
        <v>0</v>
      </c>
      <c r="I41" s="285">
        <f>SUMIF('Contract level'!$A:$A,"="&amp;'DFP-Com'!$A41,'Contract level'!BV:BV)</f>
        <v>0</v>
      </c>
      <c r="J41" s="285">
        <f>SUMIF('Contract level'!$A:$A,"="&amp;'DFP-Com'!$A41,'Contract level'!BW:BW)</f>
        <v>0</v>
      </c>
      <c r="K41" s="285">
        <f>SUM(H41:J41)+D41+C41</f>
        <v>75189.010000000009</v>
      </c>
      <c r="L41" s="257"/>
      <c r="M41" s="275"/>
      <c r="N41" s="204"/>
    </row>
    <row r="42" spans="1:14" s="37" customFormat="1">
      <c r="A42" s="197"/>
      <c r="B42" s="56" t="s">
        <v>15</v>
      </c>
      <c r="C42" s="191">
        <f>+C37</f>
        <v>531316.27</v>
      </c>
      <c r="D42" s="191">
        <f>+D37</f>
        <v>13000</v>
      </c>
      <c r="E42" s="191">
        <f t="shared" ref="E42:M42" si="12">E37</f>
        <v>1512.36</v>
      </c>
      <c r="F42" s="191">
        <f t="shared" si="12"/>
        <v>0</v>
      </c>
      <c r="G42" s="191">
        <f t="shared" si="12"/>
        <v>0</v>
      </c>
      <c r="H42" s="191">
        <f t="shared" ref="H42:J42" si="13">H37</f>
        <v>0</v>
      </c>
      <c r="I42" s="191">
        <f t="shared" si="13"/>
        <v>1512.36</v>
      </c>
      <c r="J42" s="191">
        <f t="shared" si="13"/>
        <v>0</v>
      </c>
      <c r="K42" s="191">
        <f t="shared" si="12"/>
        <v>545828.62999999989</v>
      </c>
      <c r="L42" s="258">
        <f t="shared" si="12"/>
        <v>603518.79</v>
      </c>
      <c r="M42" s="276">
        <f t="shared" si="12"/>
        <v>57690.160000000149</v>
      </c>
      <c r="N42" s="36"/>
    </row>
    <row r="43" spans="1:14" s="37" customFormat="1">
      <c r="A43" s="197"/>
      <c r="B43" s="51"/>
      <c r="C43" s="259"/>
      <c r="D43" s="207"/>
      <c r="E43" s="207"/>
      <c r="F43" s="207"/>
      <c r="G43" s="207"/>
      <c r="H43" s="207"/>
      <c r="I43" s="207"/>
      <c r="J43" s="207"/>
      <c r="K43" s="207"/>
      <c r="L43" s="255"/>
      <c r="M43" s="273"/>
      <c r="N43" s="36"/>
    </row>
    <row r="44" spans="1:14" s="61" customFormat="1">
      <c r="A44" s="197"/>
      <c r="B44" s="44" t="s">
        <v>73</v>
      </c>
      <c r="C44" s="261"/>
      <c r="D44" s="253"/>
      <c r="E44" s="253"/>
      <c r="F44" s="253"/>
      <c r="G44" s="253"/>
      <c r="H44" s="253"/>
      <c r="I44" s="253"/>
      <c r="J44" s="253"/>
      <c r="K44" s="208"/>
      <c r="L44" s="256"/>
      <c r="M44" s="274"/>
      <c r="N44" s="60"/>
    </row>
    <row r="45" spans="1:14" s="37" customFormat="1" outlineLevel="1">
      <c r="A45" s="197"/>
      <c r="B45" s="63" t="s">
        <v>82</v>
      </c>
      <c r="C45" s="190">
        <f>+C46+C47+C48+C49</f>
        <v>1454700.9600000002</v>
      </c>
      <c r="D45" s="190">
        <f>+D46+D47+D48+D49</f>
        <v>34198.42</v>
      </c>
      <c r="E45" s="190">
        <f t="shared" ref="E45:G45" si="14">SUM(E46:E49)</f>
        <v>500</v>
      </c>
      <c r="F45" s="190">
        <f t="shared" si="14"/>
        <v>37000</v>
      </c>
      <c r="G45" s="190">
        <f t="shared" si="14"/>
        <v>81000</v>
      </c>
      <c r="H45" s="190">
        <f t="shared" ref="H45:K45" si="15">SUM(H46:H49)</f>
        <v>0</v>
      </c>
      <c r="I45" s="190">
        <f t="shared" si="15"/>
        <v>118500</v>
      </c>
      <c r="J45" s="190">
        <f t="shared" si="15"/>
        <v>135628.33000000002</v>
      </c>
      <c r="K45" s="190">
        <f t="shared" si="15"/>
        <v>1743027.71</v>
      </c>
      <c r="L45" s="192">
        <f>'QFR - B'!M27</f>
        <v>1744086.26</v>
      </c>
      <c r="M45" s="270">
        <f>L45-K45</f>
        <v>1058.5500000000466</v>
      </c>
      <c r="N45" s="36"/>
    </row>
    <row r="46" spans="1:14" s="200" customFormat="1" ht="12.75" customHeight="1" outlineLevel="1">
      <c r="A46" s="197" t="s">
        <v>137</v>
      </c>
      <c r="B46" s="206" t="s">
        <v>117</v>
      </c>
      <c r="C46" s="285">
        <v>1171126.3900000001</v>
      </c>
      <c r="D46" s="285">
        <v>0</v>
      </c>
      <c r="E46" s="284"/>
      <c r="F46" s="284"/>
      <c r="G46" s="284"/>
      <c r="H46" s="285">
        <f>SUMIF('Contract level'!$A:$A,"="&amp;'DFP-Com'!$A46,'Contract level'!BU:BU)</f>
        <v>0</v>
      </c>
      <c r="I46" s="285">
        <f>SUMIF('Contract level'!$A:$A,"="&amp;'DFP-Com'!$A46,'Contract level'!BV:BV)</f>
        <v>0</v>
      </c>
      <c r="J46" s="285">
        <f>SUMIF('Contract level'!$A:$A,"="&amp;'DFP-Com'!$A46,'Contract level'!BW:BW)</f>
        <v>126767.41</v>
      </c>
      <c r="K46" s="285">
        <f>SUM(H46:J46)+D46+C46</f>
        <v>1297893.8</v>
      </c>
      <c r="L46" s="257"/>
      <c r="M46" s="271"/>
      <c r="N46" s="199"/>
    </row>
    <row r="47" spans="1:14" s="200" customFormat="1" outlineLevel="1">
      <c r="A47" s="197" t="s">
        <v>138</v>
      </c>
      <c r="B47" s="206" t="s">
        <v>118</v>
      </c>
      <c r="C47" s="285">
        <v>50430.1</v>
      </c>
      <c r="D47" s="285">
        <v>344.94</v>
      </c>
      <c r="E47" s="284">
        <v>500</v>
      </c>
      <c r="F47" s="284">
        <v>1000</v>
      </c>
      <c r="G47" s="284">
        <v>1000</v>
      </c>
      <c r="H47" s="285">
        <v>0</v>
      </c>
      <c r="I47" s="285">
        <f>SUMIF('Contract level'!$A:$A,"="&amp;'DFP-Com'!$A47,'Contract level'!BV:BV)</f>
        <v>2500</v>
      </c>
      <c r="J47" s="285">
        <f>SUMIF('Contract level'!$A:$A,"="&amp;'DFP-Com'!$A47,'Contract level'!BW:BW)</f>
        <v>5424.72</v>
      </c>
      <c r="K47" s="285">
        <f>SUM(H47:J47)+D47+C47</f>
        <v>58699.759999999995</v>
      </c>
      <c r="L47" s="257"/>
      <c r="M47" s="275"/>
      <c r="N47" s="199"/>
    </row>
    <row r="48" spans="1:14" s="200" customFormat="1" outlineLevel="1">
      <c r="A48" s="197" t="s">
        <v>139</v>
      </c>
      <c r="B48" s="206" t="s">
        <v>119</v>
      </c>
      <c r="C48" s="285">
        <v>120000</v>
      </c>
      <c r="D48" s="285">
        <v>20000</v>
      </c>
      <c r="E48" s="284"/>
      <c r="F48" s="284"/>
      <c r="G48" s="284"/>
      <c r="H48" s="285">
        <v>0</v>
      </c>
      <c r="I48" s="285">
        <f>SUMIF('Contract level'!$A:$A,"="&amp;'DFP-Com'!$A48,'Contract level'!BV:BV)</f>
        <v>0</v>
      </c>
      <c r="J48" s="285">
        <f>SUMIF('Contract level'!$A:$A,"="&amp;'DFP-Com'!$A48,'Contract level'!BW:BW)</f>
        <v>0</v>
      </c>
      <c r="K48" s="285">
        <f>SUM(H48:J48)+D48+C48</f>
        <v>140000</v>
      </c>
      <c r="L48" s="257"/>
      <c r="M48" s="275"/>
      <c r="N48" s="199"/>
    </row>
    <row r="49" spans="1:14" s="200" customFormat="1" outlineLevel="1">
      <c r="A49" s="197" t="s">
        <v>140</v>
      </c>
      <c r="B49" s="206" t="s">
        <v>120</v>
      </c>
      <c r="C49" s="285">
        <v>113144.47</v>
      </c>
      <c r="D49" s="285">
        <v>13853.48</v>
      </c>
      <c r="E49" s="284">
        <v>0</v>
      </c>
      <c r="F49" s="284">
        <v>36000</v>
      </c>
      <c r="G49" s="284">
        <v>80000</v>
      </c>
      <c r="H49" s="285">
        <v>0</v>
      </c>
      <c r="I49" s="285">
        <f>SUMIF('Contract level'!$A:$A,"="&amp;'DFP-Com'!$A49,'Contract level'!BV:BV)</f>
        <v>116000</v>
      </c>
      <c r="J49" s="285">
        <f>SUMIF('Contract level'!$A:$A,"="&amp;'DFP-Com'!$A49,'Contract level'!BW:BW)</f>
        <v>3436.2</v>
      </c>
      <c r="K49" s="285">
        <f>SUM(H49:J49)+D49+C49</f>
        <v>246434.15</v>
      </c>
      <c r="L49" s="257"/>
      <c r="M49" s="275"/>
      <c r="N49" s="199"/>
    </row>
    <row r="50" spans="1:14" s="61" customFormat="1">
      <c r="A50" s="10"/>
      <c r="B50" s="64" t="s">
        <v>81</v>
      </c>
      <c r="C50" s="191">
        <f>+C45</f>
        <v>1454700.9600000002</v>
      </c>
      <c r="D50" s="191">
        <f>+D45</f>
        <v>34198.42</v>
      </c>
      <c r="E50" s="191">
        <f t="shared" ref="E50:M50" si="16">E45</f>
        <v>500</v>
      </c>
      <c r="F50" s="191">
        <f t="shared" si="16"/>
        <v>37000</v>
      </c>
      <c r="G50" s="191">
        <f t="shared" si="16"/>
        <v>81000</v>
      </c>
      <c r="H50" s="191">
        <f t="shared" ref="H50:J50" si="17">H45</f>
        <v>0</v>
      </c>
      <c r="I50" s="191">
        <f t="shared" si="17"/>
        <v>118500</v>
      </c>
      <c r="J50" s="191">
        <f t="shared" si="17"/>
        <v>135628.33000000002</v>
      </c>
      <c r="K50" s="191">
        <f t="shared" si="16"/>
        <v>1743027.71</v>
      </c>
      <c r="L50" s="258">
        <f t="shared" si="16"/>
        <v>1744086.26</v>
      </c>
      <c r="M50" s="276">
        <f t="shared" si="16"/>
        <v>1058.5500000000466</v>
      </c>
      <c r="N50" s="60"/>
    </row>
    <row r="51" spans="1:14" s="37" customFormat="1">
      <c r="A51" s="5"/>
      <c r="B51" s="51"/>
      <c r="C51" s="259"/>
      <c r="D51" s="207"/>
      <c r="E51" s="207"/>
      <c r="F51" s="207"/>
      <c r="G51" s="207"/>
      <c r="H51" s="207"/>
      <c r="I51" s="207"/>
      <c r="J51" s="207"/>
      <c r="K51" s="209"/>
      <c r="L51" s="255"/>
      <c r="M51" s="277"/>
      <c r="N51" s="36"/>
    </row>
    <row r="52" spans="1:14" s="217" customFormat="1" ht="13.5" customHeight="1" thickBot="1">
      <c r="A52" s="214"/>
      <c r="B52" s="218" t="s">
        <v>113</v>
      </c>
      <c r="C52" s="215">
        <f>+C50+C42+C34+C25</f>
        <v>24368235.520000003</v>
      </c>
      <c r="D52" s="215">
        <f>+D50+D42+D34+D25</f>
        <v>1061328.06</v>
      </c>
      <c r="E52" s="215">
        <f t="shared" ref="E52:G52" si="18">E50+E42+E34+E25</f>
        <v>33298.22</v>
      </c>
      <c r="F52" s="215">
        <f t="shared" si="18"/>
        <v>274896.24</v>
      </c>
      <c r="G52" s="215">
        <f t="shared" si="18"/>
        <v>81000</v>
      </c>
      <c r="H52" s="215">
        <f t="shared" ref="H52:J52" si="19">H50+H42+H34+H25</f>
        <v>0</v>
      </c>
      <c r="I52" s="215">
        <f t="shared" si="19"/>
        <v>389194.45999999996</v>
      </c>
      <c r="J52" s="215">
        <f t="shared" si="19"/>
        <v>168150.44375000001</v>
      </c>
      <c r="K52" s="215">
        <f t="shared" ref="K52:M52" si="20">K50+K42+K34+K25</f>
        <v>25986908.483750001</v>
      </c>
      <c r="L52" s="215">
        <f t="shared" si="20"/>
        <v>26197500</v>
      </c>
      <c r="M52" s="278">
        <f t="shared" si="20"/>
        <v>210591.51624999847</v>
      </c>
      <c r="N52" s="216"/>
    </row>
    <row r="53" spans="1:14" ht="13.5" thickTop="1">
      <c r="B53" s="7" t="s">
        <v>226</v>
      </c>
      <c r="C53" s="262"/>
      <c r="D53" s="254"/>
      <c r="H53" s="254">
        <f>+G52+F52+E52</f>
        <v>389194.45999999996</v>
      </c>
      <c r="I53" s="254"/>
      <c r="J53" s="254"/>
      <c r="K53" s="254"/>
      <c r="L53" s="263"/>
      <c r="M53" s="279"/>
    </row>
    <row r="54" spans="1:14" ht="25.35" customHeight="1">
      <c r="B54" s="550" t="s">
        <v>116</v>
      </c>
      <c r="C54" s="550"/>
      <c r="D54" s="550"/>
      <c r="E54" s="550"/>
      <c r="F54" s="550"/>
      <c r="G54" s="550"/>
      <c r="H54" s="254">
        <f>+I52-H53</f>
        <v>0</v>
      </c>
      <c r="I54" s="254"/>
      <c r="J54" s="254"/>
      <c r="K54" s="254"/>
      <c r="L54" s="263"/>
      <c r="M54" s="280">
        <f>+M21-'DFP-CASH'!M23</f>
        <v>6.2499996274709702E-3</v>
      </c>
    </row>
    <row r="55" spans="1:14">
      <c r="B55" s="7"/>
      <c r="C55" s="262"/>
      <c r="D55" s="254"/>
      <c r="H55" s="254"/>
      <c r="I55" s="254"/>
      <c r="J55" s="254"/>
      <c r="K55" s="254"/>
      <c r="L55" s="263"/>
      <c r="M55" s="279"/>
    </row>
    <row r="56" spans="1:14">
      <c r="B56" s="7"/>
      <c r="C56" s="262"/>
      <c r="D56" s="262"/>
      <c r="E56" s="262"/>
      <c r="F56" s="262"/>
      <c r="G56" s="262"/>
      <c r="H56" s="262"/>
      <c r="I56" s="262"/>
      <c r="J56" s="262"/>
      <c r="K56" s="254"/>
      <c r="L56" s="263"/>
      <c r="M56" s="280"/>
    </row>
    <row r="57" spans="1:14">
      <c r="B57" s="7"/>
      <c r="C57" s="262"/>
      <c r="D57" s="254"/>
      <c r="H57" s="254"/>
      <c r="I57" s="254"/>
      <c r="J57" s="254"/>
      <c r="K57" s="254"/>
      <c r="L57" s="263"/>
      <c r="M57" s="280"/>
    </row>
    <row r="58" spans="1:14">
      <c r="B58" s="7"/>
      <c r="C58" s="262"/>
      <c r="D58" s="254"/>
      <c r="H58" s="254"/>
      <c r="I58" s="254"/>
      <c r="J58" s="254"/>
      <c r="K58" s="254"/>
      <c r="L58" s="263"/>
      <c r="M58" s="280"/>
    </row>
    <row r="59" spans="1:14">
      <c r="B59" s="7"/>
      <c r="C59" s="262"/>
      <c r="D59" s="254"/>
      <c r="H59" s="254"/>
      <c r="I59" s="254"/>
      <c r="J59" s="254"/>
      <c r="K59" s="254"/>
      <c r="L59" s="263"/>
      <c r="M59" s="280"/>
    </row>
    <row r="60" spans="1:14">
      <c r="B60" s="7"/>
      <c r="C60" s="262"/>
      <c r="D60" s="254"/>
      <c r="H60" s="254"/>
      <c r="I60" s="254"/>
      <c r="J60" s="254"/>
      <c r="K60" s="254"/>
      <c r="L60" s="263"/>
      <c r="M60" s="280"/>
    </row>
    <row r="61" spans="1:14">
      <c r="C61" s="262"/>
      <c r="D61" s="254"/>
      <c r="H61" s="254"/>
      <c r="I61" s="254"/>
      <c r="J61" s="254"/>
      <c r="K61" s="254"/>
      <c r="L61" s="263"/>
      <c r="M61" s="280"/>
    </row>
    <row r="62" spans="1:14">
      <c r="C62" s="262"/>
      <c r="D62" s="254"/>
      <c r="H62" s="254"/>
      <c r="I62" s="254"/>
      <c r="J62" s="254"/>
      <c r="K62" s="254"/>
      <c r="L62" s="263"/>
      <c r="M62" s="280"/>
    </row>
    <row r="63" spans="1:14">
      <c r="C63" s="262"/>
      <c r="D63" s="254"/>
      <c r="H63" s="254"/>
      <c r="I63" s="254"/>
      <c r="J63" s="254"/>
      <c r="K63" s="254"/>
      <c r="L63" s="263"/>
      <c r="M63" s="280"/>
    </row>
    <row r="64" spans="1:14">
      <c r="C64" s="262"/>
      <c r="D64" s="254"/>
      <c r="H64" s="254"/>
      <c r="I64" s="254"/>
      <c r="J64" s="254"/>
      <c r="K64" s="254"/>
      <c r="L64" s="263"/>
      <c r="M64" s="280"/>
    </row>
    <row r="65" spans="3:13">
      <c r="C65" s="262"/>
      <c r="D65" s="254"/>
      <c r="H65" s="254"/>
      <c r="I65" s="254"/>
      <c r="J65" s="254"/>
      <c r="K65" s="254"/>
      <c r="L65" s="263"/>
      <c r="M65" s="280"/>
    </row>
    <row r="66" spans="3:13">
      <c r="C66" s="262"/>
      <c r="D66" s="254"/>
      <c r="H66" s="254"/>
      <c r="I66" s="254"/>
      <c r="J66" s="254"/>
      <c r="K66" s="254"/>
      <c r="L66" s="263"/>
      <c r="M66" s="280"/>
    </row>
    <row r="67" spans="3:13">
      <c r="M67" s="280"/>
    </row>
    <row r="68" spans="3:13">
      <c r="M68" s="280"/>
    </row>
    <row r="69" spans="3:13">
      <c r="M69" s="280"/>
    </row>
    <row r="70" spans="3:13">
      <c r="M70" s="280"/>
    </row>
    <row r="71" spans="3:13">
      <c r="M71" s="280"/>
    </row>
    <row r="72" spans="3:13">
      <c r="M72" s="280"/>
    </row>
    <row r="73" spans="3:13">
      <c r="M73" s="280"/>
    </row>
    <row r="83" spans="4:11">
      <c r="H83" s="67"/>
      <c r="I83" s="67"/>
      <c r="J83" s="67"/>
      <c r="K83" s="68"/>
    </row>
    <row r="84" spans="4:11">
      <c r="D84" s="69"/>
    </row>
  </sheetData>
  <mergeCells count="7">
    <mergeCell ref="B54:G54"/>
    <mergeCell ref="M10:M11"/>
    <mergeCell ref="B9:B10"/>
    <mergeCell ref="L10:L11"/>
    <mergeCell ref="K10:K11"/>
    <mergeCell ref="E10:G10"/>
    <mergeCell ref="E9:G9"/>
  </mergeCells>
  <phoneticPr fontId="28" type="noConversion"/>
  <printOptions horizontalCentered="1"/>
  <pageMargins left="0.7" right="0.7" top="0.75" bottom="0.75" header="0.3" footer="0.3"/>
  <pageSetup scale="50"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BA85"/>
  <sheetViews>
    <sheetView showGridLines="0" tabSelected="1" zoomScale="125" zoomScaleNormal="125" zoomScalePageLayoutView="125" workbookViewId="0">
      <pane xSplit="2" ySplit="14" topLeftCell="C43" activePane="bottomRight" state="frozen"/>
      <selection activeCell="B12" sqref="B12"/>
      <selection pane="topRight" activeCell="C12" sqref="C12"/>
      <selection pane="bottomLeft" activeCell="B15" sqref="B15"/>
      <selection pane="bottomRight" activeCell="I54" sqref="I54"/>
    </sheetView>
  </sheetViews>
  <sheetFormatPr baseColWidth="10" defaultColWidth="0" defaultRowHeight="12.75" outlineLevelRow="1" outlineLevelCol="1"/>
  <cols>
    <col min="1" max="1" width="8.42578125" style="1" hidden="1" customWidth="1" outlineLevel="1"/>
    <col min="2" max="2" width="49.42578125" style="1" customWidth="1" collapsed="1"/>
    <col min="3" max="3" width="19.42578125" style="65" customWidth="1"/>
    <col min="4" max="4" width="21.140625" style="1" customWidth="1"/>
    <col min="5" max="6" width="15.42578125" style="1" bestFit="1" customWidth="1"/>
    <col min="7" max="7" width="14.42578125" style="254" customWidth="1"/>
    <col min="8" max="8" width="15" style="1" hidden="1" customWidth="1"/>
    <col min="9" max="10" width="15" style="1" customWidth="1"/>
    <col min="11" max="12" width="17.42578125" style="1" customWidth="1"/>
    <col min="13" max="13" width="19.42578125" style="6" customWidth="1"/>
    <col min="14" max="14" width="19.42578125" style="6" hidden="1" customWidth="1"/>
    <col min="15" max="15" width="19.42578125" style="464" hidden="1" customWidth="1"/>
    <col min="16" max="16" width="19.42578125" style="6" hidden="1" customWidth="1"/>
    <col min="17" max="17" width="17.7109375" style="1" hidden="1" customWidth="1"/>
    <col min="18" max="18" width="17.42578125" style="10" hidden="1" customWidth="1"/>
    <col min="19" max="19" width="22.42578125" style="10" hidden="1" customWidth="1"/>
    <col min="20" max="53" width="11.42578125" style="5" hidden="1" customWidth="1"/>
    <col min="54" max="16384" width="0" style="5" hidden="1"/>
  </cols>
  <sheetData>
    <row r="1" spans="1:20" ht="13.5" outlineLevel="1" thickBot="1">
      <c r="B1" s="2" t="s">
        <v>16</v>
      </c>
      <c r="C1" s="3"/>
      <c r="D1" s="4"/>
      <c r="E1" s="5"/>
      <c r="F1" s="5"/>
      <c r="G1" s="245"/>
    </row>
    <row r="2" spans="1:20" ht="13.5" outlineLevel="1" thickBot="1">
      <c r="B2" s="8"/>
      <c r="C2" s="3"/>
      <c r="D2" s="4"/>
      <c r="E2" s="5"/>
      <c r="F2" s="5"/>
      <c r="G2" s="245"/>
      <c r="Q2" s="9"/>
      <c r="T2" s="10"/>
    </row>
    <row r="3" spans="1:20" ht="15" outlineLevel="1">
      <c r="B3" s="11" t="s">
        <v>1</v>
      </c>
      <c r="C3" s="12"/>
      <c r="D3" s="13" t="s">
        <v>61</v>
      </c>
      <c r="E3" s="75"/>
      <c r="F3" s="75"/>
      <c r="G3" s="246"/>
    </row>
    <row r="4" spans="1:20" ht="15" outlineLevel="1">
      <c r="B4" s="14" t="s">
        <v>2</v>
      </c>
      <c r="C4" s="15"/>
      <c r="D4" s="16" t="s">
        <v>62</v>
      </c>
      <c r="E4" s="75"/>
      <c r="F4" s="75"/>
      <c r="G4" s="246"/>
    </row>
    <row r="5" spans="1:20" ht="15" outlineLevel="1">
      <c r="B5" s="17" t="s">
        <v>3</v>
      </c>
      <c r="C5" s="15"/>
      <c r="D5" s="16" t="str">
        <f>'THP DR'!B7</f>
        <v>TR14GTM15001</v>
      </c>
      <c r="E5" s="75"/>
      <c r="F5" s="75"/>
      <c r="G5" s="246"/>
    </row>
    <row r="6" spans="1:20" ht="15" outlineLevel="1">
      <c r="B6" s="14" t="s">
        <v>4</v>
      </c>
      <c r="C6" s="15"/>
      <c r="D6" s="506">
        <v>44361</v>
      </c>
      <c r="E6" s="79"/>
      <c r="F6" s="79"/>
      <c r="G6" s="246"/>
      <c r="Q6" s="7"/>
      <c r="T6" s="10"/>
    </row>
    <row r="7" spans="1:20" ht="13.5" outlineLevel="1" thickBot="1">
      <c r="B7" s="18" t="s">
        <v>5</v>
      </c>
      <c r="C7" s="19"/>
      <c r="D7" s="183">
        <v>21</v>
      </c>
      <c r="E7" s="297"/>
      <c r="F7" s="297"/>
      <c r="G7" s="246"/>
      <c r="Q7" s="20"/>
    </row>
    <row r="8" spans="1:20" outlineLevel="1">
      <c r="B8" s="5"/>
      <c r="C8" s="21"/>
      <c r="D8" s="22"/>
      <c r="E8" s="22"/>
      <c r="F8" s="22"/>
      <c r="G8" s="247"/>
      <c r="Q8" s="20"/>
    </row>
    <row r="9" spans="1:20" outlineLevel="1">
      <c r="B9" s="23"/>
      <c r="C9" s="23"/>
      <c r="D9" s="23"/>
      <c r="E9" s="23"/>
      <c r="F9" s="23"/>
      <c r="G9" s="248"/>
      <c r="M9" s="24"/>
      <c r="N9" s="24"/>
      <c r="O9" s="465"/>
      <c r="P9" s="24"/>
      <c r="Q9" s="20"/>
    </row>
    <row r="10" spans="1:20" s="313" customFormat="1" outlineLevel="1">
      <c r="A10" s="25"/>
      <c r="B10" s="26"/>
      <c r="C10" s="27"/>
      <c r="D10" s="28"/>
      <c r="E10" s="28"/>
      <c r="F10" s="28"/>
      <c r="G10" s="249"/>
      <c r="H10" s="25"/>
      <c r="I10" s="25"/>
      <c r="J10" s="25"/>
      <c r="K10" s="25"/>
      <c r="L10" s="25"/>
      <c r="M10" s="24"/>
      <c r="N10" s="24"/>
      <c r="O10" s="465"/>
      <c r="P10" s="24"/>
      <c r="Q10" s="20"/>
      <c r="R10" s="10"/>
      <c r="S10" s="10"/>
    </row>
    <row r="11" spans="1:20" ht="15.75" outlineLevel="1">
      <c r="A11" s="5"/>
      <c r="B11" s="552" t="s">
        <v>17</v>
      </c>
      <c r="C11" s="29" t="s">
        <v>7</v>
      </c>
      <c r="D11" s="30" t="s">
        <v>8</v>
      </c>
      <c r="E11" s="563" t="s">
        <v>9</v>
      </c>
      <c r="F11" s="564"/>
      <c r="G11" s="564"/>
      <c r="H11" s="220"/>
      <c r="I11" s="220"/>
      <c r="J11" s="220"/>
      <c r="K11" s="31" t="s">
        <v>10</v>
      </c>
      <c r="L11" s="31" t="s">
        <v>10</v>
      </c>
      <c r="M11" s="31" t="s">
        <v>11</v>
      </c>
      <c r="N11" s="452"/>
      <c r="O11" s="466"/>
      <c r="P11" s="452"/>
      <c r="Q11" s="32"/>
      <c r="R11" s="5"/>
      <c r="S11" s="5"/>
    </row>
    <row r="12" spans="1:20" ht="51">
      <c r="A12" s="5"/>
      <c r="B12" s="552"/>
      <c r="C12" s="33" t="s">
        <v>197</v>
      </c>
      <c r="D12" s="34" t="s">
        <v>228</v>
      </c>
      <c r="E12" s="556" t="str">
        <f>"Grant Quarter #"&amp;$D$7</f>
        <v>Grant Quarter #21</v>
      </c>
      <c r="F12" s="557"/>
      <c r="G12" s="558"/>
      <c r="H12" s="346" t="s">
        <v>268</v>
      </c>
      <c r="I12" s="449" t="s">
        <v>269</v>
      </c>
      <c r="J12" s="449" t="s">
        <v>270</v>
      </c>
      <c r="K12" s="561" t="s">
        <v>18</v>
      </c>
      <c r="L12" s="562" t="s">
        <v>99</v>
      </c>
      <c r="M12" s="560" t="s">
        <v>13</v>
      </c>
      <c r="N12" s="453"/>
      <c r="O12" s="467"/>
      <c r="P12" s="453"/>
      <c r="Q12" s="35"/>
      <c r="R12" s="5"/>
      <c r="S12" s="5"/>
    </row>
    <row r="13" spans="1:20" ht="25.5">
      <c r="A13" s="5"/>
      <c r="B13" s="38" t="s">
        <v>14</v>
      </c>
      <c r="C13" s="492" t="s">
        <v>278</v>
      </c>
      <c r="D13" s="493" t="s">
        <v>324</v>
      </c>
      <c r="E13" s="477" t="s">
        <v>327</v>
      </c>
      <c r="F13" s="477" t="s">
        <v>328</v>
      </c>
      <c r="G13" s="477" t="s">
        <v>329</v>
      </c>
      <c r="H13" s="346" t="s">
        <v>249</v>
      </c>
      <c r="I13" s="449" t="s">
        <v>271</v>
      </c>
      <c r="J13" s="449" t="s">
        <v>272</v>
      </c>
      <c r="K13" s="561"/>
      <c r="L13" s="562"/>
      <c r="M13" s="560"/>
      <c r="N13" s="453" t="s">
        <v>275</v>
      </c>
      <c r="O13" s="467" t="s">
        <v>276</v>
      </c>
      <c r="P13" s="453"/>
      <c r="Q13" s="35"/>
      <c r="R13" s="5"/>
      <c r="S13" s="5"/>
    </row>
    <row r="14" spans="1:20" s="314" customFormat="1" ht="15">
      <c r="A14"/>
      <c r="B14" s="182" t="s">
        <v>83</v>
      </c>
      <c r="C14" s="182" t="s">
        <v>84</v>
      </c>
      <c r="D14" s="182" t="s">
        <v>85</v>
      </c>
      <c r="E14" s="478" t="s">
        <v>86</v>
      </c>
      <c r="F14" s="478" t="s">
        <v>87</v>
      </c>
      <c r="G14" s="244" t="s">
        <v>88</v>
      </c>
      <c r="H14" s="250" t="s">
        <v>248</v>
      </c>
      <c r="I14" s="250"/>
      <c r="J14" s="250"/>
      <c r="K14" s="182" t="s">
        <v>89</v>
      </c>
      <c r="L14" s="188" t="s">
        <v>90</v>
      </c>
      <c r="M14" s="182" t="s">
        <v>91</v>
      </c>
      <c r="N14" s="454"/>
      <c r="O14" s="468"/>
      <c r="P14" s="454"/>
      <c r="Q14" s="35"/>
    </row>
    <row r="15" spans="1:20">
      <c r="A15" s="5"/>
      <c r="B15" s="42"/>
      <c r="C15" s="43"/>
      <c r="D15" s="42"/>
      <c r="E15" s="479"/>
      <c r="F15" s="479"/>
      <c r="G15" s="479"/>
      <c r="H15" s="42"/>
      <c r="I15" s="42"/>
      <c r="J15" s="42"/>
      <c r="K15" s="42"/>
      <c r="L15" s="42"/>
      <c r="M15" s="281"/>
      <c r="N15" s="455"/>
      <c r="O15" s="469"/>
      <c r="P15" s="455"/>
      <c r="Q15" s="35"/>
      <c r="R15" s="5"/>
      <c r="S15" s="5"/>
    </row>
    <row r="16" spans="1:20">
      <c r="A16" s="5"/>
      <c r="B16" s="44" t="s">
        <v>65</v>
      </c>
      <c r="C16" s="45"/>
      <c r="D16" s="46"/>
      <c r="E16" s="480"/>
      <c r="F16" s="480"/>
      <c r="G16" s="480"/>
      <c r="H16" s="46"/>
      <c r="I16" s="46"/>
      <c r="J16" s="46"/>
      <c r="K16" s="47"/>
      <c r="L16" s="189"/>
      <c r="M16" s="282"/>
      <c r="N16" s="456"/>
      <c r="O16" s="469"/>
      <c r="P16" s="456"/>
      <c r="Q16" s="35"/>
      <c r="R16" s="5"/>
      <c r="S16" s="5"/>
    </row>
    <row r="17" spans="1:19" s="198" customFormat="1" outlineLevel="1">
      <c r="A17" s="197"/>
      <c r="B17" s="49" t="s">
        <v>66</v>
      </c>
      <c r="C17" s="190">
        <f>SUM(C18:C20)</f>
        <v>11984163.200000003</v>
      </c>
      <c r="D17" s="190">
        <f>SUM(D18:D20)</f>
        <v>812</v>
      </c>
      <c r="E17" s="481">
        <f>SUM(E18:E20)</f>
        <v>566206.0033333333</v>
      </c>
      <c r="F17" s="481">
        <f t="shared" ref="F17:G17" si="0">SUM(F18:F20)</f>
        <v>102311.00333333333</v>
      </c>
      <c r="G17" s="481">
        <f t="shared" si="0"/>
        <v>210224</v>
      </c>
      <c r="H17" s="190">
        <f t="shared" ref="H17:J17" si="1">SUM(H18:H20)</f>
        <v>0</v>
      </c>
      <c r="I17" s="190">
        <f t="shared" si="1"/>
        <v>878741</v>
      </c>
      <c r="J17" s="190">
        <f t="shared" si="1"/>
        <v>292241</v>
      </c>
      <c r="K17" s="190">
        <f>SUM(K18:K20)</f>
        <v>13155957.200000003</v>
      </c>
      <c r="L17" s="192">
        <f>'QFR - B'!M15</f>
        <v>13221955.41</v>
      </c>
      <c r="M17" s="270">
        <f>L17-K17</f>
        <v>65998.209999997169</v>
      </c>
      <c r="N17" s="457">
        <v>1221955.4077922106</v>
      </c>
      <c r="O17" s="470">
        <f>+M17+N17</f>
        <v>1287953.6177922077</v>
      </c>
      <c r="P17" s="457">
        <f>+M17+N17</f>
        <v>1287953.6177922077</v>
      </c>
      <c r="Q17" s="384">
        <f>M17*(-1)+P17</f>
        <v>1221955.4077922106</v>
      </c>
    </row>
    <row r="18" spans="1:19" s="198" customFormat="1" outlineLevel="1">
      <c r="A18" s="197"/>
      <c r="B18" s="194" t="s">
        <v>92</v>
      </c>
      <c r="C18" s="285">
        <v>7593016.0899999999</v>
      </c>
      <c r="D18" s="285">
        <v>0</v>
      </c>
      <c r="E18" s="482"/>
      <c r="F18" s="482"/>
      <c r="G18" s="482"/>
      <c r="H18" s="285">
        <v>0</v>
      </c>
      <c r="I18" s="285">
        <f>SUMIF('Contract level'!$A:$A,"="&amp;'DFP-Com'!$A16,'Contract level'!AY:AY)</f>
        <v>0</v>
      </c>
      <c r="J18" s="285">
        <f>SUMIF('Contract level'!$A:$A,"="&amp;'DFP-Com'!$A16,'Contract level'!AZ:AZ)</f>
        <v>0</v>
      </c>
      <c r="K18" s="285">
        <f>SUM(H18:J18)+D18+C18</f>
        <v>7593016.0899999999</v>
      </c>
      <c r="L18" s="196">
        <v>0</v>
      </c>
      <c r="M18" s="271"/>
      <c r="N18" s="458"/>
      <c r="O18" s="471"/>
      <c r="P18" s="458"/>
      <c r="Q18" s="384"/>
    </row>
    <row r="19" spans="1:19" s="198" customFormat="1" outlineLevel="1">
      <c r="A19" s="197"/>
      <c r="B19" s="194" t="s">
        <v>93</v>
      </c>
      <c r="C19" s="285">
        <v>4390617.6500000013</v>
      </c>
      <c r="D19" s="285">
        <v>0</v>
      </c>
      <c r="E19" s="482">
        <v>552522</v>
      </c>
      <c r="F19" s="482">
        <v>92087</v>
      </c>
      <c r="G19" s="482">
        <v>200000</v>
      </c>
      <c r="H19" s="285">
        <v>0</v>
      </c>
      <c r="I19" s="285">
        <f>SUMIF('Contract level'!$A:$A,"="&amp;'DFP-Com'!$A17,'Contract level'!AY:AY)</f>
        <v>844609</v>
      </c>
      <c r="J19" s="285">
        <f>SUMIF('Contract level'!$A:$A,"="&amp;'DFP-Com'!$A17,'Contract level'!AZ:AZ)</f>
        <v>276261</v>
      </c>
      <c r="K19" s="285">
        <f>SUM(H19:J19)+D19+C19</f>
        <v>5511487.6500000013</v>
      </c>
      <c r="L19" s="196">
        <v>0</v>
      </c>
      <c r="M19" s="271"/>
      <c r="N19" s="458"/>
      <c r="O19" s="471"/>
      <c r="P19" s="458"/>
      <c r="Q19" s="384"/>
    </row>
    <row r="20" spans="1:19" s="198" customFormat="1" outlineLevel="1">
      <c r="A20" s="197"/>
      <c r="B20" s="194" t="s">
        <v>100</v>
      </c>
      <c r="C20" s="285">
        <v>529.46</v>
      </c>
      <c r="D20" s="285">
        <v>812</v>
      </c>
      <c r="E20" s="482">
        <v>13684.003333333334</v>
      </c>
      <c r="F20" s="482">
        <v>10224.003333333334</v>
      </c>
      <c r="G20" s="482">
        <v>10224</v>
      </c>
      <c r="H20" s="285">
        <v>0</v>
      </c>
      <c r="I20" s="285">
        <f>SUMIF('Contract level'!$A:$A,"="&amp;'DFP-Com'!$A18,'Contract level'!AY:AY)</f>
        <v>34132</v>
      </c>
      <c r="J20" s="285">
        <f>SUMIF('Contract level'!$A:$A,"="&amp;'DFP-Com'!$A18,'Contract level'!AZ:AZ)</f>
        <v>15980</v>
      </c>
      <c r="K20" s="285">
        <f>SUM(H20:J20)+D20+C20</f>
        <v>51453.46</v>
      </c>
      <c r="L20" s="196">
        <v>0</v>
      </c>
      <c r="M20" s="271"/>
      <c r="N20" s="458"/>
      <c r="O20" s="471"/>
      <c r="P20" s="458"/>
      <c r="Q20" s="384"/>
    </row>
    <row r="21" spans="1:19" s="198" customFormat="1" ht="25.5" outlineLevel="1">
      <c r="A21" s="197"/>
      <c r="B21" s="49" t="s">
        <v>67</v>
      </c>
      <c r="C21" s="190">
        <f>+C22</f>
        <v>4186209.8200000003</v>
      </c>
      <c r="D21" s="190">
        <f>+D22</f>
        <v>30972.9</v>
      </c>
      <c r="E21" s="481">
        <f>+E22</f>
        <v>27078.6</v>
      </c>
      <c r="F21" s="481">
        <f t="shared" ref="F21:G21" si="2">+F22</f>
        <v>31285.86</v>
      </c>
      <c r="G21" s="481">
        <f t="shared" si="2"/>
        <v>0</v>
      </c>
      <c r="H21" s="190">
        <f t="shared" ref="H21:J21" si="3">H22</f>
        <v>0</v>
      </c>
      <c r="I21" s="190">
        <f t="shared" si="3"/>
        <v>58364.460000000006</v>
      </c>
      <c r="J21" s="190">
        <f t="shared" si="3"/>
        <v>0</v>
      </c>
      <c r="K21" s="190">
        <f>K22</f>
        <v>4275547.1800000006</v>
      </c>
      <c r="L21" s="402">
        <f>'QFR - B'!M16</f>
        <v>4279659.41</v>
      </c>
      <c r="M21" s="270">
        <f>L21-K21</f>
        <v>4112.2299999995157</v>
      </c>
      <c r="N21" s="457">
        <f>-495340.59-15000</f>
        <v>-510340.59</v>
      </c>
      <c r="O21" s="470">
        <f>+M21+N21</f>
        <v>-506228.36000000051</v>
      </c>
      <c r="P21" s="457">
        <f>+M21+N21</f>
        <v>-506228.36000000051</v>
      </c>
      <c r="Q21" s="384">
        <f>+P21-M21</f>
        <v>-510340.59</v>
      </c>
    </row>
    <row r="22" spans="1:19" s="198" customFormat="1" outlineLevel="1">
      <c r="A22" s="197"/>
      <c r="B22" s="194" t="s">
        <v>101</v>
      </c>
      <c r="C22" s="285">
        <v>4186209.8200000003</v>
      </c>
      <c r="D22" s="285">
        <v>30972.9</v>
      </c>
      <c r="E22" s="482">
        <v>27078.6</v>
      </c>
      <c r="F22" s="482">
        <v>31285.86</v>
      </c>
      <c r="G22" s="482">
        <v>0</v>
      </c>
      <c r="H22" s="285">
        <v>0</v>
      </c>
      <c r="I22" s="285">
        <f>SUMIF('Contract level'!$A:$A,"="&amp;'DFP-Com'!$A20,'Contract level'!AY:AY)</f>
        <v>58364.460000000006</v>
      </c>
      <c r="J22" s="285">
        <f>SUMIF('Contract level'!$A:$A,"="&amp;'DFP-Com'!$A20,'Contract level'!AZ:AZ)</f>
        <v>0</v>
      </c>
      <c r="K22" s="285">
        <f>SUM(H22:J22)+D22+C22</f>
        <v>4275547.1800000006</v>
      </c>
      <c r="L22" s="196">
        <v>0</v>
      </c>
      <c r="M22" s="271"/>
      <c r="N22" s="458"/>
      <c r="O22" s="471"/>
      <c r="P22" s="458"/>
      <c r="Q22" s="384"/>
    </row>
    <row r="23" spans="1:19" s="198" customFormat="1" outlineLevel="1">
      <c r="A23" s="197"/>
      <c r="B23" s="49" t="s">
        <v>68</v>
      </c>
      <c r="C23" s="190">
        <f>+C24+C25+C26</f>
        <v>3244445.1399999997</v>
      </c>
      <c r="D23" s="190">
        <f>+D24+D25+D26</f>
        <v>25944.959999999999</v>
      </c>
      <c r="E23" s="481">
        <f>+E24+E25+E26</f>
        <v>10188.293333333333</v>
      </c>
      <c r="F23" s="481">
        <f>+F24+F25+F26</f>
        <v>11188.293333333333</v>
      </c>
      <c r="G23" s="481">
        <f>+G24+G25+G26</f>
        <v>11188.293333333333</v>
      </c>
      <c r="H23" s="190">
        <f t="shared" ref="H23:J23" si="4">SUM(H24:H26)</f>
        <v>0</v>
      </c>
      <c r="I23" s="190">
        <f t="shared" si="4"/>
        <v>32564.880000000001</v>
      </c>
      <c r="J23" s="190">
        <f t="shared" si="4"/>
        <v>53767.64</v>
      </c>
      <c r="K23" s="190">
        <f t="shared" ref="K23" si="5">SUM(K24:K26)</f>
        <v>3356722.6199999996</v>
      </c>
      <c r="L23" s="192">
        <f>'QFR - B'!M17</f>
        <v>3387959.57</v>
      </c>
      <c r="M23" s="270">
        <f>L23-K23</f>
        <v>31236.950000000186</v>
      </c>
      <c r="N23" s="457">
        <v>99859.569999999832</v>
      </c>
      <c r="O23" s="470">
        <f>+M23+N23</f>
        <v>131096.52000000002</v>
      </c>
      <c r="P23" s="457">
        <f>+M23+N23</f>
        <v>131096.52000000002</v>
      </c>
      <c r="Q23" s="384">
        <f>M23*(-1)+P23</f>
        <v>99859.569999999832</v>
      </c>
    </row>
    <row r="24" spans="1:19" s="198" customFormat="1" outlineLevel="1">
      <c r="A24" s="197"/>
      <c r="B24" s="194" t="s">
        <v>94</v>
      </c>
      <c r="C24" s="285">
        <v>2944197.11</v>
      </c>
      <c r="D24" s="285"/>
      <c r="E24" s="482"/>
      <c r="F24" s="482"/>
      <c r="G24" s="482"/>
      <c r="H24" s="285">
        <f>SUMIF('Contract level'!$A:$A,"="&amp;'DFP-Com'!$A22,'Contract level'!AX:AX)</f>
        <v>0</v>
      </c>
      <c r="I24" s="285">
        <f>SUMIF('Contract level'!$A:$A,"="&amp;'DFP-Com'!$A22,'Contract level'!AY:AY)</f>
        <v>0</v>
      </c>
      <c r="J24" s="285">
        <f>SUMIF('Contract level'!$A:$A,"="&amp;'DFP-Com'!$A22,'Contract level'!AZ:AZ)</f>
        <v>0</v>
      </c>
      <c r="K24" s="285">
        <f>SUM(H24:J24)+D24+C24</f>
        <v>2944197.11</v>
      </c>
      <c r="L24" s="196">
        <v>0</v>
      </c>
      <c r="M24" s="271"/>
      <c r="N24" s="458"/>
      <c r="O24" s="471"/>
      <c r="P24" s="458"/>
      <c r="Q24" s="384"/>
    </row>
    <row r="25" spans="1:19" s="198" customFormat="1" outlineLevel="1">
      <c r="A25" s="197"/>
      <c r="B25" s="194" t="s">
        <v>110</v>
      </c>
      <c r="C25" s="285">
        <v>297988.42000000004</v>
      </c>
      <c r="D25" s="285">
        <v>23464.959999999999</v>
      </c>
      <c r="E25" s="482">
        <v>8188.2933333333331</v>
      </c>
      <c r="F25" s="482">
        <v>8188.2933333333331</v>
      </c>
      <c r="G25" s="482">
        <v>8188.2933333333331</v>
      </c>
      <c r="H25" s="285">
        <v>0</v>
      </c>
      <c r="I25" s="285">
        <f>SUMIF('Contract level'!$A:$A,"="&amp;'DFP-Com'!$A23,'Contract level'!AY:AY)</f>
        <v>24564.880000000001</v>
      </c>
      <c r="J25" s="285">
        <f>SUMIF('Contract level'!$A:$A,"="&amp;'DFP-Com'!$A23,'Contract level'!AZ:AZ)</f>
        <v>48287.64</v>
      </c>
      <c r="K25" s="285">
        <f>SUM(H25:J25)+D25+C25</f>
        <v>394305.9</v>
      </c>
      <c r="L25" s="196">
        <v>0</v>
      </c>
      <c r="M25" s="271"/>
      <c r="N25" s="458"/>
      <c r="O25" s="471"/>
      <c r="P25" s="458"/>
      <c r="Q25" s="384"/>
    </row>
    <row r="26" spans="1:19" s="198" customFormat="1" outlineLevel="1">
      <c r="A26" s="197"/>
      <c r="B26" s="194" t="s">
        <v>109</v>
      </c>
      <c r="C26" s="285">
        <v>2259.61</v>
      </c>
      <c r="D26" s="285">
        <v>2480</v>
      </c>
      <c r="E26" s="482">
        <v>2000</v>
      </c>
      <c r="F26" s="482">
        <v>3000</v>
      </c>
      <c r="G26" s="482">
        <v>3000</v>
      </c>
      <c r="H26" s="285">
        <v>0</v>
      </c>
      <c r="I26" s="285">
        <f>SUMIF('Contract level'!$A:$A,"="&amp;'DFP-Com'!$A24,'Contract level'!AY:AY)</f>
        <v>8000</v>
      </c>
      <c r="J26" s="285">
        <f>SUMIF('Contract level'!$A:$A,"="&amp;'DFP-Com'!$A24,'Contract level'!AZ:AZ)</f>
        <v>5480</v>
      </c>
      <c r="K26" s="285">
        <f>SUM(H26:J26)+D26+C26</f>
        <v>18219.61</v>
      </c>
      <c r="L26" s="196">
        <v>0</v>
      </c>
      <c r="M26" s="271"/>
      <c r="N26" s="458"/>
      <c r="O26" s="471"/>
      <c r="P26" s="458"/>
      <c r="Q26" s="384"/>
    </row>
    <row r="27" spans="1:19" s="198" customFormat="1">
      <c r="A27" s="197"/>
      <c r="B27" s="50" t="s">
        <v>59</v>
      </c>
      <c r="C27" s="191">
        <f>+C23+C21+C17</f>
        <v>19414818.160000004</v>
      </c>
      <c r="D27" s="191">
        <f>+D23+D21+D17</f>
        <v>57729.86</v>
      </c>
      <c r="E27" s="191">
        <f t="shared" ref="E27:G27" si="6">+E23+E21+E17</f>
        <v>603472.89666666661</v>
      </c>
      <c r="F27" s="191">
        <f t="shared" si="6"/>
        <v>144785.15666666668</v>
      </c>
      <c r="G27" s="191">
        <f t="shared" si="6"/>
        <v>221412.29333333333</v>
      </c>
      <c r="H27" s="191">
        <f t="shared" ref="H27:J27" si="7">H23+H21+H17</f>
        <v>0</v>
      </c>
      <c r="I27" s="191">
        <f t="shared" si="7"/>
        <v>969670.34</v>
      </c>
      <c r="J27" s="191">
        <f t="shared" si="7"/>
        <v>346008.64</v>
      </c>
      <c r="K27" s="191">
        <f>K23+K21+K17</f>
        <v>20788227.000000004</v>
      </c>
      <c r="L27" s="193">
        <f>L17+L21+L23</f>
        <v>20889574.390000001</v>
      </c>
      <c r="M27" s="272">
        <f>M17+M21+M23</f>
        <v>101347.38999999687</v>
      </c>
      <c r="N27" s="459"/>
      <c r="O27" s="470"/>
      <c r="P27" s="459"/>
      <c r="Q27" s="384"/>
    </row>
    <row r="28" spans="1:19">
      <c r="A28" s="48"/>
      <c r="B28" s="51"/>
      <c r="C28" s="52"/>
      <c r="D28" s="53"/>
      <c r="E28" s="484"/>
      <c r="F28" s="484"/>
      <c r="G28" s="484"/>
      <c r="H28" s="207"/>
      <c r="I28" s="207"/>
      <c r="J28" s="207"/>
      <c r="K28" s="207"/>
      <c r="L28" s="255"/>
      <c r="M28" s="273"/>
      <c r="N28" s="460"/>
      <c r="O28" s="470"/>
      <c r="P28" s="460"/>
      <c r="Q28" s="384"/>
      <c r="R28" s="5"/>
      <c r="S28" s="5"/>
    </row>
    <row r="29" spans="1:19">
      <c r="A29" s="48"/>
      <c r="B29" s="44" t="s">
        <v>71</v>
      </c>
      <c r="C29" s="54"/>
      <c r="D29" s="55"/>
      <c r="E29" s="485"/>
      <c r="F29" s="485"/>
      <c r="G29" s="485"/>
      <c r="H29" s="208"/>
      <c r="I29" s="208"/>
      <c r="J29" s="208"/>
      <c r="K29" s="208"/>
      <c r="L29" s="256"/>
      <c r="M29" s="274"/>
      <c r="N29" s="461"/>
      <c r="O29" s="470"/>
      <c r="P29" s="461"/>
      <c r="Q29" s="384"/>
      <c r="R29" s="5"/>
      <c r="S29" s="5"/>
    </row>
    <row r="30" spans="1:19" hidden="1" outlineLevel="1">
      <c r="A30" s="48"/>
      <c r="B30" s="49" t="s">
        <v>111</v>
      </c>
      <c r="C30" s="367">
        <f>+C31</f>
        <v>1027385.08</v>
      </c>
      <c r="D30" s="41">
        <f>+D31</f>
        <v>136316.89000000001</v>
      </c>
      <c r="E30" s="486">
        <f>+E31</f>
        <v>58183.889999999992</v>
      </c>
      <c r="F30" s="486">
        <f>+F31</f>
        <v>51183.889999999992</v>
      </c>
      <c r="G30" s="486">
        <f>+G31</f>
        <v>51183.889999999992</v>
      </c>
      <c r="H30" s="210">
        <f t="shared" ref="H30:K30" si="8">SUM(H31:H31)</f>
        <v>0</v>
      </c>
      <c r="I30" s="210">
        <f t="shared" si="8"/>
        <v>160551.67000000001</v>
      </c>
      <c r="J30" s="210">
        <f t="shared" si="8"/>
        <v>37396.239999999998</v>
      </c>
      <c r="K30" s="210">
        <f t="shared" si="8"/>
        <v>1361649.88</v>
      </c>
      <c r="L30" s="192">
        <f>'QFR - B'!M20</f>
        <v>1412145.29</v>
      </c>
      <c r="M30" s="270">
        <f>L30-K30</f>
        <v>50495.410000000149</v>
      </c>
      <c r="N30" s="457">
        <f>197235.29-90</f>
        <v>197145.29</v>
      </c>
      <c r="O30" s="470">
        <v>25000</v>
      </c>
      <c r="P30" s="457">
        <f>+M30+N30</f>
        <v>247640.70000000016</v>
      </c>
      <c r="Q30" s="384">
        <f>M30*(-1)+P30</f>
        <v>197145.29</v>
      </c>
      <c r="R30" s="5"/>
      <c r="S30" s="5"/>
    </row>
    <row r="31" spans="1:19" s="198" customFormat="1" hidden="1" outlineLevel="1">
      <c r="A31" s="197"/>
      <c r="B31" s="194" t="s">
        <v>104</v>
      </c>
      <c r="C31" s="347">
        <f>1021609.48+5775.6</f>
        <v>1027385.08</v>
      </c>
      <c r="D31" s="285">
        <v>136316.89000000001</v>
      </c>
      <c r="E31" s="482">
        <v>58183.889999999992</v>
      </c>
      <c r="F31" s="482">
        <v>51183.889999999992</v>
      </c>
      <c r="G31" s="482">
        <v>51183.889999999992</v>
      </c>
      <c r="H31" s="285">
        <v>0</v>
      </c>
      <c r="I31" s="285">
        <f>SUMIF('Contract level'!$A:$A,"="&amp;'DFP-Com'!$A29,'Contract level'!AY:AY)</f>
        <v>160551.67000000001</v>
      </c>
      <c r="J31" s="285">
        <f>SUMIF('Contract level'!$A:$A,"="&amp;'DFP-Com'!$A29,'Contract level'!AZ:AZ)</f>
        <v>37396.239999999998</v>
      </c>
      <c r="K31" s="285">
        <f>SUM(H31:J31)+D31+C31</f>
        <v>1361649.88</v>
      </c>
      <c r="L31" s="196"/>
      <c r="M31" s="271"/>
      <c r="N31" s="458"/>
      <c r="O31" s="471"/>
      <c r="P31" s="458"/>
      <c r="Q31" s="384"/>
    </row>
    <row r="32" spans="1:19" hidden="1" outlineLevel="1">
      <c r="A32" s="48"/>
      <c r="B32" s="49" t="s">
        <v>75</v>
      </c>
      <c r="C32" s="327">
        <f>+C33+C34+C35</f>
        <v>1548175.27</v>
      </c>
      <c r="D32" s="327">
        <f>+D33+D34+D35</f>
        <v>0</v>
      </c>
      <c r="E32" s="481">
        <f>+E33+E34+E35</f>
        <v>0</v>
      </c>
      <c r="F32" s="481">
        <f t="shared" ref="F32:G32" si="9">+F33+F34+F35</f>
        <v>0</v>
      </c>
      <c r="G32" s="481">
        <f t="shared" si="9"/>
        <v>0</v>
      </c>
      <c r="H32" s="190">
        <f t="shared" ref="H32:J32" si="10">SUM(H33:H35)</f>
        <v>0</v>
      </c>
      <c r="I32" s="190">
        <f t="shared" si="10"/>
        <v>0</v>
      </c>
      <c r="J32" s="190">
        <f t="shared" si="10"/>
        <v>0</v>
      </c>
      <c r="K32" s="190">
        <f>SUM(K33:K35)</f>
        <v>1548175.27</v>
      </c>
      <c r="L32" s="192">
        <f>'QFR - B'!M21</f>
        <v>1548175.27</v>
      </c>
      <c r="M32" s="270">
        <f>L32-K32</f>
        <v>0</v>
      </c>
      <c r="N32" s="457">
        <v>-414224.73</v>
      </c>
      <c r="O32" s="470">
        <f>+M32+N32</f>
        <v>-414224.73</v>
      </c>
      <c r="P32" s="457"/>
      <c r="Q32" s="384">
        <v>-429224.73</v>
      </c>
      <c r="R32" s="5"/>
      <c r="S32" s="5"/>
    </row>
    <row r="33" spans="1:19" s="198" customFormat="1" hidden="1" outlineLevel="1">
      <c r="A33" s="197"/>
      <c r="B33" s="194" t="s">
        <v>105</v>
      </c>
      <c r="C33" s="347">
        <v>477302.5</v>
      </c>
      <c r="D33" s="285">
        <v>0</v>
      </c>
      <c r="E33" s="482"/>
      <c r="F33" s="482"/>
      <c r="G33" s="482">
        <v>0</v>
      </c>
      <c r="H33" s="285">
        <f>SUMIF('Contract level'!$A:$A,"="&amp;'DFP-Com'!$A31,'Contract level'!AX:AX)</f>
        <v>0</v>
      </c>
      <c r="I33" s="285">
        <f>SUMIF('Contract level'!$A:$A,"="&amp;'DFP-Com'!$A31,'Contract level'!AY:AY)</f>
        <v>0</v>
      </c>
      <c r="J33" s="285">
        <f>SUMIF('Contract level'!$A:$A,"="&amp;'DFP-Com'!$A31,'Contract level'!AZ:AZ)</f>
        <v>0</v>
      </c>
      <c r="K33" s="285">
        <f>SUM(H33:J33)+D33+C33</f>
        <v>477302.5</v>
      </c>
      <c r="L33" s="196"/>
      <c r="M33" s="271"/>
      <c r="N33" s="458"/>
      <c r="O33" s="471"/>
      <c r="P33" s="458"/>
      <c r="Q33" s="384"/>
    </row>
    <row r="34" spans="1:19" s="198" customFormat="1" hidden="1" outlineLevel="1">
      <c r="A34" s="197"/>
      <c r="B34" s="194" t="s">
        <v>106</v>
      </c>
      <c r="C34" s="347">
        <v>1030229</v>
      </c>
      <c r="D34" s="347">
        <v>0</v>
      </c>
      <c r="E34" s="482">
        <v>0</v>
      </c>
      <c r="F34" s="482">
        <v>0</v>
      </c>
      <c r="G34" s="482"/>
      <c r="H34" s="285">
        <f>SUMIF('Contract level'!$A:$A,"="&amp;'DFP-Com'!$A32,'Contract level'!AX:AX)</f>
        <v>0</v>
      </c>
      <c r="I34" s="285">
        <f>SUMIF('Contract level'!$A:$A,"="&amp;'DFP-Com'!$A32,'Contract level'!AY:AY)</f>
        <v>0</v>
      </c>
      <c r="J34" s="285">
        <f>SUMIF('Contract level'!$A:$A,"="&amp;'DFP-Com'!$A32,'Contract level'!AZ:AZ)</f>
        <v>0</v>
      </c>
      <c r="K34" s="285">
        <f>SUM(H34:J34)+D34+C34</f>
        <v>1030229</v>
      </c>
      <c r="L34" s="196"/>
      <c r="M34" s="271"/>
      <c r="N34" s="458"/>
      <c r="O34" s="471"/>
      <c r="P34" s="458"/>
      <c r="Q34" s="384"/>
    </row>
    <row r="35" spans="1:19" s="198" customFormat="1" hidden="1" outlineLevel="1">
      <c r="A35" s="197"/>
      <c r="B35" s="194" t="s">
        <v>108</v>
      </c>
      <c r="C35" s="347">
        <v>40643.769999999997</v>
      </c>
      <c r="D35" s="347">
        <v>0</v>
      </c>
      <c r="E35" s="482"/>
      <c r="F35" s="482">
        <v>0</v>
      </c>
      <c r="G35" s="482">
        <v>0</v>
      </c>
      <c r="H35" s="285">
        <f>SUMIF('Contract level'!$A:$A,"="&amp;'DFP-Com'!$A33,'Contract level'!AX:AX)</f>
        <v>0</v>
      </c>
      <c r="I35" s="285">
        <f>SUMIF('Contract level'!$A:$A,"="&amp;'DFP-Com'!$A33,'Contract level'!AY:AY)</f>
        <v>0</v>
      </c>
      <c r="J35" s="285">
        <f>SUMIF('Contract level'!$A:$A,"="&amp;'DFP-Com'!$A33,'Contract level'!AZ:AZ)</f>
        <v>0</v>
      </c>
      <c r="K35" s="285">
        <f>SUM(H35:J35)+D35+C35</f>
        <v>40643.769999999997</v>
      </c>
      <c r="L35" s="196"/>
      <c r="M35" s="271"/>
      <c r="N35" s="458"/>
      <c r="O35" s="471"/>
      <c r="P35" s="458"/>
      <c r="Q35" s="384"/>
    </row>
    <row r="36" spans="1:19" collapsed="1">
      <c r="A36" s="48"/>
      <c r="B36" s="56" t="s">
        <v>60</v>
      </c>
      <c r="C36" s="496">
        <f>+C32+C30</f>
        <v>2575560.35</v>
      </c>
      <c r="D36" s="496">
        <f>+D32+D30</f>
        <v>136316.89000000001</v>
      </c>
      <c r="E36" s="483">
        <f>+E32+E30</f>
        <v>58183.889999999992</v>
      </c>
      <c r="F36" s="483">
        <f t="shared" ref="F36:G36" si="11">+F32+F30</f>
        <v>51183.889999999992</v>
      </c>
      <c r="G36" s="483">
        <f t="shared" si="11"/>
        <v>51183.889999999992</v>
      </c>
      <c r="H36" s="191">
        <f t="shared" ref="H36:J36" si="12">H32+H30</f>
        <v>0</v>
      </c>
      <c r="I36" s="191">
        <f t="shared" si="12"/>
        <v>160551.67000000001</v>
      </c>
      <c r="J36" s="191">
        <f t="shared" si="12"/>
        <v>37396.239999999998</v>
      </c>
      <c r="K36" s="191">
        <f>K32+K30</f>
        <v>2909825.15</v>
      </c>
      <c r="L36" s="191">
        <f t="shared" ref="L36:M36" si="13">L32+L30</f>
        <v>2960320.56</v>
      </c>
      <c r="M36" s="276">
        <f t="shared" si="13"/>
        <v>50495.410000000149</v>
      </c>
      <c r="N36" s="459"/>
      <c r="O36" s="470"/>
      <c r="P36" s="459"/>
      <c r="Q36" s="384"/>
      <c r="R36" s="5"/>
      <c r="S36" s="5"/>
    </row>
    <row r="37" spans="1:19">
      <c r="A37" s="48"/>
      <c r="B37" s="51"/>
      <c r="C37" s="52"/>
      <c r="D37" s="53"/>
      <c r="E37" s="484"/>
      <c r="F37" s="484"/>
      <c r="G37" s="484"/>
      <c r="H37" s="207"/>
      <c r="I37" s="207"/>
      <c r="J37" s="207"/>
      <c r="K37" s="207"/>
      <c r="L37" s="255"/>
      <c r="M37" s="273"/>
      <c r="N37" s="460"/>
      <c r="O37" s="470"/>
      <c r="P37" s="460"/>
      <c r="Q37" s="384"/>
      <c r="R37" s="5"/>
      <c r="S37" s="5"/>
    </row>
    <row r="38" spans="1:19" s="10" customFormat="1">
      <c r="A38" s="57"/>
      <c r="B38" s="44" t="s">
        <v>79</v>
      </c>
      <c r="C38" s="58"/>
      <c r="D38" s="59"/>
      <c r="E38" s="253"/>
      <c r="F38" s="253"/>
      <c r="G38" s="253"/>
      <c r="H38" s="253"/>
      <c r="I38" s="253"/>
      <c r="J38" s="253"/>
      <c r="K38" s="208"/>
      <c r="L38" s="256"/>
      <c r="M38" s="274"/>
      <c r="N38" s="461"/>
      <c r="O38" s="470"/>
      <c r="P38" s="461"/>
      <c r="Q38" s="384"/>
    </row>
    <row r="39" spans="1:19" s="10" customFormat="1" outlineLevel="1">
      <c r="A39" s="57"/>
      <c r="B39" s="62" t="s">
        <v>80</v>
      </c>
      <c r="C39" s="327">
        <f>+C40+C41+C42+C43</f>
        <v>491440.41000000003</v>
      </c>
      <c r="D39" s="327">
        <f>+D40+D41+D42+D43</f>
        <v>18093.060000000001</v>
      </c>
      <c r="E39" s="481">
        <f>+E40+E41+E42+E43</f>
        <v>6665.4933333333329</v>
      </c>
      <c r="F39" s="481">
        <f t="shared" ref="F39:G39" si="14">+F40+F41+F42+F43</f>
        <v>6665.4933333333329</v>
      </c>
      <c r="G39" s="481">
        <f t="shared" si="14"/>
        <v>8665.493333333332</v>
      </c>
      <c r="H39" s="190">
        <f t="shared" ref="H39:J39" si="15">SUM(H40:H43)</f>
        <v>0</v>
      </c>
      <c r="I39" s="190">
        <f t="shared" si="15"/>
        <v>21996.48</v>
      </c>
      <c r="J39" s="190">
        <f t="shared" si="15"/>
        <v>14298.68</v>
      </c>
      <c r="K39" s="210">
        <f t="shared" ref="K39" si="16">SUM(K40:K43)</f>
        <v>545828.63000000012</v>
      </c>
      <c r="L39" s="192">
        <f>'QFR - B'!M24</f>
        <v>603518.79</v>
      </c>
      <c r="M39" s="270">
        <f>L39-K39</f>
        <v>57690.159999999916</v>
      </c>
      <c r="N39" s="457">
        <f>-827704.84029221+223.63</f>
        <v>-827481.21029220999</v>
      </c>
      <c r="O39" s="470">
        <f>+M39+N39</f>
        <v>-769791.05029221007</v>
      </c>
      <c r="P39" s="457">
        <f>+M39+N39</f>
        <v>-769791.05029221007</v>
      </c>
      <c r="Q39" s="384">
        <f>+P39-M39</f>
        <v>-827481.21029220999</v>
      </c>
    </row>
    <row r="40" spans="1:19" s="203" customFormat="1" outlineLevel="1">
      <c r="A40" s="201"/>
      <c r="B40" s="202" t="s">
        <v>95</v>
      </c>
      <c r="C40" s="340">
        <v>442829.66000000003</v>
      </c>
      <c r="D40" s="340">
        <v>7955.2800000000007</v>
      </c>
      <c r="E40" s="482">
        <v>4665.4933333333329</v>
      </c>
      <c r="F40" s="482">
        <v>4665.4933333333329</v>
      </c>
      <c r="G40" s="482">
        <v>4665.4933333333329</v>
      </c>
      <c r="H40" s="285">
        <v>0</v>
      </c>
      <c r="I40" s="285">
        <f>SUMIF('Contract level'!$A:$A,"="&amp;'DFP-Com'!$A38,'Contract level'!AY:AY)</f>
        <v>13996.48</v>
      </c>
      <c r="J40" s="285">
        <f>SUMIF('Contract level'!$A:$A,"="&amp;'DFP-Com'!$A38,'Contract level'!AZ:AZ)</f>
        <v>5858.2</v>
      </c>
      <c r="K40" s="285">
        <f>SUM(H40:J40)+D40+C40</f>
        <v>470639.62000000005</v>
      </c>
      <c r="L40" s="257"/>
      <c r="M40" s="275"/>
      <c r="N40" s="458"/>
      <c r="O40" s="471"/>
      <c r="P40" s="458"/>
      <c r="Q40" s="384"/>
    </row>
    <row r="41" spans="1:19" s="203" customFormat="1" outlineLevel="1">
      <c r="A41" s="201"/>
      <c r="B41" s="202" t="s">
        <v>96</v>
      </c>
      <c r="C41" s="340"/>
      <c r="D41" s="340"/>
      <c r="E41" s="482"/>
      <c r="F41" s="482"/>
      <c r="G41" s="482"/>
      <c r="H41" s="285">
        <f>SUMIF('Contract level'!$A:$A,"="&amp;'DFP-Com'!$A39,'Contract level'!AX:AX)</f>
        <v>0</v>
      </c>
      <c r="I41" s="285">
        <f>SUMIF('Contract level'!$A:$A,"="&amp;'DFP-Com'!$A39,'Contract level'!AY:AY)</f>
        <v>0</v>
      </c>
      <c r="J41" s="285">
        <f>SUMIF('Contract level'!$A:$A,"="&amp;'DFP-Com'!$A39,'Contract level'!AZ:AZ)</f>
        <v>0</v>
      </c>
      <c r="K41" s="285">
        <f>SUM(H41:J41)+D41+C41</f>
        <v>0</v>
      </c>
      <c r="L41" s="257"/>
      <c r="M41" s="275"/>
      <c r="N41" s="458"/>
      <c r="O41" s="471"/>
      <c r="P41" s="458"/>
      <c r="Q41" s="384">
        <f>+P39+K39</f>
        <v>-223962.42029220995</v>
      </c>
    </row>
    <row r="42" spans="1:19" s="203" customFormat="1" outlineLevel="1">
      <c r="A42" s="201"/>
      <c r="B42" s="202" t="s">
        <v>97</v>
      </c>
      <c r="C42" s="340"/>
      <c r="D42" s="340"/>
      <c r="E42" s="482"/>
      <c r="F42" s="482"/>
      <c r="G42" s="482"/>
      <c r="H42" s="285">
        <f>SUMIF('Contract level'!$A:$A,"="&amp;'DFP-Com'!$A40,'Contract level'!AX:AX)</f>
        <v>0</v>
      </c>
      <c r="I42" s="285">
        <f>SUMIF('Contract level'!$A:$A,"="&amp;'DFP-Com'!$A40,'Contract level'!AY:AY)</f>
        <v>0</v>
      </c>
      <c r="J42" s="285">
        <f>SUMIF('Contract level'!$A:$A,"="&amp;'DFP-Com'!$A40,'Contract level'!AZ:AZ)</f>
        <v>0</v>
      </c>
      <c r="K42" s="285">
        <f>SUM(H42:J42)+D42+C42</f>
        <v>0</v>
      </c>
      <c r="L42" s="257"/>
      <c r="M42" s="275"/>
      <c r="N42" s="458"/>
      <c r="O42" s="471"/>
      <c r="P42" s="458"/>
      <c r="Q42" s="384"/>
    </row>
    <row r="43" spans="1:19" s="203" customFormat="1" outlineLevel="1">
      <c r="A43" s="201"/>
      <c r="B43" s="202" t="s">
        <v>107</v>
      </c>
      <c r="C43" s="340">
        <v>48610.75</v>
      </c>
      <c r="D43" s="340">
        <v>10137.780000000001</v>
      </c>
      <c r="E43" s="482">
        <v>2000</v>
      </c>
      <c r="F43" s="482">
        <v>2000</v>
      </c>
      <c r="G43" s="482">
        <v>4000</v>
      </c>
      <c r="H43" s="285">
        <v>0</v>
      </c>
      <c r="I43" s="285">
        <f>SUMIF('Contract level'!$A:$A,"="&amp;'DFP-Com'!$A41,'Contract level'!AY:AY)</f>
        <v>8000</v>
      </c>
      <c r="J43" s="285">
        <f>SUMIF('Contract level'!$A:$A,"="&amp;'DFP-Com'!$A41,'Contract level'!AZ:AZ)</f>
        <v>8440.48</v>
      </c>
      <c r="K43" s="285">
        <f>SUM(H43:J43)+D43+C43</f>
        <v>75189.010000000009</v>
      </c>
      <c r="L43" s="257"/>
      <c r="M43" s="275"/>
      <c r="N43" s="458"/>
      <c r="O43" s="471"/>
      <c r="P43" s="458"/>
      <c r="Q43" s="384"/>
    </row>
    <row r="44" spans="1:19">
      <c r="A44" s="48"/>
      <c r="B44" s="56" t="s">
        <v>15</v>
      </c>
      <c r="C44" s="366">
        <f>+C39</f>
        <v>491440.41000000003</v>
      </c>
      <c r="D44" s="366">
        <f>+D39</f>
        <v>18093.060000000001</v>
      </c>
      <c r="E44" s="483">
        <f>+E39</f>
        <v>6665.4933333333329</v>
      </c>
      <c r="F44" s="483">
        <f t="shared" ref="F44:G44" si="17">+F39</f>
        <v>6665.4933333333329</v>
      </c>
      <c r="G44" s="483">
        <f t="shared" si="17"/>
        <v>8665.493333333332</v>
      </c>
      <c r="H44" s="191">
        <f t="shared" ref="H44:J44" si="18">H39</f>
        <v>0</v>
      </c>
      <c r="I44" s="191">
        <f t="shared" si="18"/>
        <v>21996.48</v>
      </c>
      <c r="J44" s="191">
        <f t="shared" si="18"/>
        <v>14298.68</v>
      </c>
      <c r="K44" s="191">
        <f t="shared" ref="K44:M44" si="19">K39</f>
        <v>545828.63000000012</v>
      </c>
      <c r="L44" s="258">
        <f t="shared" si="19"/>
        <v>603518.79</v>
      </c>
      <c r="M44" s="276">
        <f t="shared" si="19"/>
        <v>57690.159999999916</v>
      </c>
      <c r="N44" s="459"/>
      <c r="O44" s="470"/>
      <c r="P44" s="459"/>
      <c r="Q44" s="384"/>
      <c r="R44" s="5"/>
      <c r="S44" s="5"/>
    </row>
    <row r="45" spans="1:19">
      <c r="A45" s="48"/>
      <c r="B45" s="51"/>
      <c r="C45" s="52"/>
      <c r="D45" s="53"/>
      <c r="E45" s="484"/>
      <c r="F45" s="484"/>
      <c r="G45" s="484"/>
      <c r="H45" s="207"/>
      <c r="I45" s="207"/>
      <c r="J45" s="207"/>
      <c r="K45" s="207"/>
      <c r="L45" s="255"/>
      <c r="M45" s="273"/>
      <c r="N45" s="460"/>
      <c r="O45" s="470"/>
      <c r="P45" s="460"/>
      <c r="Q45" s="384"/>
      <c r="R45" s="5"/>
      <c r="S45" s="5"/>
    </row>
    <row r="46" spans="1:19" s="10" customFormat="1">
      <c r="A46" s="57"/>
      <c r="B46" s="44" t="s">
        <v>73</v>
      </c>
      <c r="C46" s="58"/>
      <c r="D46" s="59"/>
      <c r="E46" s="253"/>
      <c r="F46" s="253"/>
      <c r="G46" s="253"/>
      <c r="H46" s="253"/>
      <c r="I46" s="253"/>
      <c r="J46" s="253"/>
      <c r="K46" s="208"/>
      <c r="L46" s="256"/>
      <c r="M46" s="274"/>
      <c r="N46" s="461"/>
      <c r="O46" s="470"/>
      <c r="P46" s="461"/>
      <c r="Q46" s="384"/>
    </row>
    <row r="47" spans="1:19" hidden="1" outlineLevel="1">
      <c r="A47" s="48"/>
      <c r="B47" s="63" t="s">
        <v>82</v>
      </c>
      <c r="C47" s="327">
        <f>+C48+C49+C50+C51</f>
        <v>1174163.5</v>
      </c>
      <c r="D47" s="327">
        <f>+D48+D49+D50+D51</f>
        <v>107723.43999999999</v>
      </c>
      <c r="E47" s="481">
        <f>+E48+E49+E50+E51</f>
        <v>37770.733333333337</v>
      </c>
      <c r="F47" s="481">
        <f t="shared" ref="F47:G47" si="20">+F48+F49+F50+F51</f>
        <v>38270.733333333337</v>
      </c>
      <c r="G47" s="481">
        <f t="shared" si="20"/>
        <v>68770.733333333337</v>
      </c>
      <c r="H47" s="190">
        <f t="shared" ref="H47:J47" si="21">SUM(H48:H51)</f>
        <v>0</v>
      </c>
      <c r="I47" s="190">
        <f t="shared" si="21"/>
        <v>144812.20000000001</v>
      </c>
      <c r="J47" s="190">
        <f t="shared" si="21"/>
        <v>316328.59000000003</v>
      </c>
      <c r="K47" s="210">
        <f>SUM(K48:K51)</f>
        <v>1743027.7299999997</v>
      </c>
      <c r="L47" s="192">
        <f>'QFR - B'!M27</f>
        <v>1744086.26</v>
      </c>
      <c r="M47" s="270">
        <f>L47-K47</f>
        <v>1058.5300000002608</v>
      </c>
      <c r="N47" s="457">
        <f>233219.8925-133.63</f>
        <v>233086.26249999998</v>
      </c>
      <c r="O47" s="470">
        <f>+M47+N47</f>
        <v>234144.79250000024</v>
      </c>
      <c r="P47" s="457">
        <f>+M47+N47</f>
        <v>234144.79250000024</v>
      </c>
      <c r="Q47" s="384">
        <f>M47*(-1)+P47</f>
        <v>233086.26249999998</v>
      </c>
      <c r="R47" s="5"/>
      <c r="S47" s="5"/>
    </row>
    <row r="48" spans="1:19" s="198" customFormat="1" hidden="1" outlineLevel="1">
      <c r="A48" s="197"/>
      <c r="B48" s="206" t="s">
        <v>117</v>
      </c>
      <c r="C48" s="340">
        <v>922459.50999999989</v>
      </c>
      <c r="D48" s="340">
        <v>86856.819999999992</v>
      </c>
      <c r="E48" s="482">
        <v>33452.633333333339</v>
      </c>
      <c r="F48" s="482">
        <v>33452.633333333339</v>
      </c>
      <c r="G48" s="482">
        <v>33452.633333333339</v>
      </c>
      <c r="H48" s="285">
        <v>0</v>
      </c>
      <c r="I48" s="285">
        <f>SUMIF('Contract level'!$A:$A,"="&amp;'DFP-Com'!$A46,'Contract level'!AY:AY)</f>
        <v>100357.90000000001</v>
      </c>
      <c r="J48" s="285">
        <f>SUMIF('Contract level'!$A:$A,"="&amp;'DFP-Com'!$A46,'Contract level'!AZ:AZ)</f>
        <v>188219.57</v>
      </c>
      <c r="K48" s="285">
        <f>SUM(H48:J48)+D48+C48</f>
        <v>1297893.7999999998</v>
      </c>
      <c r="L48" s="257"/>
      <c r="M48" s="271"/>
      <c r="N48" s="458"/>
      <c r="O48" s="471"/>
      <c r="P48" s="458"/>
      <c r="Q48" s="384"/>
    </row>
    <row r="49" spans="1:19" s="198" customFormat="1" hidden="1" outlineLevel="1">
      <c r="A49" s="197"/>
      <c r="B49" s="206" t="s">
        <v>118</v>
      </c>
      <c r="C49" s="340">
        <v>49615.65</v>
      </c>
      <c r="D49" s="340">
        <v>1159.3900000000001</v>
      </c>
      <c r="E49" s="482">
        <v>500</v>
      </c>
      <c r="F49" s="482">
        <v>1000</v>
      </c>
      <c r="G49" s="482">
        <v>1000</v>
      </c>
      <c r="H49" s="285">
        <v>0</v>
      </c>
      <c r="I49" s="285">
        <f>SUMIF('Contract level'!$A:$A,"="&amp;'DFP-Com'!$A47,'Contract level'!AY:AY)</f>
        <v>2500</v>
      </c>
      <c r="J49" s="285">
        <f>SUMIF('Contract level'!$A:$A,"="&amp;'DFP-Com'!$A47,'Contract level'!AZ:AZ)</f>
        <v>5424.72</v>
      </c>
      <c r="K49" s="285">
        <f>SUM(H49:J49)+D49+C49</f>
        <v>58699.76</v>
      </c>
      <c r="L49" s="257"/>
      <c r="M49" s="275"/>
      <c r="N49" s="458"/>
      <c r="O49" s="471"/>
      <c r="P49" s="458"/>
      <c r="Q49" s="384"/>
    </row>
    <row r="50" spans="1:19" s="198" customFormat="1" hidden="1" outlineLevel="1">
      <c r="A50" s="197"/>
      <c r="B50" s="206" t="s">
        <v>119</v>
      </c>
      <c r="C50" s="340">
        <v>105000</v>
      </c>
      <c r="D50" s="340">
        <v>5000</v>
      </c>
      <c r="E50" s="482"/>
      <c r="F50" s="482"/>
      <c r="G50" s="482"/>
      <c r="H50" s="285">
        <v>0</v>
      </c>
      <c r="I50" s="285">
        <f>SUMIF('Contract level'!$A:$A,"="&amp;'DFP-Com'!$A48,'Contract level'!AY:AY)</f>
        <v>0</v>
      </c>
      <c r="J50" s="285">
        <f>SUMIF('Contract level'!$A:$A,"="&amp;'DFP-Com'!$A48,'Contract level'!AZ:AZ)</f>
        <v>30000</v>
      </c>
      <c r="K50" s="285">
        <f>SUM(H50:J50)+D50+C50</f>
        <v>140000</v>
      </c>
      <c r="L50" s="257"/>
      <c r="M50" s="275"/>
      <c r="N50" s="458"/>
      <c r="O50" s="471"/>
      <c r="P50" s="458"/>
      <c r="Q50" s="384"/>
    </row>
    <row r="51" spans="1:19" s="198" customFormat="1" hidden="1" outlineLevel="1">
      <c r="A51" s="197"/>
      <c r="B51" s="206" t="s">
        <v>120</v>
      </c>
      <c r="C51" s="340">
        <v>97088.34</v>
      </c>
      <c r="D51" s="340">
        <v>14707.229999999998</v>
      </c>
      <c r="E51" s="482">
        <v>3818.1</v>
      </c>
      <c r="F51" s="482">
        <v>3818.1</v>
      </c>
      <c r="G51" s="482">
        <v>34318.1</v>
      </c>
      <c r="H51" s="285">
        <v>0</v>
      </c>
      <c r="I51" s="285">
        <f>SUMIF('Contract level'!$A:$A,"="&amp;'DFP-Com'!$A49,'Contract level'!AY:AY)</f>
        <v>41954.3</v>
      </c>
      <c r="J51" s="285">
        <f>SUMIF('Contract level'!$A:$A,"="&amp;'DFP-Com'!$A49,'Contract level'!AZ:AZ)</f>
        <v>92684.3</v>
      </c>
      <c r="K51" s="285">
        <f>SUM(H51:J51)+D51+C51</f>
        <v>246434.17</v>
      </c>
      <c r="L51" s="257"/>
      <c r="M51" s="275"/>
      <c r="N51" s="458"/>
      <c r="O51" s="471"/>
      <c r="P51" s="458"/>
      <c r="Q51" s="384"/>
    </row>
    <row r="52" spans="1:19" s="10" customFormat="1" collapsed="1">
      <c r="B52" s="64" t="s">
        <v>81</v>
      </c>
      <c r="C52" s="366">
        <f>+C47</f>
        <v>1174163.5</v>
      </c>
      <c r="D52" s="366">
        <f>+D47</f>
        <v>107723.43999999999</v>
      </c>
      <c r="E52" s="483">
        <f t="shared" ref="E52:M52" si="22">E47</f>
        <v>37770.733333333337</v>
      </c>
      <c r="F52" s="483">
        <f t="shared" si="22"/>
        <v>38270.733333333337</v>
      </c>
      <c r="G52" s="483">
        <f t="shared" si="22"/>
        <v>68770.733333333337</v>
      </c>
      <c r="H52" s="191">
        <f t="shared" ref="H52:J52" si="23">H47</f>
        <v>0</v>
      </c>
      <c r="I52" s="191">
        <f t="shared" si="23"/>
        <v>144812.20000000001</v>
      </c>
      <c r="J52" s="191">
        <f t="shared" si="23"/>
        <v>316328.59000000003</v>
      </c>
      <c r="K52" s="191">
        <f t="shared" si="22"/>
        <v>1743027.7299999997</v>
      </c>
      <c r="L52" s="258">
        <f t="shared" si="22"/>
        <v>1744086.26</v>
      </c>
      <c r="M52" s="276">
        <f t="shared" si="22"/>
        <v>1058.5300000002608</v>
      </c>
      <c r="N52" s="459"/>
      <c r="O52" s="470"/>
      <c r="P52" s="459"/>
      <c r="Q52" s="384"/>
    </row>
    <row r="53" spans="1:19">
      <c r="A53" s="5"/>
      <c r="B53" s="51"/>
      <c r="C53" s="52"/>
      <c r="D53" s="53"/>
      <c r="E53" s="484"/>
      <c r="F53" s="484"/>
      <c r="G53" s="484"/>
      <c r="H53" s="207"/>
      <c r="I53" s="207"/>
      <c r="J53" s="207"/>
      <c r="K53" s="209"/>
      <c r="L53" s="255"/>
      <c r="M53" s="277"/>
      <c r="N53" s="462"/>
      <c r="O53" s="470"/>
      <c r="P53" s="462"/>
      <c r="Q53" s="384"/>
      <c r="R53" s="5"/>
      <c r="S53" s="5"/>
    </row>
    <row r="54" spans="1:19" s="214" customFormat="1" ht="17.25" thickBot="1">
      <c r="B54" s="218" t="s">
        <v>113</v>
      </c>
      <c r="C54" s="315">
        <f>C52+C44+C36+C27</f>
        <v>23655982.420000002</v>
      </c>
      <c r="D54" s="315">
        <f t="shared" ref="D54:M54" si="24">D52+D44+D36+D27</f>
        <v>319863.25</v>
      </c>
      <c r="E54" s="487">
        <f t="shared" si="24"/>
        <v>706093.01333333331</v>
      </c>
      <c r="F54" s="487">
        <f t="shared" si="24"/>
        <v>240905.27333333335</v>
      </c>
      <c r="G54" s="487">
        <f>G52+G44+G36+G27</f>
        <v>350032.41000000003</v>
      </c>
      <c r="H54" s="215">
        <f t="shared" ref="H54:J54" si="25">H52+H44+H36+H27</f>
        <v>0</v>
      </c>
      <c r="I54" s="215">
        <f t="shared" si="25"/>
        <v>1297030.69</v>
      </c>
      <c r="J54" s="215">
        <f t="shared" si="25"/>
        <v>714032.15</v>
      </c>
      <c r="K54" s="215">
        <f t="shared" si="24"/>
        <v>25986908.510000005</v>
      </c>
      <c r="L54" s="215">
        <f t="shared" si="24"/>
        <v>26197500</v>
      </c>
      <c r="M54" s="278">
        <f t="shared" si="24"/>
        <v>210591.4899999972</v>
      </c>
      <c r="N54" s="463"/>
      <c r="O54" s="472"/>
      <c r="P54" s="463">
        <f>SUM(P17:P53)</f>
        <v>624816.21999999753</v>
      </c>
      <c r="Q54" s="463">
        <f>SUM(Q17:Q53)</f>
        <v>-238962.42029220957</v>
      </c>
    </row>
    <row r="55" spans="1:19" ht="13.5" thickTop="1">
      <c r="B55" s="7" t="s">
        <v>115</v>
      </c>
      <c r="L55" s="413"/>
      <c r="M55" s="365"/>
      <c r="N55" s="413"/>
      <c r="O55" s="473"/>
      <c r="P55" s="365"/>
      <c r="Q55" s="348">
        <f>+Q54-P54</f>
        <v>-863778.64029220713</v>
      </c>
      <c r="R55" s="203"/>
    </row>
    <row r="56" spans="1:19">
      <c r="B56" s="66" t="s">
        <v>116</v>
      </c>
      <c r="M56" s="365"/>
      <c r="N56" s="413"/>
      <c r="O56" s="473"/>
      <c r="P56" s="413"/>
      <c r="Q56" s="348"/>
    </row>
    <row r="57" spans="1:19">
      <c r="B57" s="7"/>
      <c r="L57" s="413"/>
      <c r="M57" s="365"/>
      <c r="N57" s="365"/>
      <c r="O57" s="474"/>
      <c r="P57" s="365"/>
      <c r="Q57" s="348"/>
      <c r="R57" s="203"/>
    </row>
    <row r="58" spans="1:19">
      <c r="B58" s="7"/>
      <c r="C58" s="262"/>
      <c r="J58" s="254"/>
      <c r="Q58" s="184"/>
    </row>
    <row r="59" spans="1:19">
      <c r="B59" s="7"/>
      <c r="C59" s="262"/>
      <c r="M59" s="404"/>
      <c r="N59" s="404"/>
      <c r="O59" s="475"/>
      <c r="P59" s="404"/>
      <c r="Q59" s="184"/>
    </row>
    <row r="60" spans="1:19" ht="13.5">
      <c r="B60" s="7"/>
      <c r="D60" s="413"/>
      <c r="E60" s="491"/>
      <c r="F60" s="413"/>
      <c r="Q60" s="184"/>
    </row>
    <row r="61" spans="1:19" ht="13.5">
      <c r="B61" s="7"/>
      <c r="E61" s="491"/>
      <c r="F61" s="413"/>
      <c r="Q61" s="184"/>
    </row>
    <row r="62" spans="1:19" ht="13.5">
      <c r="B62" s="7"/>
      <c r="E62" s="491"/>
      <c r="F62" s="413"/>
      <c r="Q62" s="184"/>
    </row>
    <row r="63" spans="1:19" ht="13.5">
      <c r="B63" s="7"/>
      <c r="E63" s="490"/>
      <c r="F63" s="413"/>
      <c r="Q63" s="184"/>
    </row>
    <row r="64" spans="1:19" ht="13.5">
      <c r="B64" s="7"/>
      <c r="E64" s="490"/>
      <c r="F64" s="413"/>
      <c r="Q64" s="184"/>
    </row>
    <row r="65" spans="2:17" ht="13.5">
      <c r="B65" s="7"/>
      <c r="E65" s="489"/>
      <c r="Q65" s="184"/>
    </row>
    <row r="66" spans="2:17">
      <c r="B66" s="7"/>
      <c r="Q66" s="184"/>
    </row>
    <row r="67" spans="2:17">
      <c r="B67" s="7"/>
      <c r="Q67" s="184"/>
    </row>
    <row r="68" spans="2:17">
      <c r="B68" s="7"/>
      <c r="Q68" s="184"/>
    </row>
    <row r="69" spans="2:17">
      <c r="B69" s="7"/>
      <c r="Q69" s="184"/>
    </row>
    <row r="70" spans="2:17">
      <c r="D70" s="365"/>
      <c r="Q70" s="184"/>
    </row>
    <row r="71" spans="2:17">
      <c r="Q71" s="184"/>
    </row>
    <row r="72" spans="2:17">
      <c r="Q72" s="184"/>
    </row>
    <row r="73" spans="2:17">
      <c r="Q73" s="184"/>
    </row>
    <row r="74" spans="2:17">
      <c r="Q74" s="184"/>
    </row>
    <row r="75" spans="2:17">
      <c r="Q75" s="184"/>
    </row>
    <row r="76" spans="2:17">
      <c r="Q76" s="184"/>
    </row>
    <row r="77" spans="2:17">
      <c r="Q77" s="184"/>
    </row>
    <row r="78" spans="2:17">
      <c r="Q78" s="184"/>
    </row>
    <row r="79" spans="2:17">
      <c r="Q79" s="184"/>
    </row>
    <row r="80" spans="2:17">
      <c r="Q80" s="184"/>
    </row>
    <row r="81" spans="17:17">
      <c r="Q81" s="184"/>
    </row>
    <row r="82" spans="17:17">
      <c r="Q82" s="184"/>
    </row>
    <row r="83" spans="17:17">
      <c r="Q83" s="184"/>
    </row>
    <row r="84" spans="17:17">
      <c r="Q84" s="184"/>
    </row>
    <row r="85" spans="17:17">
      <c r="Q85" s="184"/>
    </row>
  </sheetData>
  <mergeCells count="6">
    <mergeCell ref="M12:M13"/>
    <mergeCell ref="B11:B12"/>
    <mergeCell ref="K12:K13"/>
    <mergeCell ref="L12:L13"/>
    <mergeCell ref="E12:G12"/>
    <mergeCell ref="E11:G11"/>
  </mergeCells>
  <phoneticPr fontId="28" type="noConversion"/>
  <pageMargins left="0.70866141732283472" right="0.70866141732283472" top="0.74803149606299213" bottom="0.74803149606299213" header="0.31496062992125984" footer="0.31496062992125984"/>
  <pageSetup scale="51" orientation="landscape"/>
  <ignoredErrors>
    <ignoredError sqref="K23" formula="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K38"/>
  <sheetViews>
    <sheetView showGridLines="0" zoomScale="115" zoomScaleNormal="115" zoomScalePageLayoutView="115" workbookViewId="0">
      <selection activeCell="D7" sqref="D7"/>
    </sheetView>
  </sheetViews>
  <sheetFormatPr baseColWidth="10" defaultColWidth="9.140625" defaultRowHeight="15"/>
  <cols>
    <col min="1" max="1" width="2.42578125" customWidth="1"/>
    <col min="2" max="2" width="29.42578125" customWidth="1"/>
    <col min="3" max="3" width="18.42578125" customWidth="1"/>
    <col min="4" max="4" width="22.42578125" customWidth="1"/>
    <col min="5" max="5" width="19" customWidth="1"/>
    <col min="6" max="6" width="18.140625" customWidth="1"/>
    <col min="7" max="7" width="18.85546875" customWidth="1"/>
    <col min="8" max="8" width="16" customWidth="1"/>
    <col min="9" max="9" width="13" bestFit="1" customWidth="1"/>
  </cols>
  <sheetData>
    <row r="1" spans="2:11">
      <c r="B1" s="70" t="s">
        <v>19</v>
      </c>
      <c r="C1" s="71"/>
      <c r="D1" s="71"/>
      <c r="E1" s="71"/>
      <c r="F1" s="71"/>
      <c r="G1" s="72"/>
    </row>
    <row r="2" spans="2:11">
      <c r="B2" s="73"/>
      <c r="C2" s="74" t="s">
        <v>1</v>
      </c>
      <c r="D2" s="147" t="s">
        <v>61</v>
      </c>
      <c r="E2" s="76"/>
      <c r="F2" s="77"/>
      <c r="G2" s="78"/>
    </row>
    <row r="3" spans="2:11">
      <c r="B3" s="73"/>
      <c r="C3" s="74" t="s">
        <v>2</v>
      </c>
      <c r="D3" s="170" t="s">
        <v>62</v>
      </c>
      <c r="E3" s="76"/>
      <c r="F3" s="77"/>
      <c r="G3" s="78"/>
    </row>
    <row r="4" spans="2:11">
      <c r="B4" s="73"/>
      <c r="C4" s="74" t="s">
        <v>3</v>
      </c>
      <c r="D4" s="170" t="str">
        <f>'THP DR'!B7</f>
        <v>TR14GTM15001</v>
      </c>
      <c r="E4" s="76"/>
      <c r="F4" s="77"/>
      <c r="G4" s="78"/>
    </row>
    <row r="5" spans="2:11">
      <c r="B5" s="73"/>
      <c r="C5" s="74" t="s">
        <v>4</v>
      </c>
      <c r="D5" s="171">
        <v>44361</v>
      </c>
      <c r="E5" s="76"/>
      <c r="F5" s="77"/>
      <c r="G5" s="78"/>
    </row>
    <row r="6" spans="2:11" ht="15.75" thickBot="1">
      <c r="B6" s="80"/>
      <c r="C6" s="81"/>
      <c r="D6" s="82"/>
      <c r="E6" s="81"/>
      <c r="F6" s="82"/>
      <c r="G6" s="83"/>
    </row>
    <row r="7" spans="2:11">
      <c r="B7" s="84" t="s">
        <v>20</v>
      </c>
      <c r="C7" s="85"/>
      <c r="D7" s="85"/>
      <c r="E7" s="85"/>
      <c r="F7" s="85"/>
      <c r="G7" s="86"/>
      <c r="H7" s="87"/>
    </row>
    <row r="8" spans="2:11">
      <c r="B8" s="88" t="s">
        <v>335</v>
      </c>
      <c r="C8" s="89"/>
      <c r="D8" s="89"/>
      <c r="E8" s="89"/>
      <c r="F8" s="89"/>
      <c r="G8" s="90"/>
      <c r="H8" s="87"/>
    </row>
    <row r="9" spans="2:11" s="96" customFormat="1" ht="12.75">
      <c r="B9" s="91" t="s">
        <v>21</v>
      </c>
      <c r="C9" s="92"/>
      <c r="D9" s="92"/>
      <c r="E9" s="93"/>
      <c r="F9" s="93"/>
      <c r="G9" s="94"/>
      <c r="H9" s="95"/>
    </row>
    <row r="10" spans="2:11" ht="15.75" thickBot="1">
      <c r="B10" s="97" t="s">
        <v>325</v>
      </c>
      <c r="C10" s="98"/>
      <c r="D10" s="98"/>
      <c r="E10" s="98"/>
      <c r="F10" s="98"/>
      <c r="G10" s="99"/>
      <c r="H10" s="505"/>
    </row>
    <row r="11" spans="2:11" ht="49.5" thickBot="1">
      <c r="B11" s="100"/>
      <c r="C11" s="101" t="s">
        <v>22</v>
      </c>
      <c r="D11" s="102" t="s">
        <v>23</v>
      </c>
      <c r="E11" s="565" t="s">
        <v>24</v>
      </c>
      <c r="F11" s="566"/>
      <c r="G11" s="103" t="s">
        <v>25</v>
      </c>
      <c r="H11" s="570"/>
      <c r="I11" s="314"/>
    </row>
    <row r="12" spans="2:11" ht="23.25">
      <c r="B12" s="104" t="s">
        <v>70</v>
      </c>
      <c r="C12" s="105"/>
      <c r="D12" s="106" t="s">
        <v>26</v>
      </c>
      <c r="E12" s="107" t="s">
        <v>27</v>
      </c>
      <c r="F12" s="108" t="s">
        <v>28</v>
      </c>
      <c r="G12" s="109" t="s">
        <v>29</v>
      </c>
      <c r="H12" s="571"/>
      <c r="I12" s="314"/>
    </row>
    <row r="13" spans="2:11" s="96" customFormat="1" ht="13.5" thickBot="1">
      <c r="B13" s="110" t="s">
        <v>78</v>
      </c>
      <c r="C13" s="111">
        <v>1</v>
      </c>
      <c r="D13" s="111">
        <v>2</v>
      </c>
      <c r="E13" s="111">
        <v>3</v>
      </c>
      <c r="F13" s="111">
        <v>4</v>
      </c>
      <c r="G13" s="112">
        <v>5</v>
      </c>
      <c r="H13" s="95"/>
    </row>
    <row r="14" spans="2:11" s="96" customFormat="1">
      <c r="B14" s="567"/>
      <c r="C14" s="568"/>
      <c r="D14" s="568"/>
      <c r="E14" s="568"/>
      <c r="F14" s="568"/>
      <c r="G14" s="569"/>
      <c r="H14" s="95"/>
    </row>
    <row r="15" spans="2:11" s="96" customFormat="1" ht="26.45" customHeight="1">
      <c r="B15" s="153" t="s">
        <v>65</v>
      </c>
      <c r="C15" s="172">
        <f>SUM(C16:C18)</f>
        <v>19700000</v>
      </c>
      <c r="D15" s="176">
        <f>SUM(D16:D18)</f>
        <v>20889574.390000001</v>
      </c>
      <c r="E15" s="172">
        <f>SUM(E16:E18)</f>
        <v>0</v>
      </c>
      <c r="F15" s="172">
        <f>SUM(F16:F18)</f>
        <v>0</v>
      </c>
      <c r="G15" s="176">
        <f t="shared" ref="G15:G18" si="0">+D15+E15-F15</f>
        <v>20889574.390000001</v>
      </c>
      <c r="H15" s="476"/>
      <c r="I15" s="494"/>
    </row>
    <row r="16" spans="2:11" s="96" customFormat="1" ht="25.5">
      <c r="B16" s="163" t="s">
        <v>66</v>
      </c>
      <c r="C16" s="162">
        <v>12000000</v>
      </c>
      <c r="D16" s="177">
        <v>13221955.41</v>
      </c>
      <c r="E16" s="173">
        <v>0</v>
      </c>
      <c r="F16" s="173">
        <v>0</v>
      </c>
      <c r="G16" s="177">
        <f t="shared" si="0"/>
        <v>13221955.41</v>
      </c>
      <c r="H16" s="476"/>
      <c r="I16" s="233"/>
      <c r="J16" s="494"/>
      <c r="K16" s="495"/>
    </row>
    <row r="17" spans="2:11" ht="45" customHeight="1">
      <c r="B17" s="163" t="s">
        <v>67</v>
      </c>
      <c r="C17" s="162">
        <v>4700000</v>
      </c>
      <c r="D17" s="177">
        <v>4279659.41</v>
      </c>
      <c r="E17" s="173">
        <v>0</v>
      </c>
      <c r="F17" s="173">
        <v>0</v>
      </c>
      <c r="G17" s="177">
        <f t="shared" si="0"/>
        <v>4279659.41</v>
      </c>
      <c r="H17" s="476"/>
      <c r="I17" s="233"/>
      <c r="J17" s="494"/>
      <c r="K17" s="495"/>
    </row>
    <row r="18" spans="2:11" ht="25.5">
      <c r="B18" s="163" t="s">
        <v>68</v>
      </c>
      <c r="C18" s="162">
        <v>3000000</v>
      </c>
      <c r="D18" s="177">
        <v>3387959.57</v>
      </c>
      <c r="E18" s="173">
        <v>0</v>
      </c>
      <c r="F18" s="173"/>
      <c r="G18" s="177">
        <f t="shared" si="0"/>
        <v>3387959.57</v>
      </c>
      <c r="H18" s="476"/>
      <c r="I18" s="233"/>
      <c r="J18" s="494"/>
      <c r="K18" s="495"/>
    </row>
    <row r="19" spans="2:11">
      <c r="B19" s="164"/>
      <c r="C19" s="162"/>
      <c r="D19" s="177"/>
      <c r="E19" s="173"/>
      <c r="F19" s="173"/>
      <c r="G19" s="177"/>
      <c r="I19" s="233"/>
      <c r="J19" s="494"/>
      <c r="K19" s="495"/>
    </row>
    <row r="20" spans="2:11" ht="25.5">
      <c r="B20" s="165" t="s">
        <v>71</v>
      </c>
      <c r="C20" s="157">
        <f>SUM(C21:C22)</f>
        <v>4000000</v>
      </c>
      <c r="D20" s="178">
        <f>SUM(D21:D22)</f>
        <v>2960320.56</v>
      </c>
      <c r="E20" s="157">
        <f>SUM(E21:E22)</f>
        <v>0</v>
      </c>
      <c r="F20" s="157">
        <f>SUM(F21:F22)</f>
        <v>0</v>
      </c>
      <c r="G20" s="178">
        <f>+D20+E20-F20</f>
        <v>2960320.56</v>
      </c>
      <c r="H20" s="476"/>
      <c r="I20" s="233"/>
      <c r="J20" s="494"/>
      <c r="K20" s="495"/>
    </row>
    <row r="21" spans="2:11" ht="25.5">
      <c r="B21" s="163" t="s">
        <v>74</v>
      </c>
      <c r="C21" s="162">
        <v>0</v>
      </c>
      <c r="D21" s="177">
        <v>1412145.29</v>
      </c>
      <c r="E21" s="173">
        <v>0</v>
      </c>
      <c r="F21" s="173"/>
      <c r="G21" s="177">
        <f>+D21+E21-F21</f>
        <v>1412145.29</v>
      </c>
      <c r="H21" s="239"/>
      <c r="I21" s="233"/>
      <c r="J21" s="494"/>
      <c r="K21" s="495"/>
    </row>
    <row r="22" spans="2:11" ht="25.5">
      <c r="B22" s="163" t="s">
        <v>75</v>
      </c>
      <c r="C22" s="162">
        <v>4000000</v>
      </c>
      <c r="D22" s="177">
        <v>1548175.27</v>
      </c>
      <c r="E22" s="173">
        <v>0</v>
      </c>
      <c r="F22" s="173">
        <v>0</v>
      </c>
      <c r="G22" s="177">
        <f>+D22+E22-F22</f>
        <v>1548175.27</v>
      </c>
      <c r="H22" s="476"/>
      <c r="I22" s="233"/>
      <c r="J22" s="494"/>
      <c r="K22" s="495"/>
    </row>
    <row r="23" spans="2:11">
      <c r="B23" s="164"/>
      <c r="C23" s="162"/>
      <c r="D23" s="179"/>
      <c r="E23" s="173"/>
      <c r="F23" s="173"/>
      <c r="G23" s="179"/>
      <c r="H23" s="325"/>
      <c r="I23" s="233"/>
      <c r="J23" s="494"/>
      <c r="K23" s="495"/>
    </row>
    <row r="24" spans="2:11" ht="26.45" customHeight="1">
      <c r="B24" s="154" t="s">
        <v>72</v>
      </c>
      <c r="C24" s="157">
        <f>SUM(C25)</f>
        <v>1700000</v>
      </c>
      <c r="D24" s="178">
        <f t="shared" ref="D24:G24" si="1">SUM(D25)</f>
        <v>603518.79</v>
      </c>
      <c r="E24" s="157">
        <f t="shared" si="1"/>
        <v>0</v>
      </c>
      <c r="F24" s="157">
        <f t="shared" si="1"/>
        <v>0</v>
      </c>
      <c r="G24" s="178">
        <f t="shared" si="1"/>
        <v>603518.79</v>
      </c>
      <c r="H24" s="325"/>
      <c r="I24" s="233"/>
      <c r="J24" s="494"/>
      <c r="K24" s="495"/>
    </row>
    <row r="25" spans="2:11" ht="26.45" customHeight="1">
      <c r="B25" s="169" t="s">
        <v>76</v>
      </c>
      <c r="C25" s="162">
        <v>1700000</v>
      </c>
      <c r="D25" s="177">
        <v>603518.79</v>
      </c>
      <c r="E25" s="173"/>
      <c r="F25" s="173">
        <v>0</v>
      </c>
      <c r="G25" s="177">
        <f>+D25+E25-F25</f>
        <v>603518.79</v>
      </c>
      <c r="H25" s="476"/>
      <c r="I25" s="233"/>
      <c r="J25" s="494"/>
      <c r="K25" s="495"/>
    </row>
    <row r="26" spans="2:11">
      <c r="B26" s="164"/>
      <c r="C26" s="162"/>
      <c r="D26" s="179"/>
      <c r="E26" s="173"/>
      <c r="F26" s="173"/>
      <c r="G26" s="179"/>
      <c r="H26" s="325"/>
      <c r="I26" s="233"/>
      <c r="J26" s="494"/>
      <c r="K26" s="495"/>
    </row>
    <row r="27" spans="2:11" ht="26.45" customHeight="1">
      <c r="B27" s="154" t="s">
        <v>73</v>
      </c>
      <c r="C27" s="157">
        <f>SUM(C28)</f>
        <v>800000</v>
      </c>
      <c r="D27" s="178">
        <f t="shared" ref="D27:G27" si="2">SUM(D28)</f>
        <v>1744086.26</v>
      </c>
      <c r="E27" s="157">
        <f t="shared" si="2"/>
        <v>0</v>
      </c>
      <c r="F27" s="157">
        <f t="shared" si="2"/>
        <v>0</v>
      </c>
      <c r="G27" s="178">
        <f t="shared" si="2"/>
        <v>1744086.26</v>
      </c>
      <c r="H27" s="325"/>
      <c r="I27" s="233"/>
      <c r="J27" s="494"/>
      <c r="K27" s="495"/>
    </row>
    <row r="28" spans="2:11" ht="26.45" customHeight="1">
      <c r="B28" s="169" t="s">
        <v>77</v>
      </c>
      <c r="C28" s="162">
        <v>800000</v>
      </c>
      <c r="D28" s="177">
        <v>1744086.26</v>
      </c>
      <c r="E28" s="173">
        <v>0</v>
      </c>
      <c r="F28" s="173">
        <v>0</v>
      </c>
      <c r="G28" s="177">
        <f>+D28+E28-F28</f>
        <v>1744086.26</v>
      </c>
      <c r="H28" s="476"/>
      <c r="I28" s="233"/>
      <c r="J28" s="494"/>
      <c r="K28" s="495"/>
    </row>
    <row r="29" spans="2:11" ht="15.75" thickBot="1">
      <c r="B29" s="167"/>
      <c r="C29" s="174"/>
      <c r="D29" s="180"/>
      <c r="E29" s="174"/>
      <c r="F29" s="174"/>
      <c r="G29" s="180"/>
      <c r="H29" s="325"/>
    </row>
    <row r="30" spans="2:11" ht="26.45" customHeight="1" thickBot="1">
      <c r="B30" s="168" t="s">
        <v>30</v>
      </c>
      <c r="C30" s="175">
        <f>+C15+C20+C24+C27</f>
        <v>26200000</v>
      </c>
      <c r="D30" s="175">
        <f>+D15+D20+D24+D27</f>
        <v>26197500</v>
      </c>
      <c r="E30" s="175">
        <f>+E15+E20+E24+E27</f>
        <v>0</v>
      </c>
      <c r="F30" s="175">
        <f>+F15+F20+F24+F27</f>
        <v>0</v>
      </c>
      <c r="G30" s="181">
        <f>+G15+G20+G24+G27</f>
        <v>26197500</v>
      </c>
      <c r="H30" s="325"/>
      <c r="I30" s="240"/>
    </row>
    <row r="31" spans="2:11">
      <c r="B31" t="s">
        <v>227</v>
      </c>
    </row>
    <row r="33" spans="2:7">
      <c r="B33" s="211" t="s">
        <v>103</v>
      </c>
      <c r="C33" s="212"/>
      <c r="D33" s="212"/>
      <c r="E33" s="212"/>
      <c r="F33" s="212"/>
      <c r="G33" s="213"/>
    </row>
    <row r="34" spans="2:7" ht="25.5">
      <c r="B34" s="165" t="s">
        <v>71</v>
      </c>
      <c r="C34" s="157">
        <f>SUM(C35)</f>
        <v>1800000</v>
      </c>
      <c r="D34" s="157">
        <f>SUM(D35)</f>
        <v>1800000</v>
      </c>
      <c r="E34" s="157">
        <f>E35</f>
        <v>0</v>
      </c>
      <c r="F34" s="157">
        <f>F35</f>
        <v>0</v>
      </c>
      <c r="G34" s="178">
        <f>+D34+E34-F34</f>
        <v>1800000</v>
      </c>
    </row>
    <row r="35" spans="2:7" ht="25.5">
      <c r="B35" s="163" t="s">
        <v>102</v>
      </c>
      <c r="C35" s="162">
        <v>1800000</v>
      </c>
      <c r="D35" s="177">
        <f>'[1]QFR - B'!G34</f>
        <v>1800000</v>
      </c>
      <c r="E35" s="319"/>
      <c r="F35" s="319"/>
      <c r="G35" s="177">
        <f>D35+E35-F35</f>
        <v>1800000</v>
      </c>
    </row>
    <row r="36" spans="2:7" ht="26.25">
      <c r="B36" s="154" t="s">
        <v>73</v>
      </c>
      <c r="C36" s="157">
        <f>SUM(C37)</f>
        <v>0</v>
      </c>
      <c r="D36" s="178">
        <f t="shared" ref="D36:G36" si="3">SUM(D37)</f>
        <v>2500</v>
      </c>
      <c r="E36" s="157">
        <f t="shared" si="3"/>
        <v>0</v>
      </c>
      <c r="F36" s="157">
        <f t="shared" si="3"/>
        <v>0</v>
      </c>
      <c r="G36" s="178">
        <f t="shared" si="3"/>
        <v>2500</v>
      </c>
    </row>
    <row r="37" spans="2:7">
      <c r="B37" s="169" t="s">
        <v>77</v>
      </c>
      <c r="C37" s="162">
        <v>0</v>
      </c>
      <c r="D37" s="177">
        <v>2500</v>
      </c>
      <c r="E37" s="173">
        <v>0</v>
      </c>
      <c r="F37" s="319"/>
      <c r="G37" s="177">
        <f>+D37+E37-F37</f>
        <v>2500</v>
      </c>
    </row>
    <row r="38" spans="2:7" ht="15.75" thickBot="1">
      <c r="B38" s="168" t="s">
        <v>30</v>
      </c>
      <c r="C38" s="175">
        <f>C34+C36</f>
        <v>1800000</v>
      </c>
      <c r="D38" s="175">
        <f>D34+D36</f>
        <v>1802500</v>
      </c>
      <c r="E38" s="175">
        <f>E34+E36</f>
        <v>0</v>
      </c>
      <c r="F38" s="175">
        <f>F34+F36</f>
        <v>0</v>
      </c>
      <c r="G38" s="175">
        <f>G34+G36</f>
        <v>1802500</v>
      </c>
    </row>
  </sheetData>
  <mergeCells count="3">
    <mergeCell ref="E11:F11"/>
    <mergeCell ref="B14:G14"/>
    <mergeCell ref="H11:H12"/>
  </mergeCells>
  <phoneticPr fontId="28" type="noConversion"/>
  <conditionalFormatting sqref="D30:G30">
    <cfRule type="cellIs" dxfId="14" priority="5" stopIfTrue="1" operator="equal">
      <formula>0</formula>
    </cfRule>
  </conditionalFormatting>
  <conditionalFormatting sqref="C30">
    <cfRule type="cellIs" dxfId="13" priority="4" stopIfTrue="1" operator="equal">
      <formula>0</formula>
    </cfRule>
  </conditionalFormatting>
  <conditionalFormatting sqref="C38:G38">
    <cfRule type="cellIs" dxfId="12" priority="1" stopIfTrue="1" operator="equal">
      <formula>0</formula>
    </cfRule>
  </conditionalFormatting>
  <pageMargins left="0.70866141732283472" right="0.70866141732283472" top="0.74803149606299213" bottom="0.74803149606299213" header="0.31496062992125984" footer="0.31496062992125984"/>
  <pageSetup scale="51" orientation="portrait"/>
  <headerFooter>
    <oddHeader>&amp;C&amp;"-,Negrita"SCHEDULE A</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N39"/>
  <sheetViews>
    <sheetView showGridLines="0" workbookViewId="0">
      <selection activeCell="M27" sqref="M27"/>
    </sheetView>
  </sheetViews>
  <sheetFormatPr baseColWidth="10" defaultColWidth="9.140625" defaultRowHeight="15"/>
  <cols>
    <col min="1" max="1" width="3.42578125" customWidth="1"/>
    <col min="2" max="2" width="33.85546875" customWidth="1"/>
    <col min="3" max="3" width="16.42578125" customWidth="1"/>
    <col min="4" max="4" width="21" bestFit="1" customWidth="1"/>
    <col min="5" max="6" width="16.42578125" customWidth="1"/>
    <col min="7" max="12" width="16.42578125" style="283" customWidth="1"/>
    <col min="13" max="13" width="16.42578125" customWidth="1"/>
    <col min="14" max="14" width="14.140625" bestFit="1" customWidth="1"/>
  </cols>
  <sheetData>
    <row r="1" spans="1:13">
      <c r="B1" s="70" t="s">
        <v>19</v>
      </c>
      <c r="C1" s="71"/>
      <c r="D1" s="71"/>
      <c r="E1" s="71"/>
      <c r="F1" s="71"/>
      <c r="G1" s="71"/>
      <c r="H1" s="71"/>
      <c r="I1" s="71"/>
      <c r="J1" s="71"/>
      <c r="K1" s="71"/>
      <c r="L1" s="71"/>
      <c r="M1" s="72"/>
    </row>
    <row r="2" spans="1:13">
      <c r="B2" s="73"/>
      <c r="C2" s="74" t="s">
        <v>1</v>
      </c>
      <c r="D2" s="147" t="s">
        <v>61</v>
      </c>
      <c r="E2" s="75"/>
      <c r="F2" s="75"/>
      <c r="G2" s="75"/>
      <c r="H2" s="75"/>
      <c r="I2" s="75"/>
      <c r="J2" s="75"/>
      <c r="K2" s="75"/>
      <c r="L2" s="75"/>
      <c r="M2" s="78"/>
    </row>
    <row r="3" spans="1:13">
      <c r="B3" s="73"/>
      <c r="C3" s="74" t="s">
        <v>2</v>
      </c>
      <c r="D3" s="147" t="s">
        <v>62</v>
      </c>
      <c r="E3" s="75"/>
      <c r="F3" s="75"/>
      <c r="G3" s="75"/>
      <c r="H3" s="75"/>
      <c r="I3" s="75"/>
      <c r="J3" s="75"/>
      <c r="K3" s="75"/>
      <c r="L3" s="75"/>
      <c r="M3" s="78"/>
    </row>
    <row r="4" spans="1:13">
      <c r="B4" s="73"/>
      <c r="C4" s="74" t="s">
        <v>3</v>
      </c>
      <c r="D4" s="147" t="str">
        <f>'THP DR'!B7</f>
        <v>TR14GTM15001</v>
      </c>
      <c r="E4" s="75"/>
      <c r="F4" s="75"/>
      <c r="G4" s="75"/>
      <c r="H4" s="75"/>
      <c r="I4" s="75"/>
      <c r="J4" s="75"/>
      <c r="K4" s="75"/>
      <c r="L4" s="75"/>
      <c r="M4" s="78"/>
    </row>
    <row r="5" spans="1:13">
      <c r="B5" s="73"/>
      <c r="C5" s="74" t="s">
        <v>4</v>
      </c>
      <c r="D5" s="148">
        <v>44361</v>
      </c>
      <c r="E5" s="79"/>
      <c r="F5" s="79"/>
      <c r="G5" s="79"/>
      <c r="H5" s="79"/>
      <c r="I5" s="79"/>
      <c r="J5" s="79"/>
      <c r="K5" s="79"/>
      <c r="L5" s="79"/>
      <c r="M5" s="78"/>
    </row>
    <row r="6" spans="1:13" ht="5.0999999999999996" customHeight="1" thickBot="1">
      <c r="B6" s="80"/>
      <c r="C6" s="81"/>
      <c r="D6" s="81"/>
      <c r="E6" s="81"/>
      <c r="F6" s="81"/>
      <c r="G6" s="81"/>
      <c r="H6" s="81"/>
      <c r="I6" s="81"/>
      <c r="J6" s="81"/>
      <c r="K6" s="81"/>
      <c r="L6" s="81"/>
      <c r="M6" s="83"/>
    </row>
    <row r="7" spans="1:13">
      <c r="B7" s="84" t="s">
        <v>31</v>
      </c>
      <c r="C7" s="113"/>
      <c r="D7" s="113"/>
      <c r="E7" s="113"/>
      <c r="F7" s="113"/>
      <c r="G7" s="113"/>
      <c r="H7" s="113"/>
      <c r="I7" s="113"/>
      <c r="J7" s="113"/>
      <c r="K7" s="113"/>
      <c r="L7" s="113"/>
      <c r="M7" s="114"/>
    </row>
    <row r="8" spans="1:13">
      <c r="A8" s="96"/>
      <c r="B8" s="88" t="s">
        <v>261</v>
      </c>
      <c r="C8" s="89"/>
      <c r="D8" s="89"/>
      <c r="E8" s="89"/>
      <c r="F8" s="89"/>
      <c r="G8" s="89"/>
      <c r="H8" s="89"/>
      <c r="I8" s="89"/>
      <c r="J8" s="89"/>
      <c r="K8" s="89"/>
      <c r="L8" s="89"/>
      <c r="M8" s="90"/>
    </row>
    <row r="9" spans="1:13">
      <c r="B9" s="149" t="s">
        <v>32</v>
      </c>
      <c r="C9" s="92"/>
      <c r="D9" s="92"/>
      <c r="E9" s="92"/>
      <c r="F9" s="92"/>
      <c r="G9" s="92"/>
      <c r="H9" s="92"/>
      <c r="I9" s="92"/>
      <c r="J9" s="92"/>
      <c r="K9" s="92"/>
      <c r="L9" s="92"/>
      <c r="M9" s="94"/>
    </row>
    <row r="10" spans="1:13" ht="15.75" thickBot="1">
      <c r="B10" s="97" t="s">
        <v>262</v>
      </c>
      <c r="C10" s="92"/>
      <c r="D10" s="92"/>
      <c r="E10" s="92"/>
      <c r="F10" s="92"/>
      <c r="G10" s="92"/>
      <c r="H10" s="92"/>
      <c r="I10" s="92"/>
      <c r="J10" s="92"/>
      <c r="K10" s="92"/>
      <c r="L10" s="92"/>
      <c r="M10" s="94"/>
    </row>
    <row r="11" spans="1:13" ht="15" customHeight="1">
      <c r="B11" s="151"/>
      <c r="C11" s="572" t="s">
        <v>22</v>
      </c>
      <c r="D11" s="572" t="s">
        <v>203</v>
      </c>
      <c r="E11" s="572" t="s">
        <v>231</v>
      </c>
      <c r="F11" s="572" t="s">
        <v>242</v>
      </c>
      <c r="G11" s="572" t="s">
        <v>243</v>
      </c>
      <c r="H11" s="572" t="s">
        <v>254</v>
      </c>
      <c r="I11" s="572" t="s">
        <v>258</v>
      </c>
      <c r="J11" s="572" t="s">
        <v>263</v>
      </c>
      <c r="K11" s="572" t="s">
        <v>274</v>
      </c>
      <c r="L11" s="572" t="s">
        <v>277</v>
      </c>
      <c r="M11" s="572" t="s">
        <v>64</v>
      </c>
    </row>
    <row r="12" spans="1:13" ht="42" customHeight="1" thickBot="1">
      <c r="B12" s="150" t="s">
        <v>70</v>
      </c>
      <c r="C12" s="573"/>
      <c r="D12" s="573"/>
      <c r="E12" s="573"/>
      <c r="F12" s="573"/>
      <c r="G12" s="573"/>
      <c r="H12" s="573"/>
      <c r="I12" s="573"/>
      <c r="J12" s="573"/>
      <c r="K12" s="573"/>
      <c r="L12" s="573"/>
      <c r="M12" s="573"/>
    </row>
    <row r="13" spans="1:13" ht="15" customHeight="1">
      <c r="A13" s="96"/>
      <c r="B13" s="152" t="s">
        <v>69</v>
      </c>
      <c r="C13" s="155">
        <v>1</v>
      </c>
      <c r="D13" s="155">
        <f>C13+1</f>
        <v>2</v>
      </c>
      <c r="E13" s="155">
        <v>3</v>
      </c>
      <c r="F13" s="155">
        <v>4</v>
      </c>
      <c r="G13" s="343"/>
      <c r="H13" s="343"/>
      <c r="I13" s="343"/>
      <c r="J13" s="343"/>
      <c r="K13" s="343"/>
      <c r="L13" s="343"/>
      <c r="M13" s="159">
        <v>5</v>
      </c>
    </row>
    <row r="14" spans="1:13" ht="26.1" customHeight="1">
      <c r="B14" s="153" t="s">
        <v>65</v>
      </c>
      <c r="C14" s="156">
        <f>SUM(C15:C17)</f>
        <v>19700000</v>
      </c>
      <c r="D14" s="264">
        <f>SUM(D15:D17)</f>
        <v>-400000</v>
      </c>
      <c r="E14" s="264">
        <f>SUM(E15:E17)</f>
        <v>0</v>
      </c>
      <c r="F14" s="264">
        <f>SUM(F15:F17)</f>
        <v>46000</v>
      </c>
      <c r="G14" s="264">
        <f t="shared" ref="G14:L14" si="0">SUM(G15:G17)</f>
        <v>0</v>
      </c>
      <c r="H14" s="264">
        <f t="shared" si="0"/>
        <v>52100</v>
      </c>
      <c r="I14" s="264">
        <f t="shared" si="0"/>
        <v>490000</v>
      </c>
      <c r="J14" s="264">
        <f t="shared" si="0"/>
        <v>175000</v>
      </c>
      <c r="K14" s="264">
        <f t="shared" si="0"/>
        <v>15000</v>
      </c>
      <c r="L14" s="264">
        <f t="shared" si="0"/>
        <v>811474.3899999999</v>
      </c>
      <c r="M14" s="400">
        <f>C14+D14+E14+F14+G14+H14+I14+J14+K1+L14+K14</f>
        <v>20889574.390000001</v>
      </c>
    </row>
    <row r="15" spans="1:13" ht="26.45" customHeight="1">
      <c r="B15" s="163" t="s">
        <v>66</v>
      </c>
      <c r="C15" s="158">
        <v>12000000</v>
      </c>
      <c r="D15" s="265">
        <v>0</v>
      </c>
      <c r="E15" s="266">
        <v>0</v>
      </c>
      <c r="F15" s="266">
        <v>0</v>
      </c>
      <c r="G15" s="344"/>
      <c r="H15" s="344"/>
      <c r="I15" s="344"/>
      <c r="J15" s="344"/>
      <c r="K15" s="344"/>
      <c r="L15" s="344">
        <v>1221955.4099999999</v>
      </c>
      <c r="M15" s="344">
        <f>C15+D15+E15+F15+G15+H15+I15+J15+K15+L15</f>
        <v>13221955.41</v>
      </c>
    </row>
    <row r="16" spans="1:13" ht="26.45" customHeight="1">
      <c r="B16" s="163" t="s">
        <v>67</v>
      </c>
      <c r="C16" s="158">
        <v>4700000</v>
      </c>
      <c r="D16" s="265">
        <v>-400000</v>
      </c>
      <c r="E16" s="266">
        <v>0</v>
      </c>
      <c r="F16" s="266">
        <v>0</v>
      </c>
      <c r="G16" s="344"/>
      <c r="H16" s="344"/>
      <c r="I16" s="344">
        <v>490000</v>
      </c>
      <c r="J16" s="344"/>
      <c r="K16" s="344"/>
      <c r="L16" s="344">
        <v>-510340.59</v>
      </c>
      <c r="M16" s="344">
        <f>C16+D16+E16+F16+G16+H16+I16+J16+K16+L16</f>
        <v>4279659.41</v>
      </c>
    </row>
    <row r="17" spans="2:14" ht="25.5">
      <c r="B17" s="163" t="s">
        <v>68</v>
      </c>
      <c r="C17" s="158">
        <v>3000000</v>
      </c>
      <c r="D17" s="265">
        <v>0</v>
      </c>
      <c r="E17" s="266">
        <v>0</v>
      </c>
      <c r="F17" s="266">
        <v>46000</v>
      </c>
      <c r="G17" s="344"/>
      <c r="H17" s="344">
        <v>52100</v>
      </c>
      <c r="I17" s="344"/>
      <c r="J17" s="344">
        <v>175000</v>
      </c>
      <c r="K17" s="344">
        <v>15000</v>
      </c>
      <c r="L17" s="344">
        <v>99859.57</v>
      </c>
      <c r="M17" s="344">
        <f>C17+D17+E17+F17+G17+H17+I17+J17+K17+L17</f>
        <v>3387959.57</v>
      </c>
    </row>
    <row r="18" spans="2:14">
      <c r="B18" s="164"/>
      <c r="C18" s="158"/>
      <c r="D18" s="265"/>
      <c r="E18" s="266"/>
      <c r="F18" s="266"/>
      <c r="G18" s="344"/>
      <c r="H18" s="344"/>
      <c r="I18" s="344"/>
      <c r="J18" s="344"/>
      <c r="K18" s="344"/>
      <c r="L18" s="344"/>
      <c r="M18" s="344"/>
    </row>
    <row r="19" spans="2:14" ht="25.5">
      <c r="B19" s="165" t="s">
        <v>71</v>
      </c>
      <c r="C19" s="156">
        <f t="shared" ref="C19:J19" si="1">SUM(C20:C21)</f>
        <v>4000000</v>
      </c>
      <c r="D19" s="264">
        <f t="shared" si="1"/>
        <v>400000</v>
      </c>
      <c r="E19" s="264">
        <f t="shared" si="1"/>
        <v>0</v>
      </c>
      <c r="F19" s="264">
        <f t="shared" si="1"/>
        <v>0</v>
      </c>
      <c r="G19" s="264">
        <f t="shared" si="1"/>
        <v>-40000</v>
      </c>
      <c r="H19" s="264">
        <f t="shared" si="1"/>
        <v>-252600</v>
      </c>
      <c r="I19" s="264">
        <f t="shared" si="1"/>
        <v>-740000</v>
      </c>
      <c r="J19" s="264">
        <f t="shared" si="1"/>
        <v>-175000</v>
      </c>
      <c r="K19" s="264">
        <f t="shared" ref="K19:L19" si="2">SUM(K20:K22)</f>
        <v>-15000</v>
      </c>
      <c r="L19" s="264">
        <f t="shared" si="2"/>
        <v>-217079.43999999997</v>
      </c>
      <c r="M19" s="400">
        <f>C19+D19+E19+F19+G19+H19+I19+J19+K6+L19+K19</f>
        <v>2960320.56</v>
      </c>
    </row>
    <row r="20" spans="2:14" ht="25.5">
      <c r="B20" s="163" t="s">
        <v>74</v>
      </c>
      <c r="C20" s="158">
        <v>0</v>
      </c>
      <c r="D20" s="265">
        <v>800000</v>
      </c>
      <c r="E20" s="266">
        <v>0</v>
      </c>
      <c r="F20" s="266">
        <v>0</v>
      </c>
      <c r="G20" s="344"/>
      <c r="H20" s="344"/>
      <c r="I20" s="344">
        <v>415000</v>
      </c>
      <c r="J20" s="344"/>
      <c r="K20" s="344"/>
      <c r="L20" s="344">
        <v>197145.29</v>
      </c>
      <c r="M20" s="344">
        <f>C20+D20+E20+F20+G20+H20+I20+J20+K20+L20</f>
        <v>1412145.29</v>
      </c>
      <c r="N20" s="401"/>
    </row>
    <row r="21" spans="2:14" ht="25.5">
      <c r="B21" s="163" t="s">
        <v>75</v>
      </c>
      <c r="C21" s="158">
        <v>4000000</v>
      </c>
      <c r="D21" s="265">
        <v>-400000</v>
      </c>
      <c r="E21" s="266">
        <v>0</v>
      </c>
      <c r="F21" s="266">
        <v>0</v>
      </c>
      <c r="G21" s="344">
        <v>-40000</v>
      </c>
      <c r="H21" s="344">
        <v>-252600</v>
      </c>
      <c r="I21" s="344">
        <v>-1155000</v>
      </c>
      <c r="J21" s="344">
        <v>-175000</v>
      </c>
      <c r="K21" s="344">
        <v>-15000</v>
      </c>
      <c r="L21" s="344">
        <v>-414224.73</v>
      </c>
      <c r="M21" s="344">
        <f>C21+D21+E21+F21+G21+H21+I21+J21+K21+L21</f>
        <v>1548175.27</v>
      </c>
    </row>
    <row r="22" spans="2:14">
      <c r="B22" s="164"/>
      <c r="C22" s="158"/>
      <c r="D22" s="265"/>
      <c r="E22" s="266"/>
      <c r="F22" s="266"/>
      <c r="G22" s="344"/>
      <c r="H22" s="344"/>
      <c r="I22" s="344"/>
      <c r="J22" s="344"/>
      <c r="K22" s="344"/>
      <c r="L22" s="344"/>
      <c r="M22" s="344">
        <f t="shared" ref="M22:M37" si="3">C22+D22+E22+F22+G22+H22+I22</f>
        <v>0</v>
      </c>
    </row>
    <row r="23" spans="2:14" ht="26.45" customHeight="1">
      <c r="B23" s="154" t="s">
        <v>72</v>
      </c>
      <c r="C23" s="156">
        <f>SUM(C24)</f>
        <v>1700000</v>
      </c>
      <c r="D23" s="264">
        <f>SUM(D24)</f>
        <v>0</v>
      </c>
      <c r="E23" s="264">
        <f>E24</f>
        <v>0</v>
      </c>
      <c r="F23" s="264">
        <f>F24</f>
        <v>-269000</v>
      </c>
      <c r="G23" s="264">
        <f t="shared" ref="G23:J23" si="4">G24</f>
        <v>0</v>
      </c>
      <c r="H23" s="264">
        <f t="shared" si="4"/>
        <v>0</v>
      </c>
      <c r="I23" s="264">
        <f t="shared" si="4"/>
        <v>0</v>
      </c>
      <c r="J23" s="264">
        <f t="shared" si="4"/>
        <v>0</v>
      </c>
      <c r="K23" s="264">
        <f>SUM(K24:K25)</f>
        <v>0</v>
      </c>
      <c r="L23" s="264">
        <f>SUM(L24:L25)</f>
        <v>-827481.21</v>
      </c>
      <c r="M23" s="400">
        <f>C23+D23+E23+F23+G23+H23+I23+J23+K10+L23+K23</f>
        <v>603518.79</v>
      </c>
    </row>
    <row r="24" spans="2:14" ht="24" customHeight="1">
      <c r="B24" s="169" t="s">
        <v>76</v>
      </c>
      <c r="C24" s="158">
        <v>1700000</v>
      </c>
      <c r="D24" s="265">
        <v>0</v>
      </c>
      <c r="E24" s="266">
        <v>0</v>
      </c>
      <c r="F24" s="266">
        <v>-269000</v>
      </c>
      <c r="G24" s="344"/>
      <c r="H24" s="344"/>
      <c r="I24" s="344"/>
      <c r="J24" s="344"/>
      <c r="K24" s="344"/>
      <c r="L24" s="344">
        <v>-827481.21</v>
      </c>
      <c r="M24" s="344">
        <f>C24+D24+E24+F24+G24+H24+I24+J24+K24+L24</f>
        <v>603518.79</v>
      </c>
    </row>
    <row r="25" spans="2:14">
      <c r="B25" s="164"/>
      <c r="C25" s="158"/>
      <c r="D25" s="265"/>
      <c r="E25" s="266"/>
      <c r="F25" s="266"/>
      <c r="G25" s="344"/>
      <c r="H25" s="344"/>
      <c r="I25" s="344"/>
      <c r="J25" s="344"/>
      <c r="K25" s="344"/>
      <c r="L25" s="344"/>
      <c r="M25" s="344">
        <f t="shared" si="3"/>
        <v>0</v>
      </c>
    </row>
    <row r="26" spans="2:14" ht="26.45" customHeight="1">
      <c r="B26" s="166" t="s">
        <v>73</v>
      </c>
      <c r="C26" s="156">
        <f>SUM(C27)</f>
        <v>800000</v>
      </c>
      <c r="D26" s="264">
        <f>SUM(D27)</f>
        <v>0</v>
      </c>
      <c r="E26" s="264">
        <f t="shared" ref="E26:J26" si="5">E27</f>
        <v>-2500</v>
      </c>
      <c r="F26" s="264">
        <f t="shared" si="5"/>
        <v>223000</v>
      </c>
      <c r="G26" s="264">
        <f t="shared" si="5"/>
        <v>40000</v>
      </c>
      <c r="H26" s="264">
        <f t="shared" si="5"/>
        <v>200500</v>
      </c>
      <c r="I26" s="264">
        <f t="shared" si="5"/>
        <v>250000</v>
      </c>
      <c r="J26" s="264">
        <f t="shared" si="5"/>
        <v>0</v>
      </c>
      <c r="K26" s="264">
        <f>SUM(K27:K28)</f>
        <v>0</v>
      </c>
      <c r="L26" s="264">
        <f>SUM(L27:L28)</f>
        <v>233086.26</v>
      </c>
      <c r="M26" s="400">
        <f>C26+D26+E26+F26+G26+H26+I26+J26+K13+L26+J26</f>
        <v>1744086.26</v>
      </c>
    </row>
    <row r="27" spans="2:14" ht="24" customHeight="1">
      <c r="B27" s="169" t="s">
        <v>77</v>
      </c>
      <c r="C27" s="158">
        <v>800000</v>
      </c>
      <c r="D27" s="265">
        <v>0</v>
      </c>
      <c r="E27" s="266">
        <v>-2500</v>
      </c>
      <c r="F27" s="266">
        <v>223000</v>
      </c>
      <c r="G27" s="344">
        <v>40000</v>
      </c>
      <c r="H27" s="344">
        <v>200500</v>
      </c>
      <c r="I27" s="344">
        <v>250000</v>
      </c>
      <c r="J27" s="344"/>
      <c r="K27" s="344"/>
      <c r="L27" s="344">
        <v>233086.26</v>
      </c>
      <c r="M27" s="344">
        <f>C27+D27+E27+F27+G27+H27+I27+J27+K27+L27</f>
        <v>1744086.26</v>
      </c>
      <c r="N27" s="230"/>
    </row>
    <row r="28" spans="2:14" ht="15.75" thickBot="1">
      <c r="B28" s="167"/>
      <c r="C28" s="160"/>
      <c r="D28" s="267"/>
      <c r="E28" s="268"/>
      <c r="F28" s="268"/>
      <c r="G28" s="345"/>
      <c r="H28" s="345"/>
      <c r="I28" s="345"/>
      <c r="J28" s="345"/>
      <c r="K28" s="345"/>
      <c r="L28" s="345"/>
      <c r="M28" s="345">
        <f t="shared" si="3"/>
        <v>0</v>
      </c>
    </row>
    <row r="29" spans="2:14" ht="26.1" customHeight="1" thickBot="1">
      <c r="B29" s="168" t="s">
        <v>30</v>
      </c>
      <c r="C29" s="161">
        <f>C14+C19+C23+C26</f>
        <v>26200000</v>
      </c>
      <c r="D29" s="269">
        <f t="shared" ref="D29:L29" si="6">D14+D19+D23+D26</f>
        <v>0</v>
      </c>
      <c r="E29" s="269">
        <f t="shared" si="6"/>
        <v>-2500</v>
      </c>
      <c r="F29" s="269">
        <f t="shared" si="6"/>
        <v>0</v>
      </c>
      <c r="G29" s="269">
        <f t="shared" si="6"/>
        <v>0</v>
      </c>
      <c r="H29" s="269">
        <f t="shared" si="6"/>
        <v>0</v>
      </c>
      <c r="I29" s="269">
        <f t="shared" si="6"/>
        <v>0</v>
      </c>
      <c r="J29" s="269">
        <f t="shared" si="6"/>
        <v>0</v>
      </c>
      <c r="K29" s="269">
        <f t="shared" si="6"/>
        <v>0</v>
      </c>
      <c r="L29" s="269">
        <f t="shared" si="6"/>
        <v>0</v>
      </c>
      <c r="M29" s="269">
        <f>C29+D29+E29+F29+G29+H29+I29+J29+K29+L29</f>
        <v>26197500</v>
      </c>
    </row>
    <row r="30" spans="2:14">
      <c r="B30" t="s">
        <v>227</v>
      </c>
      <c r="M30" s="283"/>
    </row>
    <row r="31" spans="2:14">
      <c r="M31" s="283"/>
    </row>
    <row r="32" spans="2:14">
      <c r="B32" s="211" t="s">
        <v>103</v>
      </c>
      <c r="C32" s="212"/>
      <c r="D32" s="212"/>
      <c r="E32" s="212"/>
      <c r="F32" s="212"/>
      <c r="G32" s="212"/>
      <c r="H32" s="212"/>
      <c r="I32" s="212"/>
      <c r="J32" s="212"/>
      <c r="K32" s="212"/>
      <c r="L32" s="212"/>
      <c r="M32" s="212"/>
    </row>
    <row r="33" spans="2:14" ht="25.5">
      <c r="B33" s="165" t="s">
        <v>71</v>
      </c>
      <c r="C33" s="157">
        <f>SUM(C34)</f>
        <v>1800000</v>
      </c>
      <c r="D33" s="157">
        <f t="shared" ref="D33:F35" si="7">SUM(D34)</f>
        <v>0</v>
      </c>
      <c r="E33" s="157">
        <f t="shared" si="7"/>
        <v>0</v>
      </c>
      <c r="F33" s="157">
        <f t="shared" si="7"/>
        <v>0</v>
      </c>
      <c r="G33" s="157"/>
      <c r="H33" s="157"/>
      <c r="I33" s="157"/>
      <c r="J33" s="157"/>
      <c r="K33" s="157"/>
      <c r="L33" s="157"/>
      <c r="M33" s="157">
        <f t="shared" si="3"/>
        <v>1800000</v>
      </c>
    </row>
    <row r="34" spans="2:14" ht="25.5">
      <c r="B34" s="163" t="s">
        <v>102</v>
      </c>
      <c r="C34" s="162">
        <v>1800000</v>
      </c>
      <c r="D34" s="177"/>
      <c r="E34" s="177">
        <v>0</v>
      </c>
      <c r="F34" s="177"/>
      <c r="G34" s="177"/>
      <c r="H34" s="177"/>
      <c r="I34" s="177"/>
      <c r="J34" s="177"/>
      <c r="K34" s="177"/>
      <c r="L34" s="177"/>
      <c r="M34" s="177">
        <f>C34+D34+E34+F34+G34+H34+I34</f>
        <v>1800000</v>
      </c>
      <c r="N34" s="230"/>
    </row>
    <row r="35" spans="2:14" s="283" customFormat="1">
      <c r="B35" s="166" t="s">
        <v>73</v>
      </c>
      <c r="C35" s="157">
        <f>SUM(C36)</f>
        <v>0</v>
      </c>
      <c r="D35" s="157">
        <f t="shared" si="7"/>
        <v>0</v>
      </c>
      <c r="E35" s="157">
        <f t="shared" si="7"/>
        <v>2500</v>
      </c>
      <c r="F35" s="157">
        <f t="shared" si="7"/>
        <v>0</v>
      </c>
      <c r="G35" s="157"/>
      <c r="H35" s="157"/>
      <c r="I35" s="157"/>
      <c r="J35" s="157"/>
      <c r="K35" s="157"/>
      <c r="L35" s="157"/>
      <c r="M35" s="157">
        <f t="shared" si="3"/>
        <v>2500</v>
      </c>
    </row>
    <row r="36" spans="2:14" s="283" customFormat="1">
      <c r="B36" s="169" t="s">
        <v>77</v>
      </c>
      <c r="C36" s="321"/>
      <c r="D36" s="322"/>
      <c r="E36" s="177">
        <v>2500</v>
      </c>
      <c r="F36" s="177"/>
      <c r="G36" s="177"/>
      <c r="H36" s="177"/>
      <c r="I36" s="177"/>
      <c r="J36" s="177"/>
      <c r="K36" s="177"/>
      <c r="L36" s="177"/>
      <c r="M36" s="177">
        <f t="shared" si="3"/>
        <v>2500</v>
      </c>
    </row>
    <row r="37" spans="2:14" ht="26.45" customHeight="1" thickBot="1">
      <c r="B37" s="168" t="s">
        <v>30</v>
      </c>
      <c r="C37" s="175">
        <f>C34</f>
        <v>1800000</v>
      </c>
      <c r="D37" s="175">
        <f>D34</f>
        <v>0</v>
      </c>
      <c r="E37" s="175">
        <f>E34+E36</f>
        <v>2500</v>
      </c>
      <c r="F37" s="175">
        <f t="shared" ref="F37" si="8">F34</f>
        <v>0</v>
      </c>
      <c r="G37" s="175"/>
      <c r="H37" s="175"/>
      <c r="I37" s="175"/>
      <c r="J37" s="175"/>
      <c r="K37" s="175"/>
      <c r="L37" s="175"/>
      <c r="M37" s="175">
        <f t="shared" si="3"/>
        <v>1802500</v>
      </c>
    </row>
    <row r="38" spans="2:14">
      <c r="M38" s="230"/>
      <c r="N38" s="240"/>
    </row>
    <row r="39" spans="2:14">
      <c r="M39" s="230"/>
      <c r="N39" s="240"/>
    </row>
  </sheetData>
  <mergeCells count="11">
    <mergeCell ref="E11:E12"/>
    <mergeCell ref="C11:C12"/>
    <mergeCell ref="M11:M12"/>
    <mergeCell ref="D11:D12"/>
    <mergeCell ref="F11:F12"/>
    <mergeCell ref="G11:G12"/>
    <mergeCell ref="H11:H12"/>
    <mergeCell ref="I11:I12"/>
    <mergeCell ref="J11:J12"/>
    <mergeCell ref="K11:K12"/>
    <mergeCell ref="L11:L12"/>
  </mergeCells>
  <phoneticPr fontId="28" type="noConversion"/>
  <conditionalFormatting sqref="D37:L37">
    <cfRule type="cellIs" dxfId="11" priority="3" stopIfTrue="1" operator="equal">
      <formula>0</formula>
    </cfRule>
  </conditionalFormatting>
  <conditionalFormatting sqref="C37">
    <cfRule type="cellIs" dxfId="10" priority="2" stopIfTrue="1" operator="equal">
      <formula>0</formula>
    </cfRule>
  </conditionalFormatting>
  <conditionalFormatting sqref="M37">
    <cfRule type="cellIs" dxfId="9" priority="1" stopIfTrue="1" operator="equal">
      <formula>0</formula>
    </cfRule>
  </conditionalFormatting>
  <pageMargins left="0.70866141732283472" right="0.70866141732283472" top="0.74803149606299213" bottom="0.74803149606299213" header="0.31496062992125984" footer="0.31496062992125984"/>
  <pageSetup scale="54" orientation="landscape"/>
  <headerFooter>
    <oddHeader>&amp;C&amp;"-,Negrita"SHEDULE B</oddHead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showGridLines="0" workbookViewId="0">
      <selection activeCell="L27" sqref="L27"/>
    </sheetView>
  </sheetViews>
  <sheetFormatPr baseColWidth="10" defaultColWidth="9.140625" defaultRowHeight="15"/>
  <cols>
    <col min="1" max="1" width="3.42578125" style="283" customWidth="1"/>
    <col min="2" max="2" width="33.85546875" style="283" customWidth="1"/>
    <col min="3" max="3" width="16.42578125" style="283" customWidth="1"/>
    <col min="4" max="4" width="21" style="283" bestFit="1" customWidth="1"/>
    <col min="5" max="12" width="16.42578125" style="283" customWidth="1"/>
    <col min="13" max="13" width="14.140625" style="283" bestFit="1" customWidth="1"/>
    <col min="14" max="16384" width="9.140625" style="283"/>
  </cols>
  <sheetData>
    <row r="1" spans="1:12">
      <c r="B1" s="70" t="s">
        <v>19</v>
      </c>
      <c r="C1" s="71"/>
      <c r="D1" s="71"/>
      <c r="E1" s="71"/>
      <c r="F1" s="71"/>
      <c r="G1" s="71"/>
      <c r="H1" s="71"/>
      <c r="I1" s="71"/>
      <c r="J1" s="71"/>
      <c r="K1" s="71"/>
      <c r="L1" s="72"/>
    </row>
    <row r="2" spans="1:12">
      <c r="B2" s="73"/>
      <c r="C2" s="74" t="s">
        <v>1</v>
      </c>
      <c r="D2" s="147" t="s">
        <v>61</v>
      </c>
      <c r="E2" s="75"/>
      <c r="F2" s="75"/>
      <c r="G2" s="75"/>
      <c r="H2" s="75"/>
      <c r="I2" s="75"/>
      <c r="J2" s="75"/>
      <c r="K2" s="75"/>
      <c r="L2" s="78"/>
    </row>
    <row r="3" spans="1:12">
      <c r="B3" s="73"/>
      <c r="C3" s="74" t="s">
        <v>2</v>
      </c>
      <c r="D3" s="147" t="s">
        <v>62</v>
      </c>
      <c r="E3" s="75"/>
      <c r="F3" s="75"/>
      <c r="G3" s="75"/>
      <c r="H3" s="75"/>
      <c r="I3" s="75"/>
      <c r="J3" s="75"/>
      <c r="K3" s="75"/>
      <c r="L3" s="78"/>
    </row>
    <row r="4" spans="1:12">
      <c r="B4" s="73"/>
      <c r="C4" s="74" t="s">
        <v>3</v>
      </c>
      <c r="D4" s="147" t="str">
        <f>'THP DR'!B7</f>
        <v>TR14GTM15001</v>
      </c>
      <c r="E4" s="75"/>
      <c r="F4" s="75"/>
      <c r="G4" s="75"/>
      <c r="H4" s="75"/>
      <c r="I4" s="75"/>
      <c r="J4" s="75"/>
      <c r="K4" s="75"/>
      <c r="L4" s="78"/>
    </row>
    <row r="5" spans="1:12">
      <c r="B5" s="73"/>
      <c r="C5" s="74" t="s">
        <v>4</v>
      </c>
      <c r="D5" s="148">
        <v>44084</v>
      </c>
      <c r="E5" s="79"/>
      <c r="F5" s="79"/>
      <c r="G5" s="79"/>
      <c r="H5" s="79"/>
      <c r="I5" s="79"/>
      <c r="J5" s="79"/>
      <c r="K5" s="79"/>
      <c r="L5" s="78"/>
    </row>
    <row r="6" spans="1:12" ht="5.0999999999999996" customHeight="1" thickBot="1">
      <c r="B6" s="80"/>
      <c r="C6" s="81"/>
      <c r="D6" s="81"/>
      <c r="E6" s="81"/>
      <c r="F6" s="81"/>
      <c r="G6" s="81"/>
      <c r="H6" s="81"/>
      <c r="I6" s="81"/>
      <c r="J6" s="81"/>
      <c r="K6" s="81"/>
      <c r="L6" s="83"/>
    </row>
    <row r="7" spans="1:12">
      <c r="B7" s="84" t="s">
        <v>31</v>
      </c>
      <c r="C7" s="113"/>
      <c r="D7" s="113"/>
      <c r="E7" s="113"/>
      <c r="F7" s="113"/>
      <c r="G7" s="113"/>
      <c r="H7" s="113"/>
      <c r="I7" s="113"/>
      <c r="J7" s="113"/>
      <c r="K7" s="113"/>
      <c r="L7" s="114"/>
    </row>
    <row r="8" spans="1:12">
      <c r="A8" s="96"/>
      <c r="B8" s="88" t="s">
        <v>261</v>
      </c>
      <c r="C8" s="89"/>
      <c r="D8" s="89"/>
      <c r="E8" s="89"/>
      <c r="F8" s="89"/>
      <c r="G8" s="89"/>
      <c r="H8" s="89"/>
      <c r="I8" s="89"/>
      <c r="J8" s="89"/>
      <c r="K8" s="89"/>
      <c r="L8" s="90"/>
    </row>
    <row r="9" spans="1:12">
      <c r="B9" s="149" t="s">
        <v>32</v>
      </c>
      <c r="C9" s="92"/>
      <c r="D9" s="92"/>
      <c r="E9" s="92"/>
      <c r="F9" s="92"/>
      <c r="G9" s="92"/>
      <c r="H9" s="92"/>
      <c r="I9" s="92"/>
      <c r="J9" s="92"/>
      <c r="K9" s="92"/>
      <c r="L9" s="94"/>
    </row>
    <row r="10" spans="1:12" ht="15.75" thickBot="1">
      <c r="B10" s="97" t="s">
        <v>262</v>
      </c>
      <c r="C10" s="92"/>
      <c r="D10" s="92"/>
      <c r="E10" s="92"/>
      <c r="F10" s="92"/>
      <c r="G10" s="92"/>
      <c r="H10" s="92"/>
      <c r="I10" s="92"/>
      <c r="J10" s="92"/>
      <c r="K10" s="92"/>
      <c r="L10" s="94"/>
    </row>
    <row r="11" spans="1:12" ht="15" customHeight="1">
      <c r="B11" s="151"/>
      <c r="C11" s="572" t="s">
        <v>22</v>
      </c>
      <c r="D11" s="572" t="s">
        <v>203</v>
      </c>
      <c r="E11" s="572" t="s">
        <v>231</v>
      </c>
      <c r="F11" s="572" t="s">
        <v>242</v>
      </c>
      <c r="G11" s="572" t="s">
        <v>243</v>
      </c>
      <c r="H11" s="572" t="s">
        <v>254</v>
      </c>
      <c r="I11" s="572" t="s">
        <v>258</v>
      </c>
      <c r="J11" s="572" t="s">
        <v>263</v>
      </c>
      <c r="K11" s="572" t="s">
        <v>274</v>
      </c>
      <c r="L11" s="572" t="s">
        <v>64</v>
      </c>
    </row>
    <row r="12" spans="1:12" ht="42" customHeight="1" thickBot="1">
      <c r="B12" s="150" t="s">
        <v>70</v>
      </c>
      <c r="C12" s="573"/>
      <c r="D12" s="573"/>
      <c r="E12" s="573"/>
      <c r="F12" s="573"/>
      <c r="G12" s="573"/>
      <c r="H12" s="573"/>
      <c r="I12" s="573"/>
      <c r="J12" s="573"/>
      <c r="K12" s="573"/>
      <c r="L12" s="573"/>
    </row>
    <row r="13" spans="1:12" ht="15" customHeight="1">
      <c r="A13" s="96"/>
      <c r="B13" s="152" t="s">
        <v>69</v>
      </c>
      <c r="C13" s="155">
        <v>1</v>
      </c>
      <c r="D13" s="155">
        <f>C13+1</f>
        <v>2</v>
      </c>
      <c r="E13" s="155">
        <v>3</v>
      </c>
      <c r="F13" s="155">
        <v>4</v>
      </c>
      <c r="G13" s="343"/>
      <c r="H13" s="343"/>
      <c r="I13" s="343"/>
      <c r="J13" s="343"/>
      <c r="K13" s="343"/>
      <c r="L13" s="159">
        <v>5</v>
      </c>
    </row>
    <row r="14" spans="1:12" ht="26.1" customHeight="1">
      <c r="B14" s="153" t="s">
        <v>65</v>
      </c>
      <c r="C14" s="156">
        <f>SUM(C15:C17)</f>
        <v>19700000</v>
      </c>
      <c r="D14" s="264">
        <f>SUM(D15:D17)</f>
        <v>-400000</v>
      </c>
      <c r="E14" s="264">
        <f>SUM(E15:E17)</f>
        <v>0</v>
      </c>
      <c r="F14" s="264">
        <f>SUM(F15:F17)</f>
        <v>46000</v>
      </c>
      <c r="G14" s="264">
        <f t="shared" ref="G14:K14" si="0">SUM(G15:G17)</f>
        <v>0</v>
      </c>
      <c r="H14" s="264">
        <f t="shared" si="0"/>
        <v>52100</v>
      </c>
      <c r="I14" s="264">
        <f t="shared" si="0"/>
        <v>490000</v>
      </c>
      <c r="J14" s="264">
        <f t="shared" si="0"/>
        <v>175000</v>
      </c>
      <c r="K14" s="264">
        <f t="shared" si="0"/>
        <v>15000</v>
      </c>
      <c r="L14" s="400">
        <f>C14+D14+E14+F14+G14+H14+I14+J14+K14</f>
        <v>20078100</v>
      </c>
    </row>
    <row r="15" spans="1:12" ht="26.45" customHeight="1">
      <c r="B15" s="163" t="s">
        <v>66</v>
      </c>
      <c r="C15" s="158">
        <v>12000000</v>
      </c>
      <c r="D15" s="265">
        <v>0</v>
      </c>
      <c r="E15" s="266">
        <v>0</v>
      </c>
      <c r="F15" s="266">
        <v>0</v>
      </c>
      <c r="G15" s="344"/>
      <c r="H15" s="344"/>
      <c r="I15" s="344"/>
      <c r="J15" s="344"/>
      <c r="K15" s="344"/>
      <c r="L15" s="344">
        <f>C15+D15+E15+F15+G15+H15+I15+J15+K15</f>
        <v>12000000</v>
      </c>
    </row>
    <row r="16" spans="1:12" ht="26.45" customHeight="1">
      <c r="B16" s="163" t="s">
        <v>67</v>
      </c>
      <c r="C16" s="158">
        <v>4700000</v>
      </c>
      <c r="D16" s="265">
        <v>-400000</v>
      </c>
      <c r="E16" s="266">
        <v>0</v>
      </c>
      <c r="F16" s="266">
        <v>0</v>
      </c>
      <c r="G16" s="344"/>
      <c r="H16" s="344"/>
      <c r="I16" s="344">
        <v>490000</v>
      </c>
      <c r="J16" s="344"/>
      <c r="K16" s="344"/>
      <c r="L16" s="344">
        <f>C16+D16+E16+F16+G16+H16+I16+J16+K16</f>
        <v>4790000</v>
      </c>
    </row>
    <row r="17" spans="2:13" ht="25.5">
      <c r="B17" s="163" t="s">
        <v>68</v>
      </c>
      <c r="C17" s="158">
        <v>3000000</v>
      </c>
      <c r="D17" s="265">
        <v>0</v>
      </c>
      <c r="E17" s="266">
        <v>0</v>
      </c>
      <c r="F17" s="266">
        <v>46000</v>
      </c>
      <c r="G17" s="344"/>
      <c r="H17" s="344">
        <v>52100</v>
      </c>
      <c r="I17" s="344"/>
      <c r="J17" s="344">
        <v>175000</v>
      </c>
      <c r="K17" s="344">
        <v>15000</v>
      </c>
      <c r="L17" s="344">
        <f>C17+D17+E17+F17+G17+H17+I17+J17+K17</f>
        <v>3288100</v>
      </c>
    </row>
    <row r="18" spans="2:13">
      <c r="B18" s="164"/>
      <c r="C18" s="158"/>
      <c r="D18" s="265"/>
      <c r="E18" s="266"/>
      <c r="F18" s="266"/>
      <c r="G18" s="344"/>
      <c r="H18" s="344"/>
      <c r="I18" s="344"/>
      <c r="J18" s="344"/>
      <c r="K18" s="344"/>
      <c r="L18" s="344"/>
    </row>
    <row r="19" spans="2:13" ht="25.5">
      <c r="B19" s="165" t="s">
        <v>71</v>
      </c>
      <c r="C19" s="156">
        <f t="shared" ref="C19:J19" si="1">SUM(C20:C21)</f>
        <v>4000000</v>
      </c>
      <c r="D19" s="264">
        <f t="shared" si="1"/>
        <v>400000</v>
      </c>
      <c r="E19" s="264">
        <f t="shared" si="1"/>
        <v>0</v>
      </c>
      <c r="F19" s="264">
        <f t="shared" si="1"/>
        <v>0</v>
      </c>
      <c r="G19" s="264">
        <f t="shared" si="1"/>
        <v>-40000</v>
      </c>
      <c r="H19" s="264">
        <f t="shared" si="1"/>
        <v>-252600</v>
      </c>
      <c r="I19" s="264">
        <f t="shared" si="1"/>
        <v>-740000</v>
      </c>
      <c r="J19" s="264">
        <f t="shared" si="1"/>
        <v>-175000</v>
      </c>
      <c r="K19" s="264">
        <f t="shared" ref="K19" si="2">SUM(K20:K22)</f>
        <v>-15000</v>
      </c>
      <c r="L19" s="400">
        <f>C19+D19+E19+F19+G19+H19+I19+J19+K19</f>
        <v>3177400</v>
      </c>
    </row>
    <row r="20" spans="2:13" ht="25.5">
      <c r="B20" s="163" t="s">
        <v>74</v>
      </c>
      <c r="C20" s="158">
        <v>0</v>
      </c>
      <c r="D20" s="265">
        <v>800000</v>
      </c>
      <c r="E20" s="266">
        <v>0</v>
      </c>
      <c r="F20" s="266">
        <v>0</v>
      </c>
      <c r="G20" s="344"/>
      <c r="H20" s="344"/>
      <c r="I20" s="344">
        <v>415000</v>
      </c>
      <c r="J20" s="344"/>
      <c r="K20" s="344"/>
      <c r="L20" s="344">
        <f>C20+D20+E20+F20+G20+H20+I20+J20+K20</f>
        <v>1215000</v>
      </c>
      <c r="M20" s="401"/>
    </row>
    <row r="21" spans="2:13" ht="25.5">
      <c r="B21" s="163" t="s">
        <v>75</v>
      </c>
      <c r="C21" s="158">
        <v>4000000</v>
      </c>
      <c r="D21" s="265">
        <v>-400000</v>
      </c>
      <c r="E21" s="266">
        <v>0</v>
      </c>
      <c r="F21" s="266">
        <v>0</v>
      </c>
      <c r="G21" s="344">
        <v>-40000</v>
      </c>
      <c r="H21" s="344">
        <v>-252600</v>
      </c>
      <c r="I21" s="344">
        <v>-1155000</v>
      </c>
      <c r="J21" s="344">
        <v>-175000</v>
      </c>
      <c r="K21" s="344">
        <v>-15000</v>
      </c>
      <c r="L21" s="344">
        <f>C21+D21+E21+F21+G21+H21+I21+J21+K21</f>
        <v>1962400</v>
      </c>
    </row>
    <row r="22" spans="2:13">
      <c r="B22" s="164"/>
      <c r="C22" s="158"/>
      <c r="D22" s="265"/>
      <c r="E22" s="266"/>
      <c r="F22" s="266"/>
      <c r="G22" s="344"/>
      <c r="H22" s="344"/>
      <c r="I22" s="344"/>
      <c r="J22" s="344"/>
      <c r="K22" s="344"/>
      <c r="L22" s="344">
        <f t="shared" ref="L22:L37" si="3">C22+D22+E22+F22+G22+H22+I22</f>
        <v>0</v>
      </c>
    </row>
    <row r="23" spans="2:13" ht="26.45" customHeight="1">
      <c r="B23" s="154" t="s">
        <v>72</v>
      </c>
      <c r="C23" s="156">
        <f>SUM(C24)</f>
        <v>1700000</v>
      </c>
      <c r="D23" s="264">
        <f>SUM(D24)</f>
        <v>0</v>
      </c>
      <c r="E23" s="264">
        <f>E24</f>
        <v>0</v>
      </c>
      <c r="F23" s="264">
        <f>F24</f>
        <v>-269000</v>
      </c>
      <c r="G23" s="264">
        <f t="shared" ref="G23:J23" si="4">G24</f>
        <v>0</v>
      </c>
      <c r="H23" s="264">
        <f t="shared" si="4"/>
        <v>0</v>
      </c>
      <c r="I23" s="264">
        <f t="shared" si="4"/>
        <v>0</v>
      </c>
      <c r="J23" s="264">
        <f t="shared" si="4"/>
        <v>0</v>
      </c>
      <c r="K23" s="264">
        <f>SUM(K24:K25)</f>
        <v>0</v>
      </c>
      <c r="L23" s="400">
        <f>C23+D23+E23+F23+G23+H23+I23+J23+K23</f>
        <v>1431000</v>
      </c>
    </row>
    <row r="24" spans="2:13" ht="24" customHeight="1">
      <c r="B24" s="169" t="s">
        <v>76</v>
      </c>
      <c r="C24" s="158">
        <v>1700000</v>
      </c>
      <c r="D24" s="265">
        <v>0</v>
      </c>
      <c r="E24" s="266">
        <v>0</v>
      </c>
      <c r="F24" s="266">
        <v>-269000</v>
      </c>
      <c r="G24" s="344"/>
      <c r="H24" s="344"/>
      <c r="I24" s="344"/>
      <c r="J24" s="344"/>
      <c r="K24" s="344"/>
      <c r="L24" s="344">
        <f>C24+D24+E24+F24+G24+H24+I24+J24+K24</f>
        <v>1431000</v>
      </c>
    </row>
    <row r="25" spans="2:13">
      <c r="B25" s="164"/>
      <c r="C25" s="158"/>
      <c r="D25" s="265"/>
      <c r="E25" s="266"/>
      <c r="F25" s="266"/>
      <c r="G25" s="344"/>
      <c r="H25" s="344"/>
      <c r="I25" s="344"/>
      <c r="J25" s="344"/>
      <c r="K25" s="344"/>
      <c r="L25" s="344">
        <f t="shared" si="3"/>
        <v>0</v>
      </c>
    </row>
    <row r="26" spans="2:13" ht="26.45" customHeight="1">
      <c r="B26" s="166" t="s">
        <v>73</v>
      </c>
      <c r="C26" s="156">
        <f>SUM(C27)</f>
        <v>800000</v>
      </c>
      <c r="D26" s="264">
        <f>SUM(D27)</f>
        <v>0</v>
      </c>
      <c r="E26" s="264">
        <f t="shared" ref="E26:J26" si="5">E27</f>
        <v>-2500</v>
      </c>
      <c r="F26" s="264">
        <f t="shared" si="5"/>
        <v>223000</v>
      </c>
      <c r="G26" s="264">
        <f t="shared" si="5"/>
        <v>40000</v>
      </c>
      <c r="H26" s="264">
        <f t="shared" si="5"/>
        <v>200500</v>
      </c>
      <c r="I26" s="264">
        <f t="shared" si="5"/>
        <v>250000</v>
      </c>
      <c r="J26" s="264">
        <f t="shared" si="5"/>
        <v>0</v>
      </c>
      <c r="K26" s="264">
        <f>SUM(K27:K28)</f>
        <v>0</v>
      </c>
      <c r="L26" s="400">
        <f>C26+D26+E26+F26+G26+H26+I26+J26+K26</f>
        <v>1511000</v>
      </c>
    </row>
    <row r="27" spans="2:13" ht="24" customHeight="1">
      <c r="B27" s="169" t="s">
        <v>77</v>
      </c>
      <c r="C27" s="158">
        <v>800000</v>
      </c>
      <c r="D27" s="265">
        <v>0</v>
      </c>
      <c r="E27" s="266">
        <v>-2500</v>
      </c>
      <c r="F27" s="266">
        <v>223000</v>
      </c>
      <c r="G27" s="344">
        <v>40000</v>
      </c>
      <c r="H27" s="344">
        <v>200500</v>
      </c>
      <c r="I27" s="344">
        <v>250000</v>
      </c>
      <c r="J27" s="344"/>
      <c r="K27" s="344"/>
      <c r="L27" s="344">
        <f>C27+D27+E27+F27+G27+H27+I27+J27+K27</f>
        <v>1511000</v>
      </c>
      <c r="M27" s="230"/>
    </row>
    <row r="28" spans="2:13" ht="15.75" thickBot="1">
      <c r="B28" s="167"/>
      <c r="C28" s="160"/>
      <c r="D28" s="267"/>
      <c r="E28" s="268"/>
      <c r="F28" s="268"/>
      <c r="G28" s="345"/>
      <c r="H28" s="345"/>
      <c r="I28" s="345"/>
      <c r="J28" s="345"/>
      <c r="K28" s="345"/>
      <c r="L28" s="345">
        <f t="shared" si="3"/>
        <v>0</v>
      </c>
    </row>
    <row r="29" spans="2:13" ht="26.1" customHeight="1" thickBot="1">
      <c r="B29" s="168" t="s">
        <v>30</v>
      </c>
      <c r="C29" s="161">
        <f>C14+C19+C23+C26</f>
        <v>26200000</v>
      </c>
      <c r="D29" s="269">
        <f t="shared" ref="D29:K29" si="6">D14+D19+D23+D26</f>
        <v>0</v>
      </c>
      <c r="E29" s="269">
        <f t="shared" si="6"/>
        <v>-2500</v>
      </c>
      <c r="F29" s="269">
        <f t="shared" si="6"/>
        <v>0</v>
      </c>
      <c r="G29" s="269">
        <f t="shared" si="6"/>
        <v>0</v>
      </c>
      <c r="H29" s="269">
        <f t="shared" si="6"/>
        <v>0</v>
      </c>
      <c r="I29" s="269">
        <f t="shared" si="6"/>
        <v>0</v>
      </c>
      <c r="J29" s="269">
        <f t="shared" si="6"/>
        <v>0</v>
      </c>
      <c r="K29" s="269">
        <f t="shared" si="6"/>
        <v>0</v>
      </c>
      <c r="L29" s="269">
        <f t="shared" si="3"/>
        <v>26197500</v>
      </c>
    </row>
    <row r="30" spans="2:13">
      <c r="B30" s="283" t="s">
        <v>227</v>
      </c>
    </row>
    <row r="32" spans="2:13">
      <c r="B32" s="211" t="s">
        <v>103</v>
      </c>
      <c r="C32" s="212"/>
      <c r="D32" s="212"/>
      <c r="E32" s="212"/>
      <c r="F32" s="212"/>
      <c r="G32" s="212"/>
      <c r="H32" s="212"/>
      <c r="I32" s="212"/>
      <c r="J32" s="212"/>
      <c r="K32" s="212"/>
      <c r="L32" s="212"/>
    </row>
    <row r="33" spans="2:13" ht="25.5">
      <c r="B33" s="165" t="s">
        <v>71</v>
      </c>
      <c r="C33" s="157">
        <f>SUM(C34)</f>
        <v>1800000</v>
      </c>
      <c r="D33" s="157">
        <f t="shared" ref="D33:F35" si="7">SUM(D34)</f>
        <v>0</v>
      </c>
      <c r="E33" s="157">
        <f t="shared" si="7"/>
        <v>0</v>
      </c>
      <c r="F33" s="157">
        <f t="shared" si="7"/>
        <v>0</v>
      </c>
      <c r="G33" s="157"/>
      <c r="H33" s="157"/>
      <c r="I33" s="157"/>
      <c r="J33" s="157"/>
      <c r="K33" s="157"/>
      <c r="L33" s="157">
        <f t="shared" si="3"/>
        <v>1800000</v>
      </c>
    </row>
    <row r="34" spans="2:13" ht="25.5">
      <c r="B34" s="163" t="s">
        <v>102</v>
      </c>
      <c r="C34" s="162">
        <v>1800000</v>
      </c>
      <c r="D34" s="177"/>
      <c r="E34" s="177">
        <v>0</v>
      </c>
      <c r="F34" s="177"/>
      <c r="G34" s="177"/>
      <c r="H34" s="177"/>
      <c r="I34" s="177"/>
      <c r="J34" s="177"/>
      <c r="K34" s="177"/>
      <c r="L34" s="177">
        <f>C34+D34+E34+F34+G34+H34+I34</f>
        <v>1800000</v>
      </c>
      <c r="M34" s="230"/>
    </row>
    <row r="35" spans="2:13">
      <c r="B35" s="166" t="s">
        <v>73</v>
      </c>
      <c r="C35" s="157">
        <f>SUM(C36)</f>
        <v>0</v>
      </c>
      <c r="D35" s="157">
        <f t="shared" si="7"/>
        <v>0</v>
      </c>
      <c r="E35" s="157">
        <f t="shared" si="7"/>
        <v>2500</v>
      </c>
      <c r="F35" s="157">
        <f t="shared" si="7"/>
        <v>0</v>
      </c>
      <c r="G35" s="157"/>
      <c r="H35" s="157"/>
      <c r="I35" s="157"/>
      <c r="J35" s="157"/>
      <c r="K35" s="157"/>
      <c r="L35" s="157">
        <f t="shared" si="3"/>
        <v>2500</v>
      </c>
    </row>
    <row r="36" spans="2:13">
      <c r="B36" s="169" t="s">
        <v>77</v>
      </c>
      <c r="C36" s="321"/>
      <c r="D36" s="322"/>
      <c r="E36" s="177">
        <v>2500</v>
      </c>
      <c r="F36" s="177"/>
      <c r="G36" s="177"/>
      <c r="H36" s="177"/>
      <c r="I36" s="177"/>
      <c r="J36" s="177"/>
      <c r="K36" s="177"/>
      <c r="L36" s="177">
        <f t="shared" si="3"/>
        <v>2500</v>
      </c>
    </row>
    <row r="37" spans="2:13" ht="26.45" customHeight="1" thickBot="1">
      <c r="B37" s="168" t="s">
        <v>30</v>
      </c>
      <c r="C37" s="175">
        <f>C34</f>
        <v>1800000</v>
      </c>
      <c r="D37" s="175">
        <f>D34</f>
        <v>0</v>
      </c>
      <c r="E37" s="175">
        <f>E34+E36</f>
        <v>2500</v>
      </c>
      <c r="F37" s="175">
        <f t="shared" ref="F37" si="8">F34</f>
        <v>0</v>
      </c>
      <c r="G37" s="175"/>
      <c r="H37" s="175"/>
      <c r="I37" s="175"/>
      <c r="J37" s="175"/>
      <c r="K37" s="175"/>
      <c r="L37" s="175">
        <f t="shared" si="3"/>
        <v>1802500</v>
      </c>
    </row>
    <row r="38" spans="2:13">
      <c r="L38" s="230"/>
      <c r="M38" s="240"/>
    </row>
    <row r="39" spans="2:13">
      <c r="L39" s="230"/>
      <c r="M39" s="240"/>
    </row>
  </sheetData>
  <mergeCells count="10">
    <mergeCell ref="I11:I12"/>
    <mergeCell ref="J11:J12"/>
    <mergeCell ref="K11:K12"/>
    <mergeCell ref="L11:L12"/>
    <mergeCell ref="C11:C12"/>
    <mergeCell ref="D11:D12"/>
    <mergeCell ref="E11:E12"/>
    <mergeCell ref="F11:F12"/>
    <mergeCell ref="G11:G12"/>
    <mergeCell ref="H11:H12"/>
  </mergeCells>
  <conditionalFormatting sqref="D37:K37">
    <cfRule type="cellIs" dxfId="8" priority="3" stopIfTrue="1" operator="equal">
      <formula>0</formula>
    </cfRule>
  </conditionalFormatting>
  <conditionalFormatting sqref="C37">
    <cfRule type="cellIs" dxfId="7" priority="2" stopIfTrue="1" operator="equal">
      <formula>0</formula>
    </cfRule>
  </conditionalFormatting>
  <conditionalFormatting sqref="L37">
    <cfRule type="cellIs" dxfId="6" priority="1" stopIfTrue="1" operator="equal">
      <formula>0</formula>
    </cfRule>
  </conditionalFormatting>
  <pageMargins left="0.70866141732283472" right="0.70866141732283472" top="0.74803149606299213" bottom="0.74803149606299213" header="0.31496062992125984" footer="0.31496062992125984"/>
  <pageSetup scale="59" orientation="landscape"/>
  <headerFooter>
    <oddHeader>&amp;C&amp;"-,Negrita"SHEDULE B</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F45"/>
  <sheetViews>
    <sheetView showGridLines="0" topLeftCell="A2" zoomScale="115" zoomScaleNormal="115" zoomScalePageLayoutView="115" workbookViewId="0">
      <selection activeCell="A35" sqref="A35"/>
    </sheetView>
  </sheetViews>
  <sheetFormatPr baseColWidth="10" defaultColWidth="11.42578125" defaultRowHeight="12.75"/>
  <cols>
    <col min="1" max="1" width="73.42578125" style="117" customWidth="1"/>
    <col min="2" max="2" width="38.42578125" style="146" customWidth="1"/>
    <col min="3" max="256" width="9.140625" style="117" customWidth="1"/>
    <col min="257" max="257" width="73.42578125" style="117" customWidth="1"/>
    <col min="258" max="258" width="24.42578125" style="117" customWidth="1"/>
    <col min="259" max="512" width="9.140625" style="117" customWidth="1"/>
    <col min="513" max="513" width="73.42578125" style="117" customWidth="1"/>
    <col min="514" max="514" width="24.42578125" style="117" customWidth="1"/>
    <col min="515" max="768" width="9.140625" style="117" customWidth="1"/>
    <col min="769" max="769" width="73.42578125" style="117" customWidth="1"/>
    <col min="770" max="770" width="24.42578125" style="117" customWidth="1"/>
    <col min="771" max="1024" width="9.140625" style="117" customWidth="1"/>
    <col min="1025" max="1025" width="73.42578125" style="117" customWidth="1"/>
    <col min="1026" max="1026" width="24.42578125" style="117" customWidth="1"/>
    <col min="1027" max="1280" width="9.140625" style="117" customWidth="1"/>
    <col min="1281" max="1281" width="73.42578125" style="117" customWidth="1"/>
    <col min="1282" max="1282" width="24.42578125" style="117" customWidth="1"/>
    <col min="1283" max="1536" width="9.140625" style="117" customWidth="1"/>
    <col min="1537" max="1537" width="73.42578125" style="117" customWidth="1"/>
    <col min="1538" max="1538" width="24.42578125" style="117" customWidth="1"/>
    <col min="1539" max="1792" width="9.140625" style="117" customWidth="1"/>
    <col min="1793" max="1793" width="73.42578125" style="117" customWidth="1"/>
    <col min="1794" max="1794" width="24.42578125" style="117" customWidth="1"/>
    <col min="1795" max="2048" width="9.140625" style="117" customWidth="1"/>
    <col min="2049" max="2049" width="73.42578125" style="117" customWidth="1"/>
    <col min="2050" max="2050" width="24.42578125" style="117" customWidth="1"/>
    <col min="2051" max="2304" width="9.140625" style="117" customWidth="1"/>
    <col min="2305" max="2305" width="73.42578125" style="117" customWidth="1"/>
    <col min="2306" max="2306" width="24.42578125" style="117" customWidth="1"/>
    <col min="2307" max="2560" width="9.140625" style="117" customWidth="1"/>
    <col min="2561" max="2561" width="73.42578125" style="117" customWidth="1"/>
    <col min="2562" max="2562" width="24.42578125" style="117" customWidth="1"/>
    <col min="2563" max="2816" width="9.140625" style="117" customWidth="1"/>
    <col min="2817" max="2817" width="73.42578125" style="117" customWidth="1"/>
    <col min="2818" max="2818" width="24.42578125" style="117" customWidth="1"/>
    <col min="2819" max="3072" width="9.140625" style="117" customWidth="1"/>
    <col min="3073" max="3073" width="73.42578125" style="117" customWidth="1"/>
    <col min="3074" max="3074" width="24.42578125" style="117" customWidth="1"/>
    <col min="3075" max="3328" width="9.140625" style="117" customWidth="1"/>
    <col min="3329" max="3329" width="73.42578125" style="117" customWidth="1"/>
    <col min="3330" max="3330" width="24.42578125" style="117" customWidth="1"/>
    <col min="3331" max="3584" width="9.140625" style="117" customWidth="1"/>
    <col min="3585" max="3585" width="73.42578125" style="117" customWidth="1"/>
    <col min="3586" max="3586" width="24.42578125" style="117" customWidth="1"/>
    <col min="3587" max="3840" width="9.140625" style="117" customWidth="1"/>
    <col min="3841" max="3841" width="73.42578125" style="117" customWidth="1"/>
    <col min="3842" max="3842" width="24.42578125" style="117" customWidth="1"/>
    <col min="3843" max="4096" width="9.140625" style="117" customWidth="1"/>
    <col min="4097" max="4097" width="73.42578125" style="117" customWidth="1"/>
    <col min="4098" max="4098" width="24.42578125" style="117" customWidth="1"/>
    <col min="4099" max="4352" width="9.140625" style="117" customWidth="1"/>
    <col min="4353" max="4353" width="73.42578125" style="117" customWidth="1"/>
    <col min="4354" max="4354" width="24.42578125" style="117" customWidth="1"/>
    <col min="4355" max="4608" width="9.140625" style="117" customWidth="1"/>
    <col min="4609" max="4609" width="73.42578125" style="117" customWidth="1"/>
    <col min="4610" max="4610" width="24.42578125" style="117" customWidth="1"/>
    <col min="4611" max="4864" width="9.140625" style="117" customWidth="1"/>
    <col min="4865" max="4865" width="73.42578125" style="117" customWidth="1"/>
    <col min="4866" max="4866" width="24.42578125" style="117" customWidth="1"/>
    <col min="4867" max="5120" width="9.140625" style="117" customWidth="1"/>
    <col min="5121" max="5121" width="73.42578125" style="117" customWidth="1"/>
    <col min="5122" max="5122" width="24.42578125" style="117" customWidth="1"/>
    <col min="5123" max="5376" width="9.140625" style="117" customWidth="1"/>
    <col min="5377" max="5377" width="73.42578125" style="117" customWidth="1"/>
    <col min="5378" max="5378" width="24.42578125" style="117" customWidth="1"/>
    <col min="5379" max="5632" width="9.140625" style="117" customWidth="1"/>
    <col min="5633" max="5633" width="73.42578125" style="117" customWidth="1"/>
    <col min="5634" max="5634" width="24.42578125" style="117" customWidth="1"/>
    <col min="5635" max="5888" width="9.140625" style="117" customWidth="1"/>
    <col min="5889" max="5889" width="73.42578125" style="117" customWidth="1"/>
    <col min="5890" max="5890" width="24.42578125" style="117" customWidth="1"/>
    <col min="5891" max="6144" width="9.140625" style="117" customWidth="1"/>
    <col min="6145" max="6145" width="73.42578125" style="117" customWidth="1"/>
    <col min="6146" max="6146" width="24.42578125" style="117" customWidth="1"/>
    <col min="6147" max="6400" width="9.140625" style="117" customWidth="1"/>
    <col min="6401" max="6401" width="73.42578125" style="117" customWidth="1"/>
    <col min="6402" max="6402" width="24.42578125" style="117" customWidth="1"/>
    <col min="6403" max="6656" width="9.140625" style="117" customWidth="1"/>
    <col min="6657" max="6657" width="73.42578125" style="117" customWidth="1"/>
    <col min="6658" max="6658" width="24.42578125" style="117" customWidth="1"/>
    <col min="6659" max="6912" width="9.140625" style="117" customWidth="1"/>
    <col min="6913" max="6913" width="73.42578125" style="117" customWidth="1"/>
    <col min="6914" max="6914" width="24.42578125" style="117" customWidth="1"/>
    <col min="6915" max="7168" width="9.140625" style="117" customWidth="1"/>
    <col min="7169" max="7169" width="73.42578125" style="117" customWidth="1"/>
    <col min="7170" max="7170" width="24.42578125" style="117" customWidth="1"/>
    <col min="7171" max="7424" width="9.140625" style="117" customWidth="1"/>
    <col min="7425" max="7425" width="73.42578125" style="117" customWidth="1"/>
    <col min="7426" max="7426" width="24.42578125" style="117" customWidth="1"/>
    <col min="7427" max="7680" width="9.140625" style="117" customWidth="1"/>
    <col min="7681" max="7681" width="73.42578125" style="117" customWidth="1"/>
    <col min="7682" max="7682" width="24.42578125" style="117" customWidth="1"/>
    <col min="7683" max="7936" width="9.140625" style="117" customWidth="1"/>
    <col min="7937" max="7937" width="73.42578125" style="117" customWidth="1"/>
    <col min="7938" max="7938" width="24.42578125" style="117" customWidth="1"/>
    <col min="7939" max="8192" width="9.140625" style="117" customWidth="1"/>
    <col min="8193" max="8193" width="73.42578125" style="117" customWidth="1"/>
    <col min="8194" max="8194" width="24.42578125" style="117" customWidth="1"/>
    <col min="8195" max="8448" width="9.140625" style="117" customWidth="1"/>
    <col min="8449" max="8449" width="73.42578125" style="117" customWidth="1"/>
    <col min="8450" max="8450" width="24.42578125" style="117" customWidth="1"/>
    <col min="8451" max="8704" width="9.140625" style="117" customWidth="1"/>
    <col min="8705" max="8705" width="73.42578125" style="117" customWidth="1"/>
    <col min="8706" max="8706" width="24.42578125" style="117" customWidth="1"/>
    <col min="8707" max="8960" width="9.140625" style="117" customWidth="1"/>
    <col min="8961" max="8961" width="73.42578125" style="117" customWidth="1"/>
    <col min="8962" max="8962" width="24.42578125" style="117" customWidth="1"/>
    <col min="8963" max="9216" width="9.140625" style="117" customWidth="1"/>
    <col min="9217" max="9217" width="73.42578125" style="117" customWidth="1"/>
    <col min="9218" max="9218" width="24.42578125" style="117" customWidth="1"/>
    <col min="9219" max="9472" width="9.140625" style="117" customWidth="1"/>
    <col min="9473" max="9473" width="73.42578125" style="117" customWidth="1"/>
    <col min="9474" max="9474" width="24.42578125" style="117" customWidth="1"/>
    <col min="9475" max="9728" width="9.140625" style="117" customWidth="1"/>
    <col min="9729" max="9729" width="73.42578125" style="117" customWidth="1"/>
    <col min="9730" max="9730" width="24.42578125" style="117" customWidth="1"/>
    <col min="9731" max="9984" width="9.140625" style="117" customWidth="1"/>
    <col min="9985" max="9985" width="73.42578125" style="117" customWidth="1"/>
    <col min="9986" max="9986" width="24.42578125" style="117" customWidth="1"/>
    <col min="9987" max="10240" width="9.140625" style="117" customWidth="1"/>
    <col min="10241" max="10241" width="73.42578125" style="117" customWidth="1"/>
    <col min="10242" max="10242" width="24.42578125" style="117" customWidth="1"/>
    <col min="10243" max="10496" width="9.140625" style="117" customWidth="1"/>
    <col min="10497" max="10497" width="73.42578125" style="117" customWidth="1"/>
    <col min="10498" max="10498" width="24.42578125" style="117" customWidth="1"/>
    <col min="10499" max="10752" width="9.140625" style="117" customWidth="1"/>
    <col min="10753" max="10753" width="73.42578125" style="117" customWidth="1"/>
    <col min="10754" max="10754" width="24.42578125" style="117" customWidth="1"/>
    <col min="10755" max="11008" width="9.140625" style="117" customWidth="1"/>
    <col min="11009" max="11009" width="73.42578125" style="117" customWidth="1"/>
    <col min="11010" max="11010" width="24.42578125" style="117" customWidth="1"/>
    <col min="11011" max="11264" width="9.140625" style="117" customWidth="1"/>
    <col min="11265" max="11265" width="73.42578125" style="117" customWidth="1"/>
    <col min="11266" max="11266" width="24.42578125" style="117" customWidth="1"/>
    <col min="11267" max="11520" width="9.140625" style="117" customWidth="1"/>
    <col min="11521" max="11521" width="73.42578125" style="117" customWidth="1"/>
    <col min="11522" max="11522" width="24.42578125" style="117" customWidth="1"/>
    <col min="11523" max="11776" width="9.140625" style="117" customWidth="1"/>
    <col min="11777" max="11777" width="73.42578125" style="117" customWidth="1"/>
    <col min="11778" max="11778" width="24.42578125" style="117" customWidth="1"/>
    <col min="11779" max="12032" width="9.140625" style="117" customWidth="1"/>
    <col min="12033" max="12033" width="73.42578125" style="117" customWidth="1"/>
    <col min="12034" max="12034" width="24.42578125" style="117" customWidth="1"/>
    <col min="12035" max="12288" width="9.140625" style="117" customWidth="1"/>
    <col min="12289" max="12289" width="73.42578125" style="117" customWidth="1"/>
    <col min="12290" max="12290" width="24.42578125" style="117" customWidth="1"/>
    <col min="12291" max="12544" width="9.140625" style="117" customWidth="1"/>
    <col min="12545" max="12545" width="73.42578125" style="117" customWidth="1"/>
    <col min="12546" max="12546" width="24.42578125" style="117" customWidth="1"/>
    <col min="12547" max="12800" width="9.140625" style="117" customWidth="1"/>
    <col min="12801" max="12801" width="73.42578125" style="117" customWidth="1"/>
    <col min="12802" max="12802" width="24.42578125" style="117" customWidth="1"/>
    <col min="12803" max="13056" width="9.140625" style="117" customWidth="1"/>
    <col min="13057" max="13057" width="73.42578125" style="117" customWidth="1"/>
    <col min="13058" max="13058" width="24.42578125" style="117" customWidth="1"/>
    <col min="13059" max="13312" width="9.140625" style="117" customWidth="1"/>
    <col min="13313" max="13313" width="73.42578125" style="117" customWidth="1"/>
    <col min="13314" max="13314" width="24.42578125" style="117" customWidth="1"/>
    <col min="13315" max="13568" width="9.140625" style="117" customWidth="1"/>
    <col min="13569" max="13569" width="73.42578125" style="117" customWidth="1"/>
    <col min="13570" max="13570" width="24.42578125" style="117" customWidth="1"/>
    <col min="13571" max="13824" width="9.140625" style="117" customWidth="1"/>
    <col min="13825" max="13825" width="73.42578125" style="117" customWidth="1"/>
    <col min="13826" max="13826" width="24.42578125" style="117" customWidth="1"/>
    <col min="13827" max="14080" width="9.140625" style="117" customWidth="1"/>
    <col min="14081" max="14081" width="73.42578125" style="117" customWidth="1"/>
    <col min="14082" max="14082" width="24.42578125" style="117" customWidth="1"/>
    <col min="14083" max="14336" width="9.140625" style="117" customWidth="1"/>
    <col min="14337" max="14337" width="73.42578125" style="117" customWidth="1"/>
    <col min="14338" max="14338" width="24.42578125" style="117" customWidth="1"/>
    <col min="14339" max="14592" width="9.140625" style="117" customWidth="1"/>
    <col min="14593" max="14593" width="73.42578125" style="117" customWidth="1"/>
    <col min="14594" max="14594" width="24.42578125" style="117" customWidth="1"/>
    <col min="14595" max="14848" width="9.140625" style="117" customWidth="1"/>
    <col min="14849" max="14849" width="73.42578125" style="117" customWidth="1"/>
    <col min="14850" max="14850" width="24.42578125" style="117" customWidth="1"/>
    <col min="14851" max="15104" width="9.140625" style="117" customWidth="1"/>
    <col min="15105" max="15105" width="73.42578125" style="117" customWidth="1"/>
    <col min="15106" max="15106" width="24.42578125" style="117" customWidth="1"/>
    <col min="15107" max="15360" width="9.140625" style="117" customWidth="1"/>
    <col min="15361" max="15361" width="73.42578125" style="117" customWidth="1"/>
    <col min="15362" max="15362" width="24.42578125" style="117" customWidth="1"/>
    <col min="15363" max="15616" width="9.140625" style="117" customWidth="1"/>
    <col min="15617" max="15617" width="73.42578125" style="117" customWidth="1"/>
    <col min="15618" max="15618" width="24.42578125" style="117" customWidth="1"/>
    <col min="15619" max="15872" width="9.140625" style="117" customWidth="1"/>
    <col min="15873" max="15873" width="73.42578125" style="117" customWidth="1"/>
    <col min="15874" max="15874" width="24.42578125" style="117" customWidth="1"/>
    <col min="15875" max="16128" width="9.140625" style="117" customWidth="1"/>
    <col min="16129" max="16129" width="73.42578125" style="117" customWidth="1"/>
    <col min="16130" max="16130" width="24.42578125" style="117" customWidth="1"/>
    <col min="16131" max="16384" width="9.140625" style="117" customWidth="1"/>
  </cols>
  <sheetData>
    <row r="1" spans="1:6" ht="15.75">
      <c r="A1" s="115" t="s">
        <v>33</v>
      </c>
      <c r="B1" s="116"/>
    </row>
    <row r="2" spans="1:6" ht="15.75">
      <c r="A2" s="118"/>
      <c r="B2" s="119"/>
    </row>
    <row r="3" spans="1:6" ht="16.5" thickBot="1">
      <c r="A3" s="578" t="s">
        <v>34</v>
      </c>
      <c r="B3" s="579"/>
    </row>
    <row r="4" spans="1:6">
      <c r="A4" s="120" t="s">
        <v>35</v>
      </c>
      <c r="B4" s="121" t="s">
        <v>61</v>
      </c>
    </row>
    <row r="5" spans="1:6" ht="30" customHeight="1">
      <c r="A5" s="122" t="s">
        <v>36</v>
      </c>
      <c r="B5" s="123" t="s">
        <v>233</v>
      </c>
      <c r="C5" s="124"/>
    </row>
    <row r="6" spans="1:6">
      <c r="A6" s="125" t="s">
        <v>37</v>
      </c>
      <c r="B6" s="126" t="s">
        <v>234</v>
      </c>
    </row>
    <row r="7" spans="1:6">
      <c r="A7" s="127" t="s">
        <v>38</v>
      </c>
      <c r="B7" s="126" t="s">
        <v>63</v>
      </c>
    </row>
    <row r="8" spans="1:6">
      <c r="A8" s="122" t="s">
        <v>39</v>
      </c>
      <c r="B8" s="128" t="s">
        <v>62</v>
      </c>
    </row>
    <row r="9" spans="1:6">
      <c r="A9" s="122" t="s">
        <v>40</v>
      </c>
      <c r="B9" s="126" t="s">
        <v>62</v>
      </c>
    </row>
    <row r="10" spans="1:6">
      <c r="A10" s="122" t="s">
        <v>41</v>
      </c>
      <c r="B10" s="129">
        <v>44361</v>
      </c>
    </row>
    <row r="11" spans="1:6">
      <c r="A11" s="122" t="s">
        <v>42</v>
      </c>
      <c r="B11" s="129">
        <v>44378</v>
      </c>
    </row>
    <row r="12" spans="1:6">
      <c r="A12" s="122" t="s">
        <v>43</v>
      </c>
      <c r="B12" s="129" t="s">
        <v>333</v>
      </c>
    </row>
    <row r="13" spans="1:6">
      <c r="A13" s="122" t="s">
        <v>44</v>
      </c>
      <c r="B13" s="126">
        <v>21</v>
      </c>
    </row>
    <row r="14" spans="1:6">
      <c r="A14" s="130" t="s">
        <v>45</v>
      </c>
      <c r="B14" s="126" t="s">
        <v>46</v>
      </c>
    </row>
    <row r="15" spans="1:6" ht="25.5">
      <c r="A15" s="131" t="s">
        <v>47</v>
      </c>
      <c r="B15" s="126"/>
    </row>
    <row r="16" spans="1:6" ht="32.25" customHeight="1">
      <c r="A16" s="580" t="s">
        <v>114</v>
      </c>
      <c r="B16" s="581"/>
      <c r="C16" s="219"/>
      <c r="D16" s="219"/>
      <c r="E16" s="219"/>
      <c r="F16" s="219"/>
    </row>
    <row r="17" spans="1:2" ht="18.75" customHeight="1">
      <c r="A17" s="122" t="s">
        <v>48</v>
      </c>
      <c r="B17" s="488">
        <v>1297030.69</v>
      </c>
    </row>
    <row r="18" spans="1:2" ht="20.25" customHeight="1">
      <c r="A18" s="122" t="s">
        <v>49</v>
      </c>
      <c r="B18" s="132">
        <v>0</v>
      </c>
    </row>
    <row r="19" spans="1:2" ht="18.75" customHeight="1">
      <c r="A19" s="122" t="s">
        <v>50</v>
      </c>
      <c r="B19" s="133"/>
    </row>
    <row r="20" spans="1:2" ht="18.75" customHeight="1">
      <c r="A20" s="122" t="s">
        <v>51</v>
      </c>
      <c r="B20" s="132">
        <v>0</v>
      </c>
    </row>
    <row r="21" spans="1:2" ht="18.75" customHeight="1">
      <c r="A21" s="122" t="s">
        <v>52</v>
      </c>
      <c r="B21" s="312">
        <f>B17+B18+B19-B20</f>
        <v>1297030.69</v>
      </c>
    </row>
    <row r="22" spans="1:2" ht="37.5" customHeight="1">
      <c r="A22" s="122" t="s">
        <v>53</v>
      </c>
      <c r="B22" s="317" t="s">
        <v>334</v>
      </c>
    </row>
    <row r="23" spans="1:2" ht="39.950000000000003" customHeight="1">
      <c r="A23" s="582" t="s">
        <v>54</v>
      </c>
      <c r="B23" s="582"/>
    </row>
    <row r="24" spans="1:2" ht="58.5" customHeight="1">
      <c r="A24" s="582" t="s">
        <v>55</v>
      </c>
      <c r="B24" s="582"/>
    </row>
    <row r="25" spans="1:2" ht="33" customHeight="1">
      <c r="A25" s="582" t="s">
        <v>56</v>
      </c>
      <c r="B25" s="583"/>
    </row>
    <row r="26" spans="1:2" ht="50.1" customHeight="1">
      <c r="A26" s="582" t="s">
        <v>223</v>
      </c>
      <c r="B26" s="582"/>
    </row>
    <row r="27" spans="1:2" ht="20.100000000000001" customHeight="1">
      <c r="A27" s="134"/>
      <c r="B27" s="135"/>
    </row>
    <row r="28" spans="1:2" ht="20.100000000000001" customHeight="1">
      <c r="A28" s="574" t="s">
        <v>256</v>
      </c>
      <c r="B28" s="575"/>
    </row>
    <row r="29" spans="1:2" ht="42.6" customHeight="1">
      <c r="A29" s="136" t="s">
        <v>57</v>
      </c>
      <c r="B29" s="137"/>
    </row>
    <row r="30" spans="1:2" ht="20.100000000000001" customHeight="1">
      <c r="A30" s="136" t="s">
        <v>255</v>
      </c>
      <c r="B30" s="137"/>
    </row>
    <row r="31" spans="1:2" ht="20.100000000000001" customHeight="1">
      <c r="A31" s="308" t="s">
        <v>332</v>
      </c>
      <c r="B31" s="137"/>
    </row>
    <row r="32" spans="1:2" ht="20.100000000000001" customHeight="1">
      <c r="A32" s="138"/>
      <c r="B32" s="139"/>
    </row>
    <row r="33" spans="1:2" ht="20.100000000000001" customHeight="1">
      <c r="A33" s="576"/>
      <c r="B33" s="577"/>
    </row>
    <row r="34" spans="1:2" ht="20.100000000000001" customHeight="1">
      <c r="A34" s="136" t="s">
        <v>57</v>
      </c>
      <c r="B34" s="137"/>
    </row>
    <row r="35" spans="1:2" ht="20.100000000000001" customHeight="1">
      <c r="A35" s="316" t="s">
        <v>58</v>
      </c>
      <c r="B35" s="137"/>
    </row>
    <row r="36" spans="1:2" ht="20.100000000000001" customHeight="1">
      <c r="A36" s="136" t="s">
        <v>257</v>
      </c>
      <c r="B36" s="137"/>
    </row>
    <row r="37" spans="1:2" ht="20.100000000000001" customHeight="1">
      <c r="A37" s="138"/>
      <c r="B37" s="139"/>
    </row>
    <row r="38" spans="1:2" ht="3.6" customHeight="1">
      <c r="A38" s="134"/>
      <c r="B38" s="135"/>
    </row>
    <row r="39" spans="1:2" ht="14.45" customHeight="1">
      <c r="A39" s="574"/>
      <c r="B39" s="575"/>
    </row>
    <row r="40" spans="1:2" ht="20.100000000000001" customHeight="1">
      <c r="A40" s="138" t="s">
        <v>57</v>
      </c>
      <c r="B40" s="137"/>
    </row>
    <row r="41" spans="1:2" ht="20.100000000000001" customHeight="1" thickBot="1">
      <c r="A41" s="140" t="s">
        <v>58</v>
      </c>
      <c r="B41" s="137"/>
    </row>
    <row r="42" spans="1:2" ht="20.100000000000001" customHeight="1">
      <c r="A42" s="136" t="s">
        <v>210</v>
      </c>
      <c r="B42" s="137"/>
    </row>
    <row r="43" spans="1:2" ht="14.45" customHeight="1">
      <c r="A43" s="141"/>
      <c r="B43" s="139"/>
    </row>
    <row r="44" spans="1:2">
      <c r="A44" s="142"/>
      <c r="B44" s="143"/>
    </row>
    <row r="45" spans="1:2">
      <c r="A45" s="144"/>
      <c r="B45" s="145"/>
    </row>
  </sheetData>
  <mergeCells count="9">
    <mergeCell ref="A28:B28"/>
    <mergeCell ref="A33:B33"/>
    <mergeCell ref="A39:B39"/>
    <mergeCell ref="A3:B3"/>
    <mergeCell ref="A16:B16"/>
    <mergeCell ref="A23:B23"/>
    <mergeCell ref="A24:B24"/>
    <mergeCell ref="A25:B25"/>
    <mergeCell ref="A26:B26"/>
  </mergeCells>
  <phoneticPr fontId="28" type="noConversion"/>
  <printOptions horizontalCentered="1"/>
  <pageMargins left="0.43307086614173229" right="0.39370078740157483" top="0.51181102362204722" bottom="0.43307086614173229" header="0.27559055118110237" footer="0.27559055118110237"/>
  <pageSetup scale="82" orientation="portrait"/>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pageSetUpPr fitToPage="1"/>
  </sheetPr>
  <dimension ref="A1:CD271"/>
  <sheetViews>
    <sheetView showGridLines="0" workbookViewId="0">
      <pane xSplit="6" ySplit="3" topLeftCell="BK162" activePane="bottomRight" state="frozen"/>
      <selection pane="topRight" activeCell="F1" sqref="F1"/>
      <selection pane="bottomLeft" activeCell="A4" sqref="A4"/>
      <selection pane="bottomRight" activeCell="BK185" sqref="BK185"/>
    </sheetView>
  </sheetViews>
  <sheetFormatPr baseColWidth="10" defaultColWidth="8.85546875" defaultRowHeight="15" outlineLevelRow="1"/>
  <cols>
    <col min="1" max="1" width="6.7109375" customWidth="1"/>
    <col min="2" max="2" width="6.7109375" style="283" hidden="1" customWidth="1"/>
    <col min="3" max="3" width="7.7109375" customWidth="1"/>
    <col min="4" max="4" width="36" customWidth="1"/>
    <col min="5" max="5" width="18.42578125" customWidth="1"/>
    <col min="6" max="6" width="5.42578125" customWidth="1"/>
    <col min="7" max="7" width="11.42578125" customWidth="1"/>
    <col min="8" max="8" width="10.85546875" customWidth="1"/>
    <col min="9" max="9" width="11.28515625" style="300" customWidth="1"/>
    <col min="10" max="10" width="12.7109375" customWidth="1"/>
    <col min="11" max="12" width="13.140625" customWidth="1"/>
    <col min="13" max="14" width="10.42578125" customWidth="1"/>
    <col min="15" max="15" width="13.7109375" customWidth="1"/>
    <col min="16" max="16" width="12.7109375" customWidth="1"/>
    <col min="17" max="17" width="11.42578125" customWidth="1"/>
    <col min="18" max="18" width="11.7109375" customWidth="1"/>
    <col min="19" max="20" width="11.42578125" customWidth="1"/>
    <col min="21" max="21" width="13" customWidth="1"/>
    <col min="22" max="22" width="11.85546875" style="283" customWidth="1"/>
    <col min="23" max="23" width="12.7109375" style="283" customWidth="1"/>
    <col min="24" max="24" width="13.28515625" style="283" customWidth="1"/>
    <col min="25" max="25" width="12.42578125" style="283" customWidth="1"/>
    <col min="26" max="28" width="11.7109375" style="283" customWidth="1"/>
    <col min="29" max="29" width="15.42578125" customWidth="1"/>
    <col min="30" max="30" width="4.42578125" customWidth="1"/>
    <col min="31" max="31" width="11" customWidth="1"/>
    <col min="32" max="33" width="10.85546875" customWidth="1"/>
    <col min="34" max="34" width="11.42578125" customWidth="1"/>
    <col min="35" max="35" width="11.85546875" customWidth="1"/>
    <col min="36" max="36" width="13.85546875" customWidth="1"/>
    <col min="37" max="37" width="13.7109375" customWidth="1"/>
    <col min="38" max="38" width="13" customWidth="1"/>
    <col min="39" max="39" width="16.42578125" customWidth="1"/>
    <col min="40" max="40" width="16.7109375" customWidth="1"/>
    <col min="41" max="41" width="13.7109375" customWidth="1"/>
    <col min="42" max="42" width="16.7109375" customWidth="1"/>
    <col min="43" max="43" width="17.42578125" customWidth="1"/>
    <col min="44" max="44" width="18.85546875" customWidth="1"/>
    <col min="45" max="45" width="13.85546875" customWidth="1"/>
    <col min="46" max="46" width="15.85546875" customWidth="1"/>
    <col min="47" max="47" width="19.42578125" style="283" customWidth="1"/>
    <col min="48" max="48" width="20" style="283" customWidth="1"/>
    <col min="49" max="49" width="15.28515625" style="283" customWidth="1"/>
    <col min="50" max="52" width="16.42578125" style="283" customWidth="1"/>
    <col min="53" max="53" width="12.140625" style="283" customWidth="1"/>
    <col min="54" max="55" width="11.42578125" customWidth="1"/>
    <col min="56" max="56" width="11.85546875" customWidth="1"/>
    <col min="57" max="57" width="14.42578125" customWidth="1"/>
    <col min="58" max="58" width="15" customWidth="1"/>
    <col min="59" max="59" width="13.42578125" customWidth="1"/>
    <col min="60" max="60" width="15.42578125" customWidth="1"/>
    <col min="61" max="61" width="13.42578125" customWidth="1"/>
    <col min="62" max="62" width="15.7109375" customWidth="1"/>
    <col min="63" max="63" width="14" customWidth="1"/>
    <col min="64" max="64" width="14.140625" bestFit="1" customWidth="1"/>
    <col min="65" max="65" width="16.7109375" customWidth="1"/>
    <col min="66" max="66" width="15.42578125" customWidth="1"/>
    <col min="67" max="67" width="17" customWidth="1"/>
    <col min="68" max="68" width="14.7109375" customWidth="1"/>
    <col min="69" max="69" width="15" bestFit="1" customWidth="1"/>
    <col min="70" max="70" width="15" style="283" bestFit="1" customWidth="1"/>
    <col min="71" max="71" width="15.42578125" style="325" customWidth="1"/>
    <col min="72" max="72" width="15" style="325" bestFit="1" customWidth="1"/>
    <col min="73" max="75" width="19.7109375" style="283" customWidth="1"/>
    <col min="76" max="76" width="15.140625" customWidth="1"/>
    <col min="77" max="77" width="13.42578125" customWidth="1"/>
    <col min="78" max="78" width="14.140625" bestFit="1" customWidth="1"/>
    <col min="80" max="80" width="10.42578125" bestFit="1" customWidth="1"/>
  </cols>
  <sheetData>
    <row r="1" spans="1:78">
      <c r="D1" s="234"/>
      <c r="E1" s="432"/>
      <c r="F1" s="234"/>
      <c r="G1" s="234" t="s">
        <v>145</v>
      </c>
      <c r="H1" s="234"/>
      <c r="I1" s="306"/>
      <c r="J1" s="234"/>
      <c r="K1" s="234"/>
      <c r="L1" s="234"/>
      <c r="M1" s="234"/>
      <c r="N1" s="234"/>
      <c r="O1" s="234"/>
      <c r="P1" s="234"/>
      <c r="Q1" s="234"/>
      <c r="R1" s="234"/>
      <c r="S1" s="234"/>
      <c r="T1" s="234"/>
      <c r="U1" s="234"/>
      <c r="V1" s="234"/>
      <c r="W1" s="234"/>
      <c r="X1" s="234"/>
      <c r="Y1" s="234" t="s">
        <v>237</v>
      </c>
      <c r="Z1" s="234"/>
      <c r="AA1" s="234"/>
      <c r="AB1" s="234"/>
      <c r="AC1" s="234" t="s">
        <v>159</v>
      </c>
      <c r="AD1" s="234"/>
      <c r="AE1" s="242" t="s">
        <v>187</v>
      </c>
      <c r="AF1" s="242"/>
      <c r="AG1" s="242"/>
      <c r="AH1" s="242"/>
      <c r="AI1" s="242"/>
      <c r="AJ1" s="242"/>
      <c r="AK1" s="242"/>
      <c r="AL1" s="242"/>
      <c r="AM1" s="242"/>
      <c r="AN1" s="242"/>
      <c r="AO1" s="242"/>
      <c r="AP1" s="242"/>
      <c r="AQ1" s="242"/>
      <c r="AR1" s="433">
        <f>+AR22+AS22</f>
        <v>90944.77</v>
      </c>
      <c r="AS1" s="242"/>
      <c r="AT1" s="234"/>
      <c r="AU1" s="242"/>
      <c r="AV1" s="234"/>
      <c r="AW1" s="242"/>
      <c r="AX1" s="242"/>
      <c r="AY1" s="242"/>
      <c r="AZ1" s="242"/>
      <c r="BA1" s="234"/>
      <c r="BB1" s="242" t="s">
        <v>188</v>
      </c>
      <c r="BC1" s="242"/>
      <c r="BD1" s="242"/>
      <c r="BE1" s="242"/>
      <c r="BF1" s="242"/>
      <c r="BG1" s="242"/>
      <c r="BH1" s="242"/>
      <c r="BI1" s="242"/>
      <c r="BJ1" s="242"/>
      <c r="BK1" s="242"/>
      <c r="BL1" s="242"/>
      <c r="BM1" s="242"/>
      <c r="BN1" s="242"/>
      <c r="BO1" s="242"/>
      <c r="BP1" s="242"/>
      <c r="BQ1" s="234"/>
      <c r="BR1" s="234"/>
      <c r="BS1" s="342"/>
      <c r="BT1" s="342"/>
      <c r="BU1" s="234"/>
      <c r="BV1" s="234"/>
      <c r="BW1" s="234"/>
    </row>
    <row r="2" spans="1:78">
      <c r="A2" t="s">
        <v>121</v>
      </c>
      <c r="E2" s="234" t="s">
        <v>143</v>
      </c>
      <c r="F2" s="234"/>
      <c r="G2" s="434">
        <v>42552</v>
      </c>
      <c r="H2" s="434">
        <v>42644</v>
      </c>
      <c r="I2" s="435">
        <v>42736</v>
      </c>
      <c r="J2" s="434">
        <v>42826</v>
      </c>
      <c r="K2" s="434">
        <v>42917</v>
      </c>
      <c r="L2" s="434">
        <v>43009</v>
      </c>
      <c r="M2" s="434">
        <v>43101</v>
      </c>
      <c r="N2" s="434">
        <v>43191</v>
      </c>
      <c r="O2" s="434">
        <v>43282</v>
      </c>
      <c r="P2" s="434">
        <v>43374</v>
      </c>
      <c r="Q2" s="434">
        <v>43466</v>
      </c>
      <c r="R2" s="434">
        <v>43556</v>
      </c>
      <c r="S2" s="434">
        <v>43647</v>
      </c>
      <c r="T2" s="434">
        <v>43739</v>
      </c>
      <c r="U2" s="434">
        <v>43831</v>
      </c>
      <c r="V2" s="434">
        <v>43922</v>
      </c>
      <c r="W2" s="434">
        <v>44013</v>
      </c>
      <c r="X2" s="434">
        <v>44105</v>
      </c>
      <c r="Y2" s="434">
        <v>44197</v>
      </c>
      <c r="Z2" s="434" t="s">
        <v>246</v>
      </c>
      <c r="AA2" s="434">
        <v>44378</v>
      </c>
      <c r="AB2" s="434">
        <v>44470</v>
      </c>
      <c r="AC2" s="436"/>
      <c r="AD2" s="436"/>
      <c r="AE2" s="437">
        <v>42552</v>
      </c>
      <c r="AF2" s="437">
        <v>42644</v>
      </c>
      <c r="AG2" s="437">
        <v>42736</v>
      </c>
      <c r="AH2" s="437">
        <v>42826</v>
      </c>
      <c r="AI2" s="437">
        <v>42917</v>
      </c>
      <c r="AJ2" s="437">
        <v>43009</v>
      </c>
      <c r="AK2" s="437">
        <v>43101</v>
      </c>
      <c r="AL2" s="437">
        <v>43191</v>
      </c>
      <c r="AM2" s="437">
        <v>43282</v>
      </c>
      <c r="AN2" s="437">
        <v>43374</v>
      </c>
      <c r="AO2" s="437">
        <v>43466</v>
      </c>
      <c r="AP2" s="437">
        <v>43556</v>
      </c>
      <c r="AQ2" s="437">
        <v>43647</v>
      </c>
      <c r="AR2" s="437">
        <v>43739</v>
      </c>
      <c r="AS2" s="437">
        <v>43831</v>
      </c>
      <c r="AT2" s="437">
        <v>43922</v>
      </c>
      <c r="AU2" s="437">
        <v>44013</v>
      </c>
      <c r="AV2" s="437">
        <v>44105</v>
      </c>
      <c r="AW2" s="437">
        <v>44197</v>
      </c>
      <c r="AX2" s="437" t="s">
        <v>246</v>
      </c>
      <c r="AY2" s="437">
        <v>44378</v>
      </c>
      <c r="AZ2" s="437">
        <v>44470</v>
      </c>
      <c r="BA2" s="437"/>
      <c r="BB2" s="437">
        <v>42552</v>
      </c>
      <c r="BC2" s="437">
        <v>42644</v>
      </c>
      <c r="BD2" s="437">
        <v>42736</v>
      </c>
      <c r="BE2" s="437">
        <v>42826</v>
      </c>
      <c r="BF2" s="437">
        <v>42917</v>
      </c>
      <c r="BG2" s="437">
        <v>43009</v>
      </c>
      <c r="BH2" s="437">
        <v>43101</v>
      </c>
      <c r="BI2" s="437">
        <v>43191</v>
      </c>
      <c r="BJ2" s="437">
        <v>43282</v>
      </c>
      <c r="BK2" s="437">
        <v>43374</v>
      </c>
      <c r="BL2" s="437">
        <v>43466</v>
      </c>
      <c r="BM2" s="437">
        <v>43556</v>
      </c>
      <c r="BN2" s="437">
        <v>43647</v>
      </c>
      <c r="BO2" s="437">
        <v>43739</v>
      </c>
      <c r="BP2" s="437">
        <v>43831</v>
      </c>
      <c r="BQ2" s="437">
        <v>43922</v>
      </c>
      <c r="BR2" s="437">
        <v>44013</v>
      </c>
      <c r="BS2" s="437">
        <v>44105</v>
      </c>
      <c r="BT2" s="437">
        <v>44197</v>
      </c>
      <c r="BU2" s="437">
        <v>43922</v>
      </c>
      <c r="BV2" s="437">
        <v>44378</v>
      </c>
      <c r="BW2" s="437">
        <v>44470</v>
      </c>
      <c r="BX2" t="s">
        <v>195</v>
      </c>
      <c r="BY2" t="s">
        <v>259</v>
      </c>
      <c r="BZ2" t="s">
        <v>260</v>
      </c>
    </row>
    <row r="3" spans="1:78">
      <c r="A3" s="283" t="s">
        <v>121</v>
      </c>
      <c r="D3" s="283"/>
      <c r="E3" s="234"/>
      <c r="F3" s="234" t="s">
        <v>144</v>
      </c>
      <c r="G3" s="436" t="s">
        <v>142</v>
      </c>
      <c r="H3" s="436" t="s">
        <v>146</v>
      </c>
      <c r="I3" s="438" t="s">
        <v>147</v>
      </c>
      <c r="J3" s="436" t="s">
        <v>148</v>
      </c>
      <c r="K3" s="436" t="s">
        <v>149</v>
      </c>
      <c r="L3" s="436" t="s">
        <v>150</v>
      </c>
      <c r="M3" s="436" t="s">
        <v>151</v>
      </c>
      <c r="N3" s="436" t="s">
        <v>152</v>
      </c>
      <c r="O3" s="436" t="s">
        <v>153</v>
      </c>
      <c r="P3" s="436" t="s">
        <v>154</v>
      </c>
      <c r="Q3" s="436" t="s">
        <v>155</v>
      </c>
      <c r="R3" s="436" t="s">
        <v>156</v>
      </c>
      <c r="S3" s="436" t="s">
        <v>157</v>
      </c>
      <c r="T3" s="436" t="s">
        <v>158</v>
      </c>
      <c r="U3" s="436" t="s">
        <v>160</v>
      </c>
      <c r="V3" s="439" t="s">
        <v>232</v>
      </c>
      <c r="W3" s="436" t="s">
        <v>235</v>
      </c>
      <c r="X3" s="436" t="s">
        <v>236</v>
      </c>
      <c r="Y3" s="440">
        <v>19</v>
      </c>
      <c r="Z3" s="440">
        <v>20</v>
      </c>
      <c r="AA3" s="440">
        <v>21</v>
      </c>
      <c r="AB3" s="440">
        <v>22</v>
      </c>
      <c r="AC3" s="436"/>
      <c r="AD3" s="436"/>
      <c r="AE3" s="441" t="s">
        <v>142</v>
      </c>
      <c r="AF3" s="441" t="s">
        <v>146</v>
      </c>
      <c r="AG3" s="441" t="s">
        <v>147</v>
      </c>
      <c r="AH3" s="441" t="s">
        <v>148</v>
      </c>
      <c r="AI3" s="441" t="s">
        <v>149</v>
      </c>
      <c r="AJ3" s="441" t="s">
        <v>150</v>
      </c>
      <c r="AK3" s="441" t="s">
        <v>151</v>
      </c>
      <c r="AL3" s="441" t="s">
        <v>152</v>
      </c>
      <c r="AM3" s="441" t="s">
        <v>153</v>
      </c>
      <c r="AN3" s="441" t="s">
        <v>154</v>
      </c>
      <c r="AO3" s="441" t="s">
        <v>155</v>
      </c>
      <c r="AP3" s="441" t="s">
        <v>156</v>
      </c>
      <c r="AQ3" s="441" t="s">
        <v>157</v>
      </c>
      <c r="AR3" s="441" t="s">
        <v>158</v>
      </c>
      <c r="AS3" s="441" t="s">
        <v>160</v>
      </c>
      <c r="AT3" s="441" t="s">
        <v>232</v>
      </c>
      <c r="AU3" s="441" t="s">
        <v>235</v>
      </c>
      <c r="AV3" s="441" t="s">
        <v>236</v>
      </c>
      <c r="AW3" s="441" t="s">
        <v>238</v>
      </c>
      <c r="AX3" s="442">
        <v>20</v>
      </c>
      <c r="AY3" s="442">
        <v>21</v>
      </c>
      <c r="AZ3" s="442">
        <v>22</v>
      </c>
      <c r="BA3" s="440"/>
      <c r="BB3" s="443" t="s">
        <v>142</v>
      </c>
      <c r="BC3" s="443" t="s">
        <v>146</v>
      </c>
      <c r="BD3" s="443" t="s">
        <v>147</v>
      </c>
      <c r="BE3" s="443" t="s">
        <v>148</v>
      </c>
      <c r="BF3" s="443" t="s">
        <v>149</v>
      </c>
      <c r="BG3" s="443" t="s">
        <v>150</v>
      </c>
      <c r="BH3" s="443" t="s">
        <v>151</v>
      </c>
      <c r="BI3" s="443" t="s">
        <v>152</v>
      </c>
      <c r="BJ3" s="443" t="s">
        <v>153</v>
      </c>
      <c r="BK3" s="443" t="s">
        <v>154</v>
      </c>
      <c r="BL3" s="443" t="s">
        <v>155</v>
      </c>
      <c r="BM3" s="443" t="s">
        <v>156</v>
      </c>
      <c r="BN3" s="443" t="s">
        <v>157</v>
      </c>
      <c r="BO3" s="443" t="s">
        <v>158</v>
      </c>
      <c r="BP3" s="443" t="s">
        <v>160</v>
      </c>
      <c r="BQ3" s="444" t="s">
        <v>232</v>
      </c>
      <c r="BR3" s="444" t="s">
        <v>235</v>
      </c>
      <c r="BS3" s="445" t="s">
        <v>236</v>
      </c>
      <c r="BT3" s="445" t="s">
        <v>238</v>
      </c>
      <c r="BU3" s="444" t="s">
        <v>247</v>
      </c>
      <c r="BV3" s="444" t="s">
        <v>264</v>
      </c>
      <c r="BW3" s="444" t="s">
        <v>265</v>
      </c>
    </row>
    <row r="4" spans="1:78" s="234" customFormat="1" ht="15" customHeight="1">
      <c r="A4" s="498" t="s">
        <v>122</v>
      </c>
      <c r="B4" s="499"/>
      <c r="C4" s="499"/>
      <c r="D4" s="414"/>
      <c r="E4" s="500">
        <v>7593016.0899999999</v>
      </c>
      <c r="F4" s="415" t="s">
        <v>193</v>
      </c>
      <c r="G4" s="416"/>
      <c r="H4" s="416"/>
      <c r="I4" s="416"/>
      <c r="J4" s="416">
        <v>0</v>
      </c>
      <c r="K4" s="416">
        <v>9.5563140048607498E-2</v>
      </c>
      <c r="L4" s="416">
        <v>8.1911261958092341E-2</v>
      </c>
      <c r="M4" s="417">
        <v>7.5085323571334614E-2</v>
      </c>
      <c r="N4" s="416">
        <v>0</v>
      </c>
      <c r="O4" s="416">
        <v>6.8259385184576901E-2</v>
      </c>
      <c r="P4" s="416">
        <v>0</v>
      </c>
      <c r="Q4" s="416">
        <v>9.5563140048607484E-2</v>
      </c>
      <c r="R4" s="416">
        <v>0.16382252523318436</v>
      </c>
      <c r="S4" s="416">
        <v>7.1672354377955758E-2</v>
      </c>
      <c r="T4" s="416">
        <v>7.5085323571334614E-2</v>
      </c>
      <c r="U4" s="416">
        <v>6.8259385184576901E-2</v>
      </c>
      <c r="V4" s="416">
        <v>6.8259385184576901E-2</v>
      </c>
      <c r="W4" s="416">
        <v>0</v>
      </c>
      <c r="X4" s="416">
        <v>0.13651877563715265</v>
      </c>
      <c r="Y4" s="407">
        <v>0</v>
      </c>
      <c r="Z4" s="407"/>
      <c r="AA4" s="407"/>
      <c r="AB4" s="407"/>
      <c r="AC4" s="426">
        <f>SUM(G4:AB4)</f>
        <v>0.99999999999999989</v>
      </c>
      <c r="AD4" s="414"/>
      <c r="AE4" s="418">
        <f t="shared" ref="AE4:AN7" si="0">G4*$E4</f>
        <v>0</v>
      </c>
      <c r="AF4" s="418">
        <f t="shared" si="0"/>
        <v>0</v>
      </c>
      <c r="AG4" s="418">
        <f t="shared" si="0"/>
        <v>0</v>
      </c>
      <c r="AH4" s="418">
        <f t="shared" si="0"/>
        <v>0</v>
      </c>
      <c r="AI4" s="419">
        <f t="shared" si="0"/>
        <v>725612.46000000008</v>
      </c>
      <c r="AJ4" s="419">
        <f t="shared" si="0"/>
        <v>621953.53</v>
      </c>
      <c r="AK4" s="419">
        <f t="shared" si="0"/>
        <v>570124.06999999995</v>
      </c>
      <c r="AL4" s="419">
        <f t="shared" si="0"/>
        <v>0</v>
      </c>
      <c r="AM4" s="419">
        <f t="shared" si="0"/>
        <v>518294.61000000004</v>
      </c>
      <c r="AN4" s="419">
        <f t="shared" si="0"/>
        <v>0</v>
      </c>
      <c r="AO4" s="419">
        <f t="shared" ref="AO4:AW7" si="1">Q4*$E4</f>
        <v>725612.46</v>
      </c>
      <c r="AP4" s="419">
        <f t="shared" si="1"/>
        <v>1243907.0699999998</v>
      </c>
      <c r="AQ4" s="419">
        <f t="shared" si="1"/>
        <v>544209.34</v>
      </c>
      <c r="AR4" s="419">
        <f t="shared" si="1"/>
        <v>570124.06999999995</v>
      </c>
      <c r="AS4" s="419">
        <f t="shared" si="1"/>
        <v>518294.61000000004</v>
      </c>
      <c r="AT4" s="420">
        <f t="shared" si="1"/>
        <v>518294.61000000004</v>
      </c>
      <c r="AU4" s="420">
        <f t="shared" si="1"/>
        <v>0</v>
      </c>
      <c r="AV4" s="420">
        <f t="shared" si="1"/>
        <v>1036589.26</v>
      </c>
      <c r="AW4" s="420">
        <f t="shared" si="1"/>
        <v>0</v>
      </c>
      <c r="AX4" s="420">
        <f t="shared" ref="AX4:AX21" si="2">Z4*$E4</f>
        <v>0</v>
      </c>
      <c r="AY4" s="420">
        <f t="shared" ref="AY4:AY21" si="3">AA4*$E4</f>
        <v>0</v>
      </c>
      <c r="AZ4" s="420">
        <f t="shared" ref="AZ4:AZ21" si="4">AB4*$E4</f>
        <v>0</v>
      </c>
      <c r="BA4" s="418"/>
      <c r="BB4" s="418">
        <f t="shared" ref="BB4:BR84" si="5">IF(BB$3=$F4,$E4,0)</f>
        <v>0</v>
      </c>
      <c r="BC4" s="418">
        <f t="shared" si="5"/>
        <v>0</v>
      </c>
      <c r="BD4" s="418">
        <f t="shared" si="5"/>
        <v>0</v>
      </c>
      <c r="BE4" s="418">
        <f t="shared" si="5"/>
        <v>7593016.0899999999</v>
      </c>
      <c r="BF4" s="418">
        <f t="shared" si="5"/>
        <v>0</v>
      </c>
      <c r="BG4" s="418">
        <f t="shared" si="5"/>
        <v>0</v>
      </c>
      <c r="BH4" s="418">
        <f t="shared" si="5"/>
        <v>0</v>
      </c>
      <c r="BI4" s="418">
        <f t="shared" si="5"/>
        <v>0</v>
      </c>
      <c r="BJ4" s="418">
        <f t="shared" si="5"/>
        <v>0</v>
      </c>
      <c r="BK4" s="418">
        <f t="shared" si="5"/>
        <v>0</v>
      </c>
      <c r="BL4" s="418">
        <f t="shared" si="5"/>
        <v>0</v>
      </c>
      <c r="BM4" s="418">
        <f t="shared" si="5"/>
        <v>0</v>
      </c>
      <c r="BN4" s="418">
        <f t="shared" si="5"/>
        <v>0</v>
      </c>
      <c r="BO4" s="418">
        <f t="shared" si="5"/>
        <v>0</v>
      </c>
      <c r="BP4" s="418">
        <f t="shared" si="5"/>
        <v>0</v>
      </c>
      <c r="BQ4" s="418">
        <f t="shared" si="5"/>
        <v>0</v>
      </c>
      <c r="BR4" s="418">
        <f t="shared" si="5"/>
        <v>0</v>
      </c>
      <c r="BS4" s="420">
        <f t="shared" ref="BR4:BW36" si="6">IF(BS$3=$F4,$E4,0)</f>
        <v>0</v>
      </c>
      <c r="BT4" s="420">
        <f t="shared" si="6"/>
        <v>0</v>
      </c>
      <c r="BU4" s="418">
        <f t="shared" si="6"/>
        <v>0</v>
      </c>
      <c r="BV4" s="418">
        <f t="shared" si="6"/>
        <v>0</v>
      </c>
      <c r="BW4" s="418">
        <f t="shared" si="6"/>
        <v>0</v>
      </c>
      <c r="BX4" s="351">
        <f t="shared" ref="BX4:BX48" si="7">SUM(AE4:AZ4)-SUM(BB4:BW4)</f>
        <v>0</v>
      </c>
      <c r="BY4" s="378">
        <f t="shared" ref="BY4:BY48" si="8">E4-SUM(BB4:BW4)</f>
        <v>0</v>
      </c>
      <c r="BZ4" s="378">
        <f t="shared" ref="BZ4:BZ48" si="9">+E4-SUM(AE4:AZ4)</f>
        <v>0</v>
      </c>
    </row>
    <row r="5" spans="1:78" s="234" customFormat="1" ht="15" customHeight="1">
      <c r="A5" s="421" t="s">
        <v>123</v>
      </c>
      <c r="B5" s="422"/>
      <c r="C5" s="422"/>
      <c r="D5" s="423"/>
      <c r="E5" s="424">
        <v>1866155</v>
      </c>
      <c r="F5" s="425" t="s">
        <v>230</v>
      </c>
      <c r="G5" s="385"/>
      <c r="H5" s="385"/>
      <c r="I5" s="385"/>
      <c r="J5" s="385"/>
      <c r="K5" s="385"/>
      <c r="L5" s="385"/>
      <c r="M5" s="385"/>
      <c r="N5" s="385"/>
      <c r="O5" s="385">
        <v>0.15</v>
      </c>
      <c r="P5" s="385">
        <v>0.15</v>
      </c>
      <c r="Q5" s="385">
        <v>0.05</v>
      </c>
      <c r="R5" s="385">
        <v>0.15</v>
      </c>
      <c r="S5" s="385">
        <v>0.05</v>
      </c>
      <c r="T5" s="385">
        <v>0.15</v>
      </c>
      <c r="U5" s="385">
        <f>1-(T5+S5+R5+Q5+P5+O5+N5+M5+L5+K5+J5)-W5-X5</f>
        <v>0.20000000000000007</v>
      </c>
      <c r="V5" s="385"/>
      <c r="W5" s="385">
        <v>0.05</v>
      </c>
      <c r="X5" s="385">
        <v>0.05</v>
      </c>
      <c r="Y5" s="385"/>
      <c r="Z5" s="385"/>
      <c r="AA5" s="385"/>
      <c r="AB5" s="385"/>
      <c r="AC5" s="426">
        <f t="shared" ref="AC5:AC78" si="10">SUM(G5:AB5)</f>
        <v>1.0000000000000002</v>
      </c>
      <c r="AD5" s="423"/>
      <c r="AE5" s="351">
        <f t="shared" si="0"/>
        <v>0</v>
      </c>
      <c r="AF5" s="351">
        <f t="shared" si="0"/>
        <v>0</v>
      </c>
      <c r="AG5" s="351">
        <f t="shared" si="0"/>
        <v>0</v>
      </c>
      <c r="AH5" s="351">
        <f t="shared" si="0"/>
        <v>0</v>
      </c>
      <c r="AI5" s="351">
        <f t="shared" si="0"/>
        <v>0</v>
      </c>
      <c r="AJ5" s="351">
        <f t="shared" si="0"/>
        <v>0</v>
      </c>
      <c r="AK5" s="351">
        <f t="shared" si="0"/>
        <v>0</v>
      </c>
      <c r="AL5" s="351">
        <f t="shared" si="0"/>
        <v>0</v>
      </c>
      <c r="AM5" s="427">
        <f t="shared" si="0"/>
        <v>279923.25</v>
      </c>
      <c r="AN5" s="427">
        <f t="shared" si="0"/>
        <v>279923.25</v>
      </c>
      <c r="AO5" s="427">
        <f t="shared" si="1"/>
        <v>93307.75</v>
      </c>
      <c r="AP5" s="427">
        <f t="shared" si="1"/>
        <v>279923.25</v>
      </c>
      <c r="AQ5" s="406">
        <f t="shared" si="1"/>
        <v>93307.75</v>
      </c>
      <c r="AR5" s="406">
        <f t="shared" si="1"/>
        <v>279923.25</v>
      </c>
      <c r="AS5" s="406">
        <f t="shared" si="1"/>
        <v>373231.00000000012</v>
      </c>
      <c r="AT5" s="406">
        <f t="shared" si="1"/>
        <v>0</v>
      </c>
      <c r="AU5" s="406">
        <f t="shared" si="1"/>
        <v>93307.75</v>
      </c>
      <c r="AV5" s="406">
        <f t="shared" si="1"/>
        <v>93307.75</v>
      </c>
      <c r="AW5" s="406">
        <f t="shared" si="1"/>
        <v>0</v>
      </c>
      <c r="AX5" s="406">
        <f t="shared" si="2"/>
        <v>0</v>
      </c>
      <c r="AY5" s="406">
        <f t="shared" si="3"/>
        <v>0</v>
      </c>
      <c r="AZ5" s="406">
        <f t="shared" si="4"/>
        <v>0</v>
      </c>
      <c r="BA5" s="351"/>
      <c r="BB5" s="351">
        <f t="shared" si="5"/>
        <v>0</v>
      </c>
      <c r="BC5" s="351">
        <f t="shared" si="5"/>
        <v>0</v>
      </c>
      <c r="BD5" s="351">
        <f t="shared" si="5"/>
        <v>0</v>
      </c>
      <c r="BE5" s="351">
        <f t="shared" si="5"/>
        <v>0</v>
      </c>
      <c r="BF5" s="351">
        <f t="shared" si="5"/>
        <v>0</v>
      </c>
      <c r="BG5" s="351">
        <f t="shared" si="5"/>
        <v>0</v>
      </c>
      <c r="BH5" s="351">
        <f t="shared" si="5"/>
        <v>0</v>
      </c>
      <c r="BI5" s="351">
        <f t="shared" si="5"/>
        <v>0</v>
      </c>
      <c r="BJ5" s="406">
        <f t="shared" si="5"/>
        <v>1866155</v>
      </c>
      <c r="BK5" s="351">
        <f t="shared" si="5"/>
        <v>0</v>
      </c>
      <c r="BL5" s="351">
        <f t="shared" si="5"/>
        <v>0</v>
      </c>
      <c r="BM5" s="351">
        <f t="shared" si="5"/>
        <v>0</v>
      </c>
      <c r="BN5" s="351">
        <f t="shared" si="5"/>
        <v>0</v>
      </c>
      <c r="BO5" s="351">
        <f t="shared" si="5"/>
        <v>0</v>
      </c>
      <c r="BP5" s="351">
        <f t="shared" si="5"/>
        <v>0</v>
      </c>
      <c r="BQ5" s="351">
        <f t="shared" si="5"/>
        <v>0</v>
      </c>
      <c r="BR5" s="351">
        <f t="shared" si="6"/>
        <v>0</v>
      </c>
      <c r="BS5" s="406">
        <f t="shared" si="6"/>
        <v>0</v>
      </c>
      <c r="BT5" s="406">
        <f t="shared" si="6"/>
        <v>0</v>
      </c>
      <c r="BU5" s="351">
        <f t="shared" si="6"/>
        <v>0</v>
      </c>
      <c r="BV5" s="351">
        <f t="shared" si="6"/>
        <v>0</v>
      </c>
      <c r="BW5" s="351">
        <f t="shared" si="6"/>
        <v>0</v>
      </c>
      <c r="BX5" s="351">
        <f t="shared" si="7"/>
        <v>0</v>
      </c>
      <c r="BY5" s="378">
        <f t="shared" si="8"/>
        <v>0</v>
      </c>
      <c r="BZ5" s="378">
        <f t="shared" si="9"/>
        <v>0</v>
      </c>
    </row>
    <row r="6" spans="1:78" s="234" customFormat="1" ht="15" customHeight="1">
      <c r="A6" s="421" t="s">
        <v>123</v>
      </c>
      <c r="B6" s="422"/>
      <c r="C6" s="422"/>
      <c r="D6" s="423"/>
      <c r="E6" s="424">
        <v>1109637.32</v>
      </c>
      <c r="F6" s="425" t="s">
        <v>230</v>
      </c>
      <c r="G6" s="385"/>
      <c r="H6" s="385"/>
      <c r="I6" s="385"/>
      <c r="J6" s="385"/>
      <c r="K6" s="385"/>
      <c r="L6" s="385"/>
      <c r="M6" s="385"/>
      <c r="N6" s="385"/>
      <c r="O6" s="385">
        <v>0.13140547579996678</v>
      </c>
      <c r="P6" s="385">
        <v>0.17720751317196146</v>
      </c>
      <c r="Q6" s="385">
        <v>5.1435544723748117E-2</v>
      </c>
      <c r="R6" s="385">
        <v>0.14768109097123736</v>
      </c>
      <c r="S6" s="385">
        <v>4.9227030323745778E-2</v>
      </c>
      <c r="T6" s="385">
        <v>0.14768109097123736</v>
      </c>
      <c r="U6" s="385">
        <v>4.9227030323745778E-2</v>
      </c>
      <c r="V6" s="385">
        <v>0.14768109097123733</v>
      </c>
      <c r="W6" s="385">
        <v>4.9227066371560033E-2</v>
      </c>
      <c r="X6" s="385">
        <v>4.9227066371560033E-2</v>
      </c>
      <c r="Y6" s="385"/>
      <c r="Z6" s="385"/>
      <c r="AA6" s="385"/>
      <c r="AB6" s="385"/>
      <c r="AC6" s="426">
        <f t="shared" si="10"/>
        <v>1</v>
      </c>
      <c r="AD6" s="423"/>
      <c r="AE6" s="351">
        <f t="shared" si="0"/>
        <v>0</v>
      </c>
      <c r="AF6" s="351">
        <f t="shared" si="0"/>
        <v>0</v>
      </c>
      <c r="AG6" s="351">
        <f t="shared" si="0"/>
        <v>0</v>
      </c>
      <c r="AH6" s="351">
        <f t="shared" si="0"/>
        <v>0</v>
      </c>
      <c r="AI6" s="351">
        <f t="shared" si="0"/>
        <v>0</v>
      </c>
      <c r="AJ6" s="351">
        <f t="shared" si="0"/>
        <v>0</v>
      </c>
      <c r="AK6" s="351">
        <f t="shared" si="0"/>
        <v>0</v>
      </c>
      <c r="AL6" s="351">
        <f t="shared" si="0"/>
        <v>0</v>
      </c>
      <c r="AM6" s="427">
        <f t="shared" si="0"/>
        <v>145812.42000000001</v>
      </c>
      <c r="AN6" s="427">
        <f t="shared" si="0"/>
        <v>196636.07</v>
      </c>
      <c r="AO6" s="427">
        <f t="shared" si="1"/>
        <v>57074.8</v>
      </c>
      <c r="AP6" s="427">
        <f t="shared" si="1"/>
        <v>163872.45000000001</v>
      </c>
      <c r="AQ6" s="406">
        <f t="shared" si="1"/>
        <v>54624.15</v>
      </c>
      <c r="AR6" s="406">
        <f t="shared" si="1"/>
        <v>163872.45000000001</v>
      </c>
      <c r="AS6" s="406">
        <f t="shared" si="1"/>
        <v>54624.15</v>
      </c>
      <c r="AT6" s="406">
        <f t="shared" si="1"/>
        <v>163872.44999999998</v>
      </c>
      <c r="AU6" s="406">
        <f t="shared" si="1"/>
        <v>54624.19</v>
      </c>
      <c r="AV6" s="406">
        <f t="shared" si="1"/>
        <v>54624.19</v>
      </c>
      <c r="AW6" s="406">
        <f t="shared" si="1"/>
        <v>0</v>
      </c>
      <c r="AX6" s="406">
        <f t="shared" si="2"/>
        <v>0</v>
      </c>
      <c r="AY6" s="406">
        <f t="shared" si="3"/>
        <v>0</v>
      </c>
      <c r="AZ6" s="406">
        <f t="shared" si="4"/>
        <v>0</v>
      </c>
      <c r="BA6" s="351"/>
      <c r="BB6" s="351">
        <f t="shared" ref="BB6:BQ16" si="11">IF(BB$3=$F6,$E6,0)</f>
        <v>0</v>
      </c>
      <c r="BC6" s="351">
        <f t="shared" si="11"/>
        <v>0</v>
      </c>
      <c r="BD6" s="351">
        <f t="shared" si="11"/>
        <v>0</v>
      </c>
      <c r="BE6" s="351">
        <f t="shared" si="11"/>
        <v>0</v>
      </c>
      <c r="BF6" s="351">
        <f t="shared" si="11"/>
        <v>0</v>
      </c>
      <c r="BG6" s="351">
        <f t="shared" si="11"/>
        <v>0</v>
      </c>
      <c r="BH6" s="351">
        <f t="shared" si="11"/>
        <v>0</v>
      </c>
      <c r="BI6" s="351">
        <f t="shared" si="11"/>
        <v>0</v>
      </c>
      <c r="BJ6" s="406">
        <f t="shared" si="11"/>
        <v>1109637.32</v>
      </c>
      <c r="BK6" s="351">
        <f>IF(BK$3=$F6,$E6,0)</f>
        <v>0</v>
      </c>
      <c r="BL6" s="351">
        <f t="shared" si="11"/>
        <v>0</v>
      </c>
      <c r="BM6" s="351">
        <f t="shared" si="11"/>
        <v>0</v>
      </c>
      <c r="BN6" s="351">
        <f t="shared" si="11"/>
        <v>0</v>
      </c>
      <c r="BO6" s="351">
        <f t="shared" si="11"/>
        <v>0</v>
      </c>
      <c r="BP6" s="351">
        <f t="shared" si="11"/>
        <v>0</v>
      </c>
      <c r="BQ6" s="351">
        <f t="shared" si="11"/>
        <v>0</v>
      </c>
      <c r="BR6" s="351">
        <f t="shared" si="6"/>
        <v>0</v>
      </c>
      <c r="BS6" s="406">
        <f t="shared" si="6"/>
        <v>0</v>
      </c>
      <c r="BT6" s="406">
        <f t="shared" si="6"/>
        <v>0</v>
      </c>
      <c r="BU6" s="406">
        <f t="shared" si="6"/>
        <v>0</v>
      </c>
      <c r="BV6" s="406">
        <f t="shared" si="6"/>
        <v>0</v>
      </c>
      <c r="BW6" s="406">
        <f t="shared" si="6"/>
        <v>0</v>
      </c>
      <c r="BX6" s="351">
        <f t="shared" si="7"/>
        <v>0</v>
      </c>
      <c r="BY6" s="378">
        <f t="shared" si="8"/>
        <v>0</v>
      </c>
      <c r="BZ6" s="378">
        <f t="shared" si="9"/>
        <v>0</v>
      </c>
    </row>
    <row r="7" spans="1:78" s="234" customFormat="1" ht="15" customHeight="1">
      <c r="A7" s="421" t="s">
        <v>123</v>
      </c>
      <c r="B7" s="422"/>
      <c r="C7" s="422"/>
      <c r="D7" s="423"/>
      <c r="E7" s="424">
        <v>1185760</v>
      </c>
      <c r="F7" s="425" t="s">
        <v>230</v>
      </c>
      <c r="G7" s="385"/>
      <c r="H7" s="385"/>
      <c r="I7" s="385"/>
      <c r="J7" s="385"/>
      <c r="K7" s="385"/>
      <c r="L7" s="385"/>
      <c r="M7" s="385"/>
      <c r="N7" s="385"/>
      <c r="O7" s="385">
        <v>0</v>
      </c>
      <c r="P7" s="385">
        <v>0.35</v>
      </c>
      <c r="Q7" s="385">
        <v>0.05</v>
      </c>
      <c r="R7" s="385">
        <v>0.12000000000000001</v>
      </c>
      <c r="S7" s="385">
        <v>0.05</v>
      </c>
      <c r="T7" s="385">
        <v>0.12999999999999998</v>
      </c>
      <c r="U7" s="385">
        <v>0.2</v>
      </c>
      <c r="V7" s="385">
        <v>0</v>
      </c>
      <c r="W7" s="385">
        <v>0.05</v>
      </c>
      <c r="X7" s="385">
        <v>0.05</v>
      </c>
      <c r="Y7" s="385">
        <v>0</v>
      </c>
      <c r="Z7" s="385"/>
      <c r="AA7" s="385"/>
      <c r="AB7" s="385"/>
      <c r="AC7" s="426">
        <f t="shared" si="10"/>
        <v>1.0000000000000002</v>
      </c>
      <c r="AD7" s="423"/>
      <c r="AE7" s="351">
        <f t="shared" si="0"/>
        <v>0</v>
      </c>
      <c r="AF7" s="351">
        <f t="shared" si="0"/>
        <v>0</v>
      </c>
      <c r="AG7" s="351">
        <f t="shared" si="0"/>
        <v>0</v>
      </c>
      <c r="AH7" s="351">
        <f t="shared" si="0"/>
        <v>0</v>
      </c>
      <c r="AI7" s="351">
        <f t="shared" si="0"/>
        <v>0</v>
      </c>
      <c r="AJ7" s="351">
        <f t="shared" si="0"/>
        <v>0</v>
      </c>
      <c r="AK7" s="351">
        <f t="shared" si="0"/>
        <v>0</v>
      </c>
      <c r="AL7" s="351">
        <f t="shared" si="0"/>
        <v>0</v>
      </c>
      <c r="AM7" s="406">
        <f t="shared" si="0"/>
        <v>0</v>
      </c>
      <c r="AN7" s="406">
        <f t="shared" si="0"/>
        <v>415016</v>
      </c>
      <c r="AO7" s="406">
        <f t="shared" si="1"/>
        <v>59288</v>
      </c>
      <c r="AP7" s="406">
        <f t="shared" si="1"/>
        <v>142291.20000000001</v>
      </c>
      <c r="AQ7" s="406">
        <f t="shared" si="1"/>
        <v>59288</v>
      </c>
      <c r="AR7" s="406">
        <f t="shared" si="1"/>
        <v>154148.79999999996</v>
      </c>
      <c r="AS7" s="406">
        <f t="shared" si="1"/>
        <v>237152</v>
      </c>
      <c r="AT7" s="406">
        <f t="shared" si="1"/>
        <v>0</v>
      </c>
      <c r="AU7" s="406">
        <f t="shared" si="1"/>
        <v>59288</v>
      </c>
      <c r="AV7" s="406">
        <f t="shared" si="1"/>
        <v>59288</v>
      </c>
      <c r="AW7" s="351">
        <f t="shared" si="1"/>
        <v>0</v>
      </c>
      <c r="AX7" s="351">
        <f t="shared" si="2"/>
        <v>0</v>
      </c>
      <c r="AY7" s="351">
        <f t="shared" si="3"/>
        <v>0</v>
      </c>
      <c r="AZ7" s="351">
        <f t="shared" si="4"/>
        <v>0</v>
      </c>
      <c r="BA7" s="351"/>
      <c r="BB7" s="351">
        <f t="shared" si="11"/>
        <v>0</v>
      </c>
      <c r="BC7" s="351">
        <f t="shared" si="11"/>
        <v>0</v>
      </c>
      <c r="BD7" s="351">
        <f t="shared" si="11"/>
        <v>0</v>
      </c>
      <c r="BE7" s="351">
        <f t="shared" si="11"/>
        <v>0</v>
      </c>
      <c r="BF7" s="351">
        <f t="shared" si="11"/>
        <v>0</v>
      </c>
      <c r="BG7" s="351">
        <f t="shared" si="11"/>
        <v>0</v>
      </c>
      <c r="BH7" s="351">
        <f t="shared" si="11"/>
        <v>0</v>
      </c>
      <c r="BI7" s="351">
        <f t="shared" si="11"/>
        <v>0</v>
      </c>
      <c r="BJ7" s="406">
        <f t="shared" si="11"/>
        <v>1185760</v>
      </c>
      <c r="BK7" s="351">
        <f t="shared" si="11"/>
        <v>0</v>
      </c>
      <c r="BL7" s="351">
        <f t="shared" si="11"/>
        <v>0</v>
      </c>
      <c r="BM7" s="351">
        <f t="shared" si="11"/>
        <v>0</v>
      </c>
      <c r="BN7" s="351">
        <f t="shared" si="11"/>
        <v>0</v>
      </c>
      <c r="BO7" s="351">
        <f t="shared" si="11"/>
        <v>0</v>
      </c>
      <c r="BP7" s="351">
        <f t="shared" si="11"/>
        <v>0</v>
      </c>
      <c r="BQ7" s="351">
        <f t="shared" si="11"/>
        <v>0</v>
      </c>
      <c r="BR7" s="351">
        <f t="shared" si="6"/>
        <v>0</v>
      </c>
      <c r="BS7" s="406">
        <f t="shared" si="6"/>
        <v>0</v>
      </c>
      <c r="BT7" s="406">
        <f t="shared" si="6"/>
        <v>0</v>
      </c>
      <c r="BU7" s="351">
        <f t="shared" si="6"/>
        <v>0</v>
      </c>
      <c r="BV7" s="351">
        <f t="shared" si="6"/>
        <v>0</v>
      </c>
      <c r="BW7" s="351">
        <f t="shared" si="6"/>
        <v>0</v>
      </c>
      <c r="BX7" s="351">
        <f t="shared" si="7"/>
        <v>0</v>
      </c>
      <c r="BY7" s="378">
        <f t="shared" si="8"/>
        <v>0</v>
      </c>
      <c r="BZ7" s="378">
        <f t="shared" si="9"/>
        <v>0</v>
      </c>
    </row>
    <row r="8" spans="1:78" s="234" customFormat="1" ht="15" customHeight="1">
      <c r="A8" s="421" t="s">
        <v>123</v>
      </c>
      <c r="B8" s="422"/>
      <c r="C8" s="422"/>
      <c r="D8" s="423"/>
      <c r="E8" s="424">
        <v>229065.33000000002</v>
      </c>
      <c r="F8" s="425" t="s">
        <v>241</v>
      </c>
      <c r="G8" s="385"/>
      <c r="H8" s="385"/>
      <c r="I8" s="385"/>
      <c r="J8" s="385"/>
      <c r="K8" s="385"/>
      <c r="L8" s="385">
        <v>0</v>
      </c>
      <c r="M8" s="385">
        <v>0</v>
      </c>
      <c r="N8" s="385">
        <v>0</v>
      </c>
      <c r="O8" s="385">
        <v>0</v>
      </c>
      <c r="P8" s="385">
        <v>0</v>
      </c>
      <c r="Q8" s="385">
        <v>0</v>
      </c>
      <c r="R8" s="385">
        <v>0</v>
      </c>
      <c r="S8" s="385">
        <v>0.75855241821187003</v>
      </c>
      <c r="T8" s="428">
        <v>8.6311010051150036E-2</v>
      </c>
      <c r="U8" s="428">
        <v>9.9705442111209047E-2</v>
      </c>
      <c r="V8" s="385">
        <v>0</v>
      </c>
      <c r="W8" s="385">
        <v>5.5431129625770965E-2</v>
      </c>
      <c r="X8" s="385"/>
      <c r="Y8" s="385"/>
      <c r="Z8" s="385"/>
      <c r="AA8" s="385"/>
      <c r="AB8" s="385"/>
      <c r="AC8" s="426">
        <f t="shared" si="10"/>
        <v>1</v>
      </c>
      <c r="AD8" s="423"/>
      <c r="AE8" s="351">
        <f t="shared" ref="AE8:AI21" si="12">G8*$E8</f>
        <v>0</v>
      </c>
      <c r="AF8" s="351">
        <f t="shared" si="12"/>
        <v>0</v>
      </c>
      <c r="AG8" s="351">
        <f t="shared" si="12"/>
        <v>0</v>
      </c>
      <c r="AH8" s="351">
        <f t="shared" si="12"/>
        <v>0</v>
      </c>
      <c r="AI8" s="427">
        <f t="shared" si="12"/>
        <v>0</v>
      </c>
      <c r="AJ8" s="427">
        <v>0</v>
      </c>
      <c r="AK8" s="427">
        <f t="shared" ref="AK8:AW21" si="13">M8*$E8</f>
        <v>0</v>
      </c>
      <c r="AL8" s="427">
        <f t="shared" si="13"/>
        <v>0</v>
      </c>
      <c r="AM8" s="427">
        <f t="shared" si="13"/>
        <v>0</v>
      </c>
      <c r="AN8" s="427">
        <f t="shared" si="13"/>
        <v>0</v>
      </c>
      <c r="AO8" s="427">
        <f t="shared" si="13"/>
        <v>0</v>
      </c>
      <c r="AP8" s="427">
        <f t="shared" si="13"/>
        <v>0</v>
      </c>
      <c r="AQ8" s="427">
        <f t="shared" si="13"/>
        <v>173758.06000000003</v>
      </c>
      <c r="AR8" s="427">
        <f t="shared" si="13"/>
        <v>19770.86</v>
      </c>
      <c r="AS8" s="427">
        <f t="shared" si="13"/>
        <v>22839.059999999998</v>
      </c>
      <c r="AT8" s="351">
        <f t="shared" si="13"/>
        <v>0</v>
      </c>
      <c r="AU8" s="427">
        <f t="shared" si="13"/>
        <v>12697.350000000004</v>
      </c>
      <c r="AV8" s="351">
        <f t="shared" si="13"/>
        <v>0</v>
      </c>
      <c r="AW8" s="427">
        <f t="shared" si="13"/>
        <v>0</v>
      </c>
      <c r="AX8" s="427">
        <f t="shared" si="2"/>
        <v>0</v>
      </c>
      <c r="AY8" s="427">
        <f t="shared" si="3"/>
        <v>0</v>
      </c>
      <c r="AZ8" s="427">
        <f t="shared" si="4"/>
        <v>0</v>
      </c>
      <c r="BA8" s="351"/>
      <c r="BB8" s="351">
        <f t="shared" si="5"/>
        <v>0</v>
      </c>
      <c r="BC8" s="351">
        <f t="shared" si="5"/>
        <v>0</v>
      </c>
      <c r="BD8" s="351">
        <f t="shared" si="11"/>
        <v>0</v>
      </c>
      <c r="BE8" s="351">
        <f t="shared" si="11"/>
        <v>0</v>
      </c>
      <c r="BF8" s="351">
        <f t="shared" si="11"/>
        <v>0</v>
      </c>
      <c r="BG8" s="351">
        <f t="shared" si="11"/>
        <v>0</v>
      </c>
      <c r="BH8" s="351">
        <f t="shared" si="11"/>
        <v>0</v>
      </c>
      <c r="BI8" s="351">
        <f t="shared" si="11"/>
        <v>0</v>
      </c>
      <c r="BJ8" s="351">
        <f t="shared" si="11"/>
        <v>0</v>
      </c>
      <c r="BK8" s="351">
        <f t="shared" si="11"/>
        <v>0</v>
      </c>
      <c r="BL8" s="351">
        <f t="shared" si="11"/>
        <v>0</v>
      </c>
      <c r="BM8" s="351">
        <f t="shared" si="11"/>
        <v>0</v>
      </c>
      <c r="BN8" s="351">
        <f t="shared" si="11"/>
        <v>229065.33000000002</v>
      </c>
      <c r="BO8" s="351">
        <f t="shared" si="11"/>
        <v>0</v>
      </c>
      <c r="BP8" s="351">
        <f t="shared" si="11"/>
        <v>0</v>
      </c>
      <c r="BQ8" s="351">
        <f t="shared" si="11"/>
        <v>0</v>
      </c>
      <c r="BR8" s="351">
        <f t="shared" si="6"/>
        <v>0</v>
      </c>
      <c r="BS8" s="406">
        <f t="shared" si="6"/>
        <v>0</v>
      </c>
      <c r="BT8" s="406">
        <f t="shared" si="6"/>
        <v>0</v>
      </c>
      <c r="BU8" s="351">
        <f t="shared" si="6"/>
        <v>0</v>
      </c>
      <c r="BV8" s="351">
        <f t="shared" si="6"/>
        <v>0</v>
      </c>
      <c r="BW8" s="351">
        <f t="shared" si="6"/>
        <v>0</v>
      </c>
      <c r="BX8" s="351">
        <f t="shared" si="7"/>
        <v>0</v>
      </c>
      <c r="BY8" s="378">
        <f t="shared" si="8"/>
        <v>0</v>
      </c>
      <c r="BZ8" s="378">
        <f t="shared" si="9"/>
        <v>0</v>
      </c>
    </row>
    <row r="9" spans="1:78" s="519" customFormat="1" ht="15" customHeight="1">
      <c r="A9" s="507" t="s">
        <v>123</v>
      </c>
      <c r="B9" s="422"/>
      <c r="C9" s="508"/>
      <c r="D9" s="509"/>
      <c r="E9" s="510">
        <v>920870</v>
      </c>
      <c r="F9" s="511" t="s">
        <v>266</v>
      </c>
      <c r="G9" s="512"/>
      <c r="H9" s="512"/>
      <c r="I9" s="512"/>
      <c r="J9" s="512"/>
      <c r="K9" s="512"/>
      <c r="L9" s="512">
        <v>0</v>
      </c>
      <c r="M9" s="512">
        <v>0</v>
      </c>
      <c r="N9" s="512">
        <v>0</v>
      </c>
      <c r="O9" s="512">
        <v>0</v>
      </c>
      <c r="P9" s="512">
        <v>0</v>
      </c>
      <c r="Q9" s="512">
        <v>0</v>
      </c>
      <c r="R9" s="512">
        <v>0</v>
      </c>
      <c r="S9" s="512">
        <v>0</v>
      </c>
      <c r="T9" s="513">
        <v>0</v>
      </c>
      <c r="U9" s="513">
        <v>0</v>
      </c>
      <c r="V9" s="512">
        <v>0</v>
      </c>
      <c r="W9" s="512">
        <v>0</v>
      </c>
      <c r="X9" s="512"/>
      <c r="Y9" s="512"/>
      <c r="Z9" s="512">
        <v>0</v>
      </c>
      <c r="AA9" s="512">
        <v>0.7</v>
      </c>
      <c r="AB9" s="512">
        <v>0.3</v>
      </c>
      <c r="AC9" s="514">
        <f t="shared" ref="AC9" si="14">SUM(G9:AB9)</f>
        <v>1</v>
      </c>
      <c r="AD9" s="509"/>
      <c r="AE9" s="515">
        <f t="shared" ref="AE9" si="15">G9*$E9</f>
        <v>0</v>
      </c>
      <c r="AF9" s="515">
        <f t="shared" ref="AF9" si="16">H9*$E9</f>
        <v>0</v>
      </c>
      <c r="AG9" s="515">
        <f t="shared" ref="AG9" si="17">I9*$E9</f>
        <v>0</v>
      </c>
      <c r="AH9" s="515">
        <f t="shared" ref="AH9" si="18">J9*$E9</f>
        <v>0</v>
      </c>
      <c r="AI9" s="516">
        <f t="shared" ref="AI9" si="19">K9*$E9</f>
        <v>0</v>
      </c>
      <c r="AJ9" s="516">
        <v>0</v>
      </c>
      <c r="AK9" s="516">
        <f t="shared" ref="AK9" si="20">M9*$E9</f>
        <v>0</v>
      </c>
      <c r="AL9" s="516">
        <f t="shared" ref="AL9" si="21">N9*$E9</f>
        <v>0</v>
      </c>
      <c r="AM9" s="516">
        <f t="shared" ref="AM9" si="22">O9*$E9</f>
        <v>0</v>
      </c>
      <c r="AN9" s="516">
        <f t="shared" ref="AN9" si="23">P9*$E9</f>
        <v>0</v>
      </c>
      <c r="AO9" s="516">
        <f t="shared" ref="AO9" si="24">Q9*$E9</f>
        <v>0</v>
      </c>
      <c r="AP9" s="516">
        <f t="shared" ref="AP9" si="25">R9*$E9</f>
        <v>0</v>
      </c>
      <c r="AQ9" s="516">
        <f t="shared" ref="AQ9" si="26">S9*$E9</f>
        <v>0</v>
      </c>
      <c r="AR9" s="516">
        <f t="shared" ref="AR9" si="27">T9*$E9</f>
        <v>0</v>
      </c>
      <c r="AS9" s="516">
        <f t="shared" ref="AS9" si="28">U9*$E9</f>
        <v>0</v>
      </c>
      <c r="AT9" s="515">
        <f t="shared" ref="AT9" si="29">V9*$E9</f>
        <v>0</v>
      </c>
      <c r="AU9" s="516">
        <f t="shared" ref="AU9" si="30">W9*$E9</f>
        <v>0</v>
      </c>
      <c r="AV9" s="515">
        <f t="shared" ref="AV9" si="31">X9*$E9</f>
        <v>0</v>
      </c>
      <c r="AW9" s="516">
        <f t="shared" ref="AW9" si="32">Y9*$E9</f>
        <v>0</v>
      </c>
      <c r="AX9" s="516">
        <f t="shared" ref="AX9" si="33">Z9*$E9</f>
        <v>0</v>
      </c>
      <c r="AY9" s="516">
        <f t="shared" ref="AY9" si="34">AA9*$E9</f>
        <v>644609</v>
      </c>
      <c r="AZ9" s="516">
        <f t="shared" ref="AZ9" si="35">AB9*$E9</f>
        <v>276261</v>
      </c>
      <c r="BA9" s="515"/>
      <c r="BB9" s="515">
        <f t="shared" si="5"/>
        <v>0</v>
      </c>
      <c r="BC9" s="515">
        <f t="shared" si="5"/>
        <v>0</v>
      </c>
      <c r="BD9" s="515">
        <f t="shared" si="11"/>
        <v>0</v>
      </c>
      <c r="BE9" s="515">
        <f t="shared" si="11"/>
        <v>0</v>
      </c>
      <c r="BF9" s="515">
        <f t="shared" si="11"/>
        <v>0</v>
      </c>
      <c r="BG9" s="515">
        <f t="shared" si="11"/>
        <v>0</v>
      </c>
      <c r="BH9" s="515">
        <f t="shared" si="11"/>
        <v>0</v>
      </c>
      <c r="BI9" s="515">
        <f t="shared" si="11"/>
        <v>0</v>
      </c>
      <c r="BJ9" s="515">
        <f t="shared" si="11"/>
        <v>0</v>
      </c>
      <c r="BK9" s="515">
        <f t="shared" si="11"/>
        <v>0</v>
      </c>
      <c r="BL9" s="515">
        <f t="shared" si="11"/>
        <v>0</v>
      </c>
      <c r="BM9" s="515">
        <f t="shared" si="11"/>
        <v>0</v>
      </c>
      <c r="BN9" s="515">
        <f t="shared" si="11"/>
        <v>0</v>
      </c>
      <c r="BO9" s="515">
        <f t="shared" si="11"/>
        <v>0</v>
      </c>
      <c r="BP9" s="515">
        <f t="shared" si="11"/>
        <v>0</v>
      </c>
      <c r="BQ9" s="515">
        <f t="shared" si="11"/>
        <v>0</v>
      </c>
      <c r="BR9" s="515">
        <f t="shared" si="6"/>
        <v>0</v>
      </c>
      <c r="BS9" s="517">
        <f t="shared" si="6"/>
        <v>0</v>
      </c>
      <c r="BT9" s="517">
        <f t="shared" si="6"/>
        <v>0</v>
      </c>
      <c r="BU9" s="517">
        <f t="shared" si="6"/>
        <v>920870</v>
      </c>
      <c r="BV9" s="515">
        <f t="shared" si="6"/>
        <v>0</v>
      </c>
      <c r="BW9" s="515">
        <f t="shared" si="6"/>
        <v>0</v>
      </c>
      <c r="BX9" s="515">
        <f t="shared" si="7"/>
        <v>0</v>
      </c>
      <c r="BY9" s="518">
        <f t="shared" si="8"/>
        <v>0</v>
      </c>
      <c r="BZ9" s="518">
        <f t="shared" si="9"/>
        <v>0</v>
      </c>
    </row>
    <row r="10" spans="1:78" s="519" customFormat="1" ht="15" customHeight="1">
      <c r="A10" s="507" t="s">
        <v>123</v>
      </c>
      <c r="B10" s="422"/>
      <c r="C10" s="508"/>
      <c r="D10" s="509"/>
      <c r="E10" s="510">
        <v>200000</v>
      </c>
      <c r="F10" s="511" t="s">
        <v>267</v>
      </c>
      <c r="G10" s="512"/>
      <c r="H10" s="512"/>
      <c r="I10" s="512"/>
      <c r="J10" s="512"/>
      <c r="K10" s="512"/>
      <c r="L10" s="512">
        <v>0</v>
      </c>
      <c r="M10" s="512">
        <v>0</v>
      </c>
      <c r="N10" s="512">
        <v>0</v>
      </c>
      <c r="O10" s="512">
        <v>0</v>
      </c>
      <c r="P10" s="512">
        <v>0</v>
      </c>
      <c r="Q10" s="512">
        <v>0</v>
      </c>
      <c r="R10" s="512">
        <v>0</v>
      </c>
      <c r="S10" s="512">
        <v>0</v>
      </c>
      <c r="T10" s="513">
        <v>0</v>
      </c>
      <c r="U10" s="513">
        <v>0</v>
      </c>
      <c r="V10" s="512">
        <v>0</v>
      </c>
      <c r="W10" s="512">
        <v>0</v>
      </c>
      <c r="X10" s="512"/>
      <c r="Y10" s="512"/>
      <c r="Z10" s="520">
        <v>0</v>
      </c>
      <c r="AA10" s="512">
        <v>1</v>
      </c>
      <c r="AB10" s="520">
        <v>0</v>
      </c>
      <c r="AC10" s="514">
        <f t="shared" ref="AC10:AC13" si="36">SUM(G10:AB10)</f>
        <v>1</v>
      </c>
      <c r="AD10" s="509"/>
      <c r="AE10" s="515">
        <f t="shared" ref="AE10:AE13" si="37">G10*$E10</f>
        <v>0</v>
      </c>
      <c r="AF10" s="515">
        <f t="shared" ref="AF10:AF13" si="38">H10*$E10</f>
        <v>0</v>
      </c>
      <c r="AG10" s="515">
        <f t="shared" ref="AG10:AG13" si="39">I10*$E10</f>
        <v>0</v>
      </c>
      <c r="AH10" s="515">
        <f t="shared" ref="AH10:AH13" si="40">J10*$E10</f>
        <v>0</v>
      </c>
      <c r="AI10" s="516">
        <f t="shared" ref="AI10:AJ13" si="41">K10*$E10</f>
        <v>0</v>
      </c>
      <c r="AJ10" s="516">
        <f t="shared" si="41"/>
        <v>0</v>
      </c>
      <c r="AK10" s="516">
        <f t="shared" ref="AK10:AK13" si="42">M10*$E10</f>
        <v>0</v>
      </c>
      <c r="AL10" s="516">
        <f t="shared" ref="AL10:AL13" si="43">N10*$E10</f>
        <v>0</v>
      </c>
      <c r="AM10" s="516">
        <f t="shared" ref="AM10:AM13" si="44">O10*$E10</f>
        <v>0</v>
      </c>
      <c r="AN10" s="516">
        <f t="shared" ref="AN10:AN13" si="45">P10*$E10</f>
        <v>0</v>
      </c>
      <c r="AO10" s="516">
        <f t="shared" ref="AO10:AO13" si="46">Q10*$E10</f>
        <v>0</v>
      </c>
      <c r="AP10" s="516">
        <f t="shared" ref="AP10:AP13" si="47">R10*$E10</f>
        <v>0</v>
      </c>
      <c r="AQ10" s="516">
        <f t="shared" ref="AQ10:AQ13" si="48">S10*$E10</f>
        <v>0</v>
      </c>
      <c r="AR10" s="516">
        <f t="shared" ref="AR10:AR13" si="49">T10*$E10</f>
        <v>0</v>
      </c>
      <c r="AS10" s="516">
        <f t="shared" ref="AS10:AS13" si="50">U10*$E10</f>
        <v>0</v>
      </c>
      <c r="AT10" s="515">
        <f t="shared" ref="AT10:AT13" si="51">V10*$E10</f>
        <v>0</v>
      </c>
      <c r="AU10" s="516">
        <f t="shared" ref="AU10:AU13" si="52">W10*$E10</f>
        <v>0</v>
      </c>
      <c r="AV10" s="515">
        <f t="shared" ref="AV10:AV13" si="53">X10*$E10</f>
        <v>0</v>
      </c>
      <c r="AW10" s="516">
        <f t="shared" ref="AW10:AW13" si="54">Y10*$E10</f>
        <v>0</v>
      </c>
      <c r="AX10" s="516">
        <f t="shared" ref="AX10:AX13" si="55">Z10*$E10</f>
        <v>0</v>
      </c>
      <c r="AY10" s="516">
        <f t="shared" ref="AY10:AY13" si="56">AA10*$E10</f>
        <v>200000</v>
      </c>
      <c r="AZ10" s="516">
        <f t="shared" ref="AZ10:AZ13" si="57">AB10*$E10</f>
        <v>0</v>
      </c>
      <c r="BA10" s="515"/>
      <c r="BB10" s="515">
        <f t="shared" si="5"/>
        <v>0</v>
      </c>
      <c r="BC10" s="515">
        <f t="shared" si="5"/>
        <v>0</v>
      </c>
      <c r="BD10" s="515">
        <f t="shared" si="11"/>
        <v>0</v>
      </c>
      <c r="BE10" s="515">
        <f t="shared" si="11"/>
        <v>0</v>
      </c>
      <c r="BF10" s="515">
        <f t="shared" si="11"/>
        <v>0</v>
      </c>
      <c r="BG10" s="515">
        <f t="shared" si="11"/>
        <v>0</v>
      </c>
      <c r="BH10" s="515">
        <f t="shared" si="11"/>
        <v>0</v>
      </c>
      <c r="BI10" s="515">
        <f t="shared" si="11"/>
        <v>0</v>
      </c>
      <c r="BJ10" s="515">
        <f t="shared" si="11"/>
        <v>0</v>
      </c>
      <c r="BK10" s="515">
        <f t="shared" si="11"/>
        <v>0</v>
      </c>
      <c r="BL10" s="515">
        <f t="shared" si="11"/>
        <v>0</v>
      </c>
      <c r="BM10" s="515">
        <f t="shared" si="11"/>
        <v>0</v>
      </c>
      <c r="BN10" s="515">
        <f t="shared" si="11"/>
        <v>0</v>
      </c>
      <c r="BO10" s="515">
        <f t="shared" si="11"/>
        <v>0</v>
      </c>
      <c r="BP10" s="515">
        <f t="shared" si="11"/>
        <v>0</v>
      </c>
      <c r="BQ10" s="515">
        <f t="shared" si="11"/>
        <v>0</v>
      </c>
      <c r="BR10" s="515">
        <f t="shared" si="6"/>
        <v>0</v>
      </c>
      <c r="BS10" s="517">
        <f t="shared" si="6"/>
        <v>0</v>
      </c>
      <c r="BT10" s="517">
        <f t="shared" si="6"/>
        <v>0</v>
      </c>
      <c r="BU10" s="517">
        <f t="shared" si="6"/>
        <v>0</v>
      </c>
      <c r="BV10" s="515">
        <f t="shared" si="6"/>
        <v>200000</v>
      </c>
      <c r="BW10" s="515">
        <f t="shared" si="6"/>
        <v>0</v>
      </c>
      <c r="BX10" s="515">
        <f t="shared" si="7"/>
        <v>0</v>
      </c>
      <c r="BY10" s="518">
        <f t="shared" si="8"/>
        <v>0</v>
      </c>
      <c r="BZ10" s="518">
        <f t="shared" si="9"/>
        <v>0</v>
      </c>
    </row>
    <row r="11" spans="1:78" s="519" customFormat="1" ht="15" customHeight="1">
      <c r="A11" s="519" t="s">
        <v>124</v>
      </c>
      <c r="B11" s="422"/>
      <c r="D11" s="521"/>
      <c r="E11" s="522">
        <v>12500</v>
      </c>
      <c r="F11" s="521" t="s">
        <v>266</v>
      </c>
      <c r="G11" s="523"/>
      <c r="H11" s="523"/>
      <c r="I11" s="523"/>
      <c r="J11" s="523"/>
      <c r="K11" s="523">
        <v>0</v>
      </c>
      <c r="L11" s="523">
        <v>0</v>
      </c>
      <c r="M11" s="523">
        <v>0</v>
      </c>
      <c r="N11" s="523">
        <v>0</v>
      </c>
      <c r="O11" s="523"/>
      <c r="P11" s="523"/>
      <c r="Q11" s="523"/>
      <c r="R11" s="523"/>
      <c r="S11" s="523"/>
      <c r="T11" s="523"/>
      <c r="U11" s="524"/>
      <c r="V11" s="524"/>
      <c r="W11" s="524">
        <v>0</v>
      </c>
      <c r="X11" s="524">
        <v>0</v>
      </c>
      <c r="Y11" s="524"/>
      <c r="Z11" s="524">
        <v>0</v>
      </c>
      <c r="AA11" s="524">
        <v>0.6</v>
      </c>
      <c r="AB11" s="524">
        <v>0.4</v>
      </c>
      <c r="AC11" s="514">
        <f t="shared" ref="AC11:AC12" si="58">SUM(G11:AB11)</f>
        <v>1</v>
      </c>
      <c r="AD11" s="521"/>
      <c r="AE11" s="525">
        <f t="shared" ref="AE11:AE12" si="59">G11*$E11</f>
        <v>0</v>
      </c>
      <c r="AF11" s="522">
        <f t="shared" ref="AF11:AF12" si="60">H11*$E11</f>
        <v>0</v>
      </c>
      <c r="AG11" s="522">
        <f t="shared" ref="AG11:AG12" si="61">I11*$E11</f>
        <v>0</v>
      </c>
      <c r="AH11" s="522">
        <f t="shared" ref="AH11:AH12" si="62">J11*$E11</f>
        <v>0</v>
      </c>
      <c r="AI11" s="522">
        <f t="shared" ref="AI11:AI12" si="63">K11*$E11</f>
        <v>0</v>
      </c>
      <c r="AJ11" s="522">
        <f t="shared" ref="AJ11:AJ12" si="64">L11*$E11</f>
        <v>0</v>
      </c>
      <c r="AK11" s="522">
        <f t="shared" ref="AK11:AK12" si="65">M11*$E11</f>
        <v>0</v>
      </c>
      <c r="AL11" s="522">
        <f t="shared" ref="AL11:AL12" si="66">N11*$E11</f>
        <v>0</v>
      </c>
      <c r="AM11" s="522">
        <f t="shared" ref="AM11:AM12" si="67">O11*$E11</f>
        <v>0</v>
      </c>
      <c r="AN11" s="525">
        <f t="shared" ref="AN11:AN12" si="68">P11*$E11</f>
        <v>0</v>
      </c>
      <c r="AO11" s="525">
        <f t="shared" ref="AO11:AO12" si="69">Q11*$E11</f>
        <v>0</v>
      </c>
      <c r="AP11" s="525">
        <f t="shared" ref="AP11:AP12" si="70">R11*$E11</f>
        <v>0</v>
      </c>
      <c r="AQ11" s="525">
        <f t="shared" ref="AQ11:AQ12" si="71">S11*$E11</f>
        <v>0</v>
      </c>
      <c r="AR11" s="526">
        <f t="shared" ref="AR11:AR12" si="72">T11*$E11</f>
        <v>0</v>
      </c>
      <c r="AS11" s="526">
        <f t="shared" ref="AS11:AS12" si="73">U11*$E11</f>
        <v>0</v>
      </c>
      <c r="AT11" s="526">
        <f t="shared" ref="AT11:AT12" si="74">V11*$E11</f>
        <v>0</v>
      </c>
      <c r="AU11" s="526">
        <f t="shared" ref="AU11:AU12" si="75">W11*$E11</f>
        <v>0</v>
      </c>
      <c r="AV11" s="526">
        <f t="shared" ref="AV11:AV12" si="76">X11*$E11</f>
        <v>0</v>
      </c>
      <c r="AW11" s="525">
        <f t="shared" ref="AW11:AW12" si="77">Y11*$E11</f>
        <v>0</v>
      </c>
      <c r="AX11" s="525">
        <f t="shared" ref="AX11:AX12" si="78">Z11*$E11</f>
        <v>0</v>
      </c>
      <c r="AY11" s="525">
        <f t="shared" ref="AY11:AY12" si="79">AA11*$E11</f>
        <v>7500</v>
      </c>
      <c r="AZ11" s="525">
        <f t="shared" ref="AZ11:AZ12" si="80">AB11*$E11</f>
        <v>5000</v>
      </c>
      <c r="BA11" s="525"/>
      <c r="BB11" s="525">
        <f t="shared" si="5"/>
        <v>0</v>
      </c>
      <c r="BC11" s="525">
        <f t="shared" si="5"/>
        <v>0</v>
      </c>
      <c r="BD11" s="525">
        <f t="shared" si="5"/>
        <v>0</v>
      </c>
      <c r="BE11" s="525">
        <f t="shared" si="5"/>
        <v>0</v>
      </c>
      <c r="BF11" s="525">
        <v>0</v>
      </c>
      <c r="BG11" s="525">
        <v>0</v>
      </c>
      <c r="BH11" s="525">
        <f t="shared" si="11"/>
        <v>0</v>
      </c>
      <c r="BI11" s="522">
        <f t="shared" si="11"/>
        <v>0</v>
      </c>
      <c r="BJ11" s="525">
        <f t="shared" si="11"/>
        <v>0</v>
      </c>
      <c r="BK11" s="525">
        <f t="shared" si="11"/>
        <v>0</v>
      </c>
      <c r="BL11" s="525">
        <f t="shared" si="11"/>
        <v>0</v>
      </c>
      <c r="BM11" s="525">
        <f t="shared" si="11"/>
        <v>0</v>
      </c>
      <c r="BN11" s="525">
        <f t="shared" si="11"/>
        <v>0</v>
      </c>
      <c r="BO11" s="525">
        <f t="shared" si="11"/>
        <v>0</v>
      </c>
      <c r="BP11" s="525">
        <f t="shared" si="11"/>
        <v>0</v>
      </c>
      <c r="BQ11" s="525">
        <f t="shared" si="11"/>
        <v>0</v>
      </c>
      <c r="BR11" s="525">
        <f t="shared" si="6"/>
        <v>0</v>
      </c>
      <c r="BS11" s="526">
        <f t="shared" si="6"/>
        <v>0</v>
      </c>
      <c r="BT11" s="526">
        <f t="shared" si="6"/>
        <v>0</v>
      </c>
      <c r="BU11" s="525">
        <f t="shared" si="6"/>
        <v>12500</v>
      </c>
      <c r="BV11" s="525">
        <f t="shared" si="6"/>
        <v>0</v>
      </c>
      <c r="BW11" s="525">
        <f t="shared" si="6"/>
        <v>0</v>
      </c>
      <c r="BX11" s="515">
        <f t="shared" ref="BX11:BX12" si="81">SUM(AE11:AZ11)-SUM(BB11:BW11)</f>
        <v>0</v>
      </c>
      <c r="BY11" s="518">
        <f t="shared" ref="BY11:BY12" si="82">E11-SUM(BB11:BW11)</f>
        <v>0</v>
      </c>
      <c r="BZ11" s="518">
        <f t="shared" ref="BZ11:BZ12" si="83">+E11-SUM(AE11:AZ11)</f>
        <v>0</v>
      </c>
    </row>
    <row r="12" spans="1:78" s="519" customFormat="1" ht="15" customHeight="1">
      <c r="A12" s="519" t="s">
        <v>124</v>
      </c>
      <c r="B12" s="422"/>
      <c r="D12" s="521"/>
      <c r="E12" s="522">
        <v>12500</v>
      </c>
      <c r="F12" s="521" t="s">
        <v>266</v>
      </c>
      <c r="G12" s="523"/>
      <c r="H12" s="523"/>
      <c r="I12" s="523"/>
      <c r="J12" s="523"/>
      <c r="K12" s="523">
        <v>0</v>
      </c>
      <c r="L12" s="523">
        <v>0</v>
      </c>
      <c r="M12" s="523">
        <v>0</v>
      </c>
      <c r="N12" s="523">
        <v>0</v>
      </c>
      <c r="O12" s="523"/>
      <c r="P12" s="523"/>
      <c r="Q12" s="523"/>
      <c r="R12" s="523"/>
      <c r="S12" s="523"/>
      <c r="T12" s="523"/>
      <c r="U12" s="524"/>
      <c r="V12" s="524"/>
      <c r="W12" s="524">
        <v>0</v>
      </c>
      <c r="X12" s="524">
        <v>0</v>
      </c>
      <c r="Y12" s="524"/>
      <c r="Z12" s="524">
        <v>0</v>
      </c>
      <c r="AA12" s="524">
        <v>0.6</v>
      </c>
      <c r="AB12" s="524">
        <v>0.4</v>
      </c>
      <c r="AC12" s="514">
        <f t="shared" si="58"/>
        <v>1</v>
      </c>
      <c r="AD12" s="521"/>
      <c r="AE12" s="525">
        <f t="shared" si="59"/>
        <v>0</v>
      </c>
      <c r="AF12" s="522">
        <f t="shared" si="60"/>
        <v>0</v>
      </c>
      <c r="AG12" s="522">
        <f t="shared" si="61"/>
        <v>0</v>
      </c>
      <c r="AH12" s="522">
        <f t="shared" si="62"/>
        <v>0</v>
      </c>
      <c r="AI12" s="522">
        <f t="shared" si="63"/>
        <v>0</v>
      </c>
      <c r="AJ12" s="522">
        <f t="shared" si="64"/>
        <v>0</v>
      </c>
      <c r="AK12" s="522">
        <f t="shared" si="65"/>
        <v>0</v>
      </c>
      <c r="AL12" s="522">
        <f t="shared" si="66"/>
        <v>0</v>
      </c>
      <c r="AM12" s="522">
        <f t="shared" si="67"/>
        <v>0</v>
      </c>
      <c r="AN12" s="525">
        <f t="shared" si="68"/>
        <v>0</v>
      </c>
      <c r="AO12" s="525">
        <f t="shared" si="69"/>
        <v>0</v>
      </c>
      <c r="AP12" s="525">
        <f t="shared" si="70"/>
        <v>0</v>
      </c>
      <c r="AQ12" s="525">
        <f t="shared" si="71"/>
        <v>0</v>
      </c>
      <c r="AR12" s="526">
        <f t="shared" si="72"/>
        <v>0</v>
      </c>
      <c r="AS12" s="526">
        <f t="shared" si="73"/>
        <v>0</v>
      </c>
      <c r="AT12" s="526">
        <f t="shared" si="74"/>
        <v>0</v>
      </c>
      <c r="AU12" s="526">
        <f t="shared" si="75"/>
        <v>0</v>
      </c>
      <c r="AV12" s="526">
        <f t="shared" si="76"/>
        <v>0</v>
      </c>
      <c r="AW12" s="525">
        <f t="shared" si="77"/>
        <v>0</v>
      </c>
      <c r="AX12" s="525">
        <f t="shared" si="78"/>
        <v>0</v>
      </c>
      <c r="AY12" s="525">
        <f t="shared" si="79"/>
        <v>7500</v>
      </c>
      <c r="AZ12" s="525">
        <f t="shared" si="80"/>
        <v>5000</v>
      </c>
      <c r="BA12" s="525"/>
      <c r="BB12" s="525">
        <f t="shared" si="5"/>
        <v>0</v>
      </c>
      <c r="BC12" s="525">
        <f t="shared" si="5"/>
        <v>0</v>
      </c>
      <c r="BD12" s="525">
        <f t="shared" si="5"/>
        <v>0</v>
      </c>
      <c r="BE12" s="525">
        <f t="shared" si="5"/>
        <v>0</v>
      </c>
      <c r="BF12" s="525">
        <v>0</v>
      </c>
      <c r="BG12" s="525">
        <v>0</v>
      </c>
      <c r="BH12" s="525">
        <f t="shared" si="11"/>
        <v>0</v>
      </c>
      <c r="BI12" s="522">
        <f t="shared" si="11"/>
        <v>0</v>
      </c>
      <c r="BJ12" s="525">
        <f t="shared" si="11"/>
        <v>0</v>
      </c>
      <c r="BK12" s="525">
        <f t="shared" si="11"/>
        <v>0</v>
      </c>
      <c r="BL12" s="525">
        <f t="shared" si="11"/>
        <v>0</v>
      </c>
      <c r="BM12" s="525">
        <f t="shared" si="11"/>
        <v>0</v>
      </c>
      <c r="BN12" s="525">
        <f t="shared" si="11"/>
        <v>0</v>
      </c>
      <c r="BO12" s="525">
        <f t="shared" si="11"/>
        <v>0</v>
      </c>
      <c r="BP12" s="525">
        <f t="shared" si="11"/>
        <v>0</v>
      </c>
      <c r="BQ12" s="525">
        <f t="shared" si="11"/>
        <v>0</v>
      </c>
      <c r="BR12" s="525">
        <f t="shared" si="6"/>
        <v>0</v>
      </c>
      <c r="BS12" s="526">
        <f t="shared" si="6"/>
        <v>0</v>
      </c>
      <c r="BT12" s="526">
        <f t="shared" si="6"/>
        <v>0</v>
      </c>
      <c r="BU12" s="525">
        <f t="shared" si="6"/>
        <v>12500</v>
      </c>
      <c r="BV12" s="525">
        <f t="shared" si="6"/>
        <v>0</v>
      </c>
      <c r="BW12" s="525">
        <f t="shared" si="6"/>
        <v>0</v>
      </c>
      <c r="BX12" s="515">
        <f t="shared" si="81"/>
        <v>0</v>
      </c>
      <c r="BY12" s="518">
        <f t="shared" si="82"/>
        <v>0</v>
      </c>
      <c r="BZ12" s="518">
        <f t="shared" si="83"/>
        <v>0</v>
      </c>
    </row>
    <row r="13" spans="1:78" s="519" customFormat="1" ht="15" customHeight="1">
      <c r="A13" s="519" t="s">
        <v>124</v>
      </c>
      <c r="B13" s="234"/>
      <c r="D13" s="521"/>
      <c r="E13" s="522">
        <v>12500</v>
      </c>
      <c r="F13" s="521" t="s">
        <v>266</v>
      </c>
      <c r="G13" s="523"/>
      <c r="H13" s="523"/>
      <c r="I13" s="523"/>
      <c r="J13" s="523"/>
      <c r="K13" s="523">
        <v>0</v>
      </c>
      <c r="L13" s="523">
        <v>0</v>
      </c>
      <c r="M13" s="523">
        <v>0</v>
      </c>
      <c r="N13" s="523">
        <v>0</v>
      </c>
      <c r="O13" s="523"/>
      <c r="P13" s="523"/>
      <c r="Q13" s="523"/>
      <c r="R13" s="523"/>
      <c r="S13" s="523"/>
      <c r="T13" s="523"/>
      <c r="U13" s="524"/>
      <c r="V13" s="524"/>
      <c r="W13" s="524">
        <v>0</v>
      </c>
      <c r="X13" s="524">
        <v>0</v>
      </c>
      <c r="Y13" s="524"/>
      <c r="Z13" s="524">
        <v>0</v>
      </c>
      <c r="AA13" s="524">
        <v>0.6</v>
      </c>
      <c r="AB13" s="524">
        <v>0.4</v>
      </c>
      <c r="AC13" s="514">
        <f t="shared" si="36"/>
        <v>1</v>
      </c>
      <c r="AD13" s="521"/>
      <c r="AE13" s="525">
        <f t="shared" si="37"/>
        <v>0</v>
      </c>
      <c r="AF13" s="522">
        <f t="shared" si="38"/>
        <v>0</v>
      </c>
      <c r="AG13" s="522">
        <f t="shared" si="39"/>
        <v>0</v>
      </c>
      <c r="AH13" s="522">
        <f t="shared" si="40"/>
        <v>0</v>
      </c>
      <c r="AI13" s="522">
        <f t="shared" si="41"/>
        <v>0</v>
      </c>
      <c r="AJ13" s="522">
        <f t="shared" si="41"/>
        <v>0</v>
      </c>
      <c r="AK13" s="522">
        <f t="shared" si="42"/>
        <v>0</v>
      </c>
      <c r="AL13" s="522">
        <f t="shared" si="43"/>
        <v>0</v>
      </c>
      <c r="AM13" s="522">
        <f t="shared" si="44"/>
        <v>0</v>
      </c>
      <c r="AN13" s="525">
        <f t="shared" si="45"/>
        <v>0</v>
      </c>
      <c r="AO13" s="525">
        <f t="shared" si="46"/>
        <v>0</v>
      </c>
      <c r="AP13" s="525">
        <f t="shared" si="47"/>
        <v>0</v>
      </c>
      <c r="AQ13" s="525">
        <f t="shared" si="48"/>
        <v>0</v>
      </c>
      <c r="AR13" s="526">
        <f t="shared" si="49"/>
        <v>0</v>
      </c>
      <c r="AS13" s="526">
        <f t="shared" si="50"/>
        <v>0</v>
      </c>
      <c r="AT13" s="526">
        <f t="shared" si="51"/>
        <v>0</v>
      </c>
      <c r="AU13" s="526">
        <f t="shared" si="52"/>
        <v>0</v>
      </c>
      <c r="AV13" s="526">
        <f t="shared" si="53"/>
        <v>0</v>
      </c>
      <c r="AW13" s="525">
        <f t="shared" si="54"/>
        <v>0</v>
      </c>
      <c r="AX13" s="525">
        <f t="shared" si="55"/>
        <v>0</v>
      </c>
      <c r="AY13" s="525">
        <f t="shared" si="56"/>
        <v>7500</v>
      </c>
      <c r="AZ13" s="525">
        <f t="shared" si="57"/>
        <v>5000</v>
      </c>
      <c r="BA13" s="525"/>
      <c r="BB13" s="525">
        <f t="shared" si="5"/>
        <v>0</v>
      </c>
      <c r="BC13" s="525">
        <f t="shared" si="5"/>
        <v>0</v>
      </c>
      <c r="BD13" s="525">
        <f t="shared" si="5"/>
        <v>0</v>
      </c>
      <c r="BE13" s="525">
        <f t="shared" si="5"/>
        <v>0</v>
      </c>
      <c r="BF13" s="525">
        <v>0</v>
      </c>
      <c r="BG13" s="525">
        <v>0</v>
      </c>
      <c r="BH13" s="525">
        <f t="shared" si="11"/>
        <v>0</v>
      </c>
      <c r="BI13" s="522">
        <f t="shared" si="11"/>
        <v>0</v>
      </c>
      <c r="BJ13" s="525">
        <f t="shared" si="11"/>
        <v>0</v>
      </c>
      <c r="BK13" s="525">
        <f t="shared" si="11"/>
        <v>0</v>
      </c>
      <c r="BL13" s="525">
        <f t="shared" si="11"/>
        <v>0</v>
      </c>
      <c r="BM13" s="525">
        <f t="shared" si="11"/>
        <v>0</v>
      </c>
      <c r="BN13" s="525">
        <f t="shared" si="11"/>
        <v>0</v>
      </c>
      <c r="BO13" s="525">
        <f t="shared" si="11"/>
        <v>0</v>
      </c>
      <c r="BP13" s="525">
        <f t="shared" si="11"/>
        <v>0</v>
      </c>
      <c r="BQ13" s="525">
        <f t="shared" si="11"/>
        <v>0</v>
      </c>
      <c r="BR13" s="525">
        <f t="shared" si="6"/>
        <v>0</v>
      </c>
      <c r="BS13" s="526">
        <f t="shared" si="6"/>
        <v>0</v>
      </c>
      <c r="BT13" s="526">
        <f t="shared" si="6"/>
        <v>0</v>
      </c>
      <c r="BU13" s="525">
        <f t="shared" si="6"/>
        <v>12500</v>
      </c>
      <c r="BV13" s="525">
        <f t="shared" si="6"/>
        <v>0</v>
      </c>
      <c r="BW13" s="525">
        <f t="shared" si="6"/>
        <v>0</v>
      </c>
      <c r="BX13" s="515">
        <f t="shared" ref="BX13" si="84">SUM(AE13:AZ13)-SUM(BB13:BW13)</f>
        <v>0</v>
      </c>
      <c r="BY13" s="518">
        <f t="shared" si="8"/>
        <v>0</v>
      </c>
      <c r="BZ13" s="518">
        <f t="shared" si="9"/>
        <v>0</v>
      </c>
    </row>
    <row r="14" spans="1:78" s="519" customFormat="1" ht="15" customHeight="1">
      <c r="A14" s="507" t="s">
        <v>124</v>
      </c>
      <c r="B14" s="422"/>
      <c r="C14" s="508"/>
      <c r="D14" s="509"/>
      <c r="E14" s="510">
        <v>4984</v>
      </c>
      <c r="F14" s="511" t="s">
        <v>266</v>
      </c>
      <c r="G14" s="512"/>
      <c r="H14" s="512"/>
      <c r="I14" s="512"/>
      <c r="J14" s="512"/>
      <c r="K14" s="512"/>
      <c r="L14" s="512">
        <v>0</v>
      </c>
      <c r="M14" s="512">
        <v>0</v>
      </c>
      <c r="N14" s="512">
        <v>0</v>
      </c>
      <c r="O14" s="512">
        <v>0</v>
      </c>
      <c r="P14" s="512">
        <v>0</v>
      </c>
      <c r="Q14" s="512">
        <v>0</v>
      </c>
      <c r="R14" s="512">
        <v>0</v>
      </c>
      <c r="S14" s="512">
        <v>0</v>
      </c>
      <c r="T14" s="513">
        <v>0</v>
      </c>
      <c r="U14" s="513">
        <v>0</v>
      </c>
      <c r="V14" s="512">
        <v>0</v>
      </c>
      <c r="W14" s="512">
        <v>0</v>
      </c>
      <c r="X14" s="512"/>
      <c r="Y14" s="512"/>
      <c r="Z14" s="520">
        <v>0.16292134831460675</v>
      </c>
      <c r="AA14" s="512">
        <v>0.8370786516853933</v>
      </c>
      <c r="AB14" s="520">
        <v>0</v>
      </c>
      <c r="AC14" s="514">
        <f t="shared" ref="AC14" si="85">SUM(G14:AB14)</f>
        <v>1</v>
      </c>
      <c r="AD14" s="509"/>
      <c r="AE14" s="515">
        <f t="shared" ref="AE14" si="86">G14*$E14</f>
        <v>0</v>
      </c>
      <c r="AF14" s="515">
        <f t="shared" ref="AF14" si="87">H14*$E14</f>
        <v>0</v>
      </c>
      <c r="AG14" s="515">
        <f t="shared" ref="AG14" si="88">I14*$E14</f>
        <v>0</v>
      </c>
      <c r="AH14" s="515">
        <f t="shared" ref="AH14" si="89">J14*$E14</f>
        <v>0</v>
      </c>
      <c r="AI14" s="516">
        <f t="shared" ref="AI14" si="90">K14*$E14</f>
        <v>0</v>
      </c>
      <c r="AJ14" s="516">
        <f t="shared" ref="AJ14" si="91">L14*$E14</f>
        <v>0</v>
      </c>
      <c r="AK14" s="516">
        <f t="shared" ref="AK14" si="92">M14*$E14</f>
        <v>0</v>
      </c>
      <c r="AL14" s="516">
        <f t="shared" ref="AL14" si="93">N14*$E14</f>
        <v>0</v>
      </c>
      <c r="AM14" s="516">
        <f t="shared" ref="AM14" si="94">O14*$E14</f>
        <v>0</v>
      </c>
      <c r="AN14" s="516">
        <f t="shared" ref="AN14" si="95">P14*$E14</f>
        <v>0</v>
      </c>
      <c r="AO14" s="516">
        <f t="shared" ref="AO14" si="96">Q14*$E14</f>
        <v>0</v>
      </c>
      <c r="AP14" s="516">
        <f t="shared" ref="AP14" si="97">R14*$E14</f>
        <v>0</v>
      </c>
      <c r="AQ14" s="516">
        <f t="shared" ref="AQ14" si="98">S14*$E14</f>
        <v>0</v>
      </c>
      <c r="AR14" s="516">
        <f t="shared" ref="AR14" si="99">T14*$E14</f>
        <v>0</v>
      </c>
      <c r="AS14" s="516">
        <f t="shared" ref="AS14" si="100">U14*$E14</f>
        <v>0</v>
      </c>
      <c r="AT14" s="515">
        <f t="shared" ref="AT14" si="101">V14*$E14</f>
        <v>0</v>
      </c>
      <c r="AU14" s="516">
        <f t="shared" ref="AU14" si="102">W14*$E14</f>
        <v>0</v>
      </c>
      <c r="AV14" s="515">
        <f t="shared" ref="AV14" si="103">X14*$E14</f>
        <v>0</v>
      </c>
      <c r="AW14" s="516">
        <f t="shared" ref="AW14" si="104">Y14*$E14</f>
        <v>0</v>
      </c>
      <c r="AX14" s="516">
        <f t="shared" ref="AX14" si="105">Z14*$E14</f>
        <v>812</v>
      </c>
      <c r="AY14" s="516">
        <f t="shared" ref="AY14" si="106">AA14*$E14</f>
        <v>4172</v>
      </c>
      <c r="AZ14" s="516">
        <f t="shared" ref="AZ14" si="107">AB14*$E14</f>
        <v>0</v>
      </c>
      <c r="BA14" s="515"/>
      <c r="BB14" s="515">
        <f t="shared" si="5"/>
        <v>0</v>
      </c>
      <c r="BC14" s="515">
        <f t="shared" si="5"/>
        <v>0</v>
      </c>
      <c r="BD14" s="515">
        <f t="shared" si="11"/>
        <v>0</v>
      </c>
      <c r="BE14" s="515">
        <f t="shared" si="11"/>
        <v>0</v>
      </c>
      <c r="BF14" s="515">
        <f t="shared" si="11"/>
        <v>0</v>
      </c>
      <c r="BG14" s="515">
        <f t="shared" si="11"/>
        <v>0</v>
      </c>
      <c r="BH14" s="515">
        <f t="shared" si="11"/>
        <v>0</v>
      </c>
      <c r="BI14" s="515">
        <f t="shared" si="11"/>
        <v>0</v>
      </c>
      <c r="BJ14" s="515">
        <f t="shared" si="11"/>
        <v>0</v>
      </c>
      <c r="BK14" s="515">
        <f t="shared" si="11"/>
        <v>0</v>
      </c>
      <c r="BL14" s="515">
        <f t="shared" si="11"/>
        <v>0</v>
      </c>
      <c r="BM14" s="515">
        <f t="shared" si="11"/>
        <v>0</v>
      </c>
      <c r="BN14" s="515">
        <f t="shared" si="11"/>
        <v>0</v>
      </c>
      <c r="BO14" s="515">
        <f t="shared" si="11"/>
        <v>0</v>
      </c>
      <c r="BP14" s="515">
        <f t="shared" si="11"/>
        <v>0</v>
      </c>
      <c r="BQ14" s="515">
        <f t="shared" si="11"/>
        <v>0</v>
      </c>
      <c r="BR14" s="515">
        <f t="shared" si="6"/>
        <v>0</v>
      </c>
      <c r="BS14" s="517">
        <f t="shared" si="6"/>
        <v>0</v>
      </c>
      <c r="BT14" s="517">
        <f t="shared" si="6"/>
        <v>0</v>
      </c>
      <c r="BU14" s="517">
        <f t="shared" si="6"/>
        <v>4984</v>
      </c>
      <c r="BV14" s="515">
        <f t="shared" si="6"/>
        <v>0</v>
      </c>
      <c r="BW14" s="515">
        <f t="shared" si="6"/>
        <v>0</v>
      </c>
      <c r="BX14" s="515">
        <f t="shared" ref="BX14" si="108">SUM(AE14:AZ14)-SUM(BB14:BW14)</f>
        <v>0</v>
      </c>
      <c r="BY14" s="518">
        <f t="shared" ref="BY14" si="109">E14-SUM(BB14:BW14)</f>
        <v>0</v>
      </c>
      <c r="BZ14" s="518">
        <f t="shared" ref="BZ14" si="110">+E14-SUM(AE14:AZ14)</f>
        <v>0</v>
      </c>
    </row>
    <row r="15" spans="1:78" s="519" customFormat="1" ht="15" customHeight="1">
      <c r="A15" s="507" t="s">
        <v>124</v>
      </c>
      <c r="B15" s="422"/>
      <c r="C15" s="508"/>
      <c r="D15" s="509"/>
      <c r="E15" s="510">
        <v>4980</v>
      </c>
      <c r="F15" s="511" t="s">
        <v>266</v>
      </c>
      <c r="G15" s="512"/>
      <c r="H15" s="512"/>
      <c r="I15" s="512"/>
      <c r="J15" s="512"/>
      <c r="K15" s="512"/>
      <c r="L15" s="512">
        <v>0</v>
      </c>
      <c r="M15" s="512">
        <v>0</v>
      </c>
      <c r="N15" s="512">
        <v>0</v>
      </c>
      <c r="O15" s="512">
        <v>0</v>
      </c>
      <c r="P15" s="512">
        <v>0</v>
      </c>
      <c r="Q15" s="512">
        <v>0</v>
      </c>
      <c r="R15" s="512">
        <v>0</v>
      </c>
      <c r="S15" s="512">
        <v>0</v>
      </c>
      <c r="T15" s="513">
        <v>0</v>
      </c>
      <c r="U15" s="513">
        <v>0</v>
      </c>
      <c r="V15" s="512">
        <v>0</v>
      </c>
      <c r="W15" s="512">
        <v>0</v>
      </c>
      <c r="X15" s="512"/>
      <c r="Y15" s="512"/>
      <c r="Z15" s="520">
        <v>0</v>
      </c>
      <c r="AA15" s="512">
        <v>0.80321285140562249</v>
      </c>
      <c r="AB15" s="520">
        <v>0.19678714859437751</v>
      </c>
      <c r="AC15" s="514">
        <f t="shared" ref="AC15" si="111">SUM(G15:AB15)</f>
        <v>1</v>
      </c>
      <c r="AD15" s="509"/>
      <c r="AE15" s="515">
        <f t="shared" ref="AE15" si="112">G15*$E15</f>
        <v>0</v>
      </c>
      <c r="AF15" s="515">
        <f t="shared" ref="AF15" si="113">H15*$E15</f>
        <v>0</v>
      </c>
      <c r="AG15" s="515">
        <f t="shared" ref="AG15" si="114">I15*$E15</f>
        <v>0</v>
      </c>
      <c r="AH15" s="515">
        <f t="shared" ref="AH15" si="115">J15*$E15</f>
        <v>0</v>
      </c>
      <c r="AI15" s="516">
        <f t="shared" ref="AI15" si="116">K15*$E15</f>
        <v>0</v>
      </c>
      <c r="AJ15" s="516">
        <f t="shared" ref="AJ15" si="117">L15*$E15</f>
        <v>0</v>
      </c>
      <c r="AK15" s="516">
        <f t="shared" ref="AK15" si="118">M15*$E15</f>
        <v>0</v>
      </c>
      <c r="AL15" s="516">
        <f t="shared" ref="AL15" si="119">N15*$E15</f>
        <v>0</v>
      </c>
      <c r="AM15" s="516">
        <f t="shared" ref="AM15" si="120">O15*$E15</f>
        <v>0</v>
      </c>
      <c r="AN15" s="516">
        <f t="shared" ref="AN15" si="121">P15*$E15</f>
        <v>0</v>
      </c>
      <c r="AO15" s="516">
        <f t="shared" ref="AO15" si="122">Q15*$E15</f>
        <v>0</v>
      </c>
      <c r="AP15" s="516">
        <f t="shared" ref="AP15" si="123">R15*$E15</f>
        <v>0</v>
      </c>
      <c r="AQ15" s="516">
        <f t="shared" ref="AQ15" si="124">S15*$E15</f>
        <v>0</v>
      </c>
      <c r="AR15" s="516">
        <f t="shared" ref="AR15" si="125">T15*$E15</f>
        <v>0</v>
      </c>
      <c r="AS15" s="516">
        <f t="shared" ref="AS15" si="126">U15*$E15</f>
        <v>0</v>
      </c>
      <c r="AT15" s="515">
        <f t="shared" ref="AT15" si="127">V15*$E15</f>
        <v>0</v>
      </c>
      <c r="AU15" s="516">
        <f t="shared" ref="AU15" si="128">W15*$E15</f>
        <v>0</v>
      </c>
      <c r="AV15" s="515">
        <f t="shared" ref="AV15" si="129">X15*$E15</f>
        <v>0</v>
      </c>
      <c r="AW15" s="516">
        <f t="shared" ref="AW15" si="130">Y15*$E15</f>
        <v>0</v>
      </c>
      <c r="AX15" s="516">
        <f t="shared" ref="AX15" si="131">Z15*$E15</f>
        <v>0</v>
      </c>
      <c r="AY15" s="516">
        <f t="shared" ref="AY15" si="132">AA15*$E15</f>
        <v>4000</v>
      </c>
      <c r="AZ15" s="516">
        <f t="shared" ref="AZ15" si="133">AB15*$E15</f>
        <v>980</v>
      </c>
      <c r="BA15" s="515"/>
      <c r="BB15" s="515">
        <f t="shared" ref="BB15:BC16" si="134">IF(BB$3=$F15,$E15,0)</f>
        <v>0</v>
      </c>
      <c r="BC15" s="515">
        <f t="shared" si="134"/>
        <v>0</v>
      </c>
      <c r="BD15" s="515">
        <f t="shared" si="11"/>
        <v>0</v>
      </c>
      <c r="BE15" s="515">
        <f t="shared" si="11"/>
        <v>0</v>
      </c>
      <c r="BF15" s="515">
        <f t="shared" si="11"/>
        <v>0</v>
      </c>
      <c r="BG15" s="515">
        <f t="shared" si="11"/>
        <v>0</v>
      </c>
      <c r="BH15" s="515">
        <f t="shared" si="11"/>
        <v>0</v>
      </c>
      <c r="BI15" s="515">
        <f t="shared" si="11"/>
        <v>0</v>
      </c>
      <c r="BJ15" s="515">
        <f t="shared" si="11"/>
        <v>0</v>
      </c>
      <c r="BK15" s="515">
        <f t="shared" si="11"/>
        <v>0</v>
      </c>
      <c r="BL15" s="515">
        <f t="shared" si="11"/>
        <v>0</v>
      </c>
      <c r="BM15" s="515">
        <f t="shared" si="11"/>
        <v>0</v>
      </c>
      <c r="BN15" s="515">
        <f t="shared" si="11"/>
        <v>0</v>
      </c>
      <c r="BO15" s="515">
        <f t="shared" si="11"/>
        <v>0</v>
      </c>
      <c r="BP15" s="515">
        <f t="shared" si="11"/>
        <v>0</v>
      </c>
      <c r="BQ15" s="515">
        <f t="shared" si="11"/>
        <v>0</v>
      </c>
      <c r="BR15" s="515">
        <f t="shared" si="6"/>
        <v>0</v>
      </c>
      <c r="BS15" s="517">
        <f t="shared" si="6"/>
        <v>0</v>
      </c>
      <c r="BT15" s="517">
        <f t="shared" si="6"/>
        <v>0</v>
      </c>
      <c r="BU15" s="517">
        <f t="shared" si="6"/>
        <v>4980</v>
      </c>
      <c r="BV15" s="515">
        <f t="shared" si="6"/>
        <v>0</v>
      </c>
      <c r="BW15" s="515">
        <f t="shared" si="6"/>
        <v>0</v>
      </c>
      <c r="BX15" s="515">
        <f t="shared" ref="BX15" si="135">SUM(AE15:AZ15)-SUM(BB15:BW15)</f>
        <v>0</v>
      </c>
      <c r="BY15" s="518">
        <f t="shared" ref="BY15" si="136">E15-SUM(BB15:BW15)</f>
        <v>0</v>
      </c>
      <c r="BZ15" s="518">
        <f t="shared" ref="BZ15" si="137">+E15-SUM(AE15:AZ15)</f>
        <v>0</v>
      </c>
    </row>
    <row r="16" spans="1:78" s="519" customFormat="1" ht="15" customHeight="1">
      <c r="A16" s="507" t="s">
        <v>124</v>
      </c>
      <c r="B16" s="422"/>
      <c r="C16" s="508"/>
      <c r="D16" s="509"/>
      <c r="E16" s="510">
        <v>3460</v>
      </c>
      <c r="F16" s="511" t="s">
        <v>266</v>
      </c>
      <c r="G16" s="512"/>
      <c r="H16" s="512"/>
      <c r="I16" s="512"/>
      <c r="J16" s="512"/>
      <c r="K16" s="512"/>
      <c r="L16" s="512">
        <v>0</v>
      </c>
      <c r="M16" s="512">
        <v>0</v>
      </c>
      <c r="N16" s="512">
        <v>0</v>
      </c>
      <c r="O16" s="512">
        <v>0</v>
      </c>
      <c r="P16" s="512">
        <v>0</v>
      </c>
      <c r="Q16" s="512">
        <v>0</v>
      </c>
      <c r="R16" s="512">
        <v>0</v>
      </c>
      <c r="S16" s="512">
        <v>0</v>
      </c>
      <c r="T16" s="513">
        <v>0</v>
      </c>
      <c r="U16" s="513">
        <v>0</v>
      </c>
      <c r="V16" s="512">
        <v>0</v>
      </c>
      <c r="W16" s="512">
        <v>0</v>
      </c>
      <c r="X16" s="512"/>
      <c r="Y16" s="512"/>
      <c r="Z16" s="520">
        <v>0</v>
      </c>
      <c r="AA16" s="512">
        <v>1</v>
      </c>
      <c r="AB16" s="520">
        <v>0</v>
      </c>
      <c r="AC16" s="514">
        <f t="shared" ref="AC16" si="138">SUM(G16:AB16)</f>
        <v>1</v>
      </c>
      <c r="AD16" s="509"/>
      <c r="AE16" s="515">
        <f t="shared" ref="AE16" si="139">G16*$E16</f>
        <v>0</v>
      </c>
      <c r="AF16" s="515">
        <f t="shared" ref="AF16" si="140">H16*$E16</f>
        <v>0</v>
      </c>
      <c r="AG16" s="515">
        <f t="shared" ref="AG16" si="141">I16*$E16</f>
        <v>0</v>
      </c>
      <c r="AH16" s="515">
        <f t="shared" ref="AH16" si="142">J16*$E16</f>
        <v>0</v>
      </c>
      <c r="AI16" s="516">
        <f t="shared" ref="AI16" si="143">K16*$E16</f>
        <v>0</v>
      </c>
      <c r="AJ16" s="516">
        <f t="shared" ref="AJ16" si="144">L16*$E16</f>
        <v>0</v>
      </c>
      <c r="AK16" s="516">
        <f t="shared" ref="AK16" si="145">M16*$E16</f>
        <v>0</v>
      </c>
      <c r="AL16" s="516">
        <f t="shared" ref="AL16" si="146">N16*$E16</f>
        <v>0</v>
      </c>
      <c r="AM16" s="516">
        <f t="shared" ref="AM16" si="147">O16*$E16</f>
        <v>0</v>
      </c>
      <c r="AN16" s="516">
        <f t="shared" ref="AN16" si="148">P16*$E16</f>
        <v>0</v>
      </c>
      <c r="AO16" s="516">
        <f t="shared" ref="AO16" si="149">Q16*$E16</f>
        <v>0</v>
      </c>
      <c r="AP16" s="516">
        <f t="shared" ref="AP16" si="150">R16*$E16</f>
        <v>0</v>
      </c>
      <c r="AQ16" s="516">
        <f t="shared" ref="AQ16" si="151">S16*$E16</f>
        <v>0</v>
      </c>
      <c r="AR16" s="516">
        <f t="shared" ref="AR16" si="152">T16*$E16</f>
        <v>0</v>
      </c>
      <c r="AS16" s="516">
        <f t="shared" ref="AS16" si="153">U16*$E16</f>
        <v>0</v>
      </c>
      <c r="AT16" s="515">
        <f t="shared" ref="AT16" si="154">V16*$E16</f>
        <v>0</v>
      </c>
      <c r="AU16" s="516">
        <f t="shared" ref="AU16" si="155">W16*$E16</f>
        <v>0</v>
      </c>
      <c r="AV16" s="515">
        <f t="shared" ref="AV16" si="156">X16*$E16</f>
        <v>0</v>
      </c>
      <c r="AW16" s="516">
        <f t="shared" ref="AW16" si="157">Y16*$E16</f>
        <v>0</v>
      </c>
      <c r="AX16" s="516">
        <f t="shared" ref="AX16" si="158">Z16*$E16</f>
        <v>0</v>
      </c>
      <c r="AY16" s="516">
        <f t="shared" ref="AY16" si="159">AA16*$E16</f>
        <v>3460</v>
      </c>
      <c r="AZ16" s="516">
        <f t="shared" ref="AZ16" si="160">AB16*$E16</f>
        <v>0</v>
      </c>
      <c r="BA16" s="515"/>
      <c r="BB16" s="515">
        <f t="shared" si="134"/>
        <v>0</v>
      </c>
      <c r="BC16" s="515">
        <f t="shared" si="134"/>
        <v>0</v>
      </c>
      <c r="BD16" s="515">
        <f t="shared" si="11"/>
        <v>0</v>
      </c>
      <c r="BE16" s="515">
        <f t="shared" si="11"/>
        <v>0</v>
      </c>
      <c r="BF16" s="515">
        <f t="shared" si="11"/>
        <v>0</v>
      </c>
      <c r="BG16" s="515">
        <f t="shared" si="11"/>
        <v>0</v>
      </c>
      <c r="BH16" s="515">
        <f t="shared" si="11"/>
        <v>0</v>
      </c>
      <c r="BI16" s="515">
        <f t="shared" si="11"/>
        <v>0</v>
      </c>
      <c r="BJ16" s="515">
        <f t="shared" si="11"/>
        <v>0</v>
      </c>
      <c r="BK16" s="515">
        <f t="shared" si="11"/>
        <v>0</v>
      </c>
      <c r="BL16" s="515">
        <f t="shared" si="11"/>
        <v>0</v>
      </c>
      <c r="BM16" s="515">
        <f t="shared" si="11"/>
        <v>0</v>
      </c>
      <c r="BN16" s="515">
        <f t="shared" si="11"/>
        <v>0</v>
      </c>
      <c r="BO16" s="515">
        <f t="shared" si="11"/>
        <v>0</v>
      </c>
      <c r="BP16" s="515">
        <f t="shared" si="11"/>
        <v>0</v>
      </c>
      <c r="BQ16" s="515">
        <f t="shared" si="11"/>
        <v>0</v>
      </c>
      <c r="BR16" s="515">
        <f t="shared" si="6"/>
        <v>0</v>
      </c>
      <c r="BS16" s="517">
        <f t="shared" si="6"/>
        <v>0</v>
      </c>
      <c r="BT16" s="517">
        <f t="shared" si="6"/>
        <v>0</v>
      </c>
      <c r="BU16" s="517">
        <f t="shared" si="6"/>
        <v>3460</v>
      </c>
      <c r="BV16" s="515">
        <f t="shared" si="6"/>
        <v>0</v>
      </c>
      <c r="BW16" s="515">
        <f t="shared" si="6"/>
        <v>0</v>
      </c>
      <c r="BX16" s="515">
        <f t="shared" ref="BX16" si="161">SUM(AE16:AZ16)-SUM(BB16:BW16)</f>
        <v>0</v>
      </c>
      <c r="BY16" s="518">
        <f t="shared" ref="BY16" si="162">E16-SUM(BB16:BW16)</f>
        <v>0</v>
      </c>
      <c r="BZ16" s="518">
        <f t="shared" ref="BZ16" si="163">+E16-SUM(AE16:AZ16)</f>
        <v>0</v>
      </c>
    </row>
    <row r="17" spans="1:82" s="234" customFormat="1" ht="15" customHeight="1">
      <c r="A17" s="421" t="s">
        <v>124</v>
      </c>
      <c r="B17" s="422"/>
      <c r="C17" s="422"/>
      <c r="D17" s="423"/>
      <c r="E17" s="424">
        <v>529.46</v>
      </c>
      <c r="F17" s="425" t="s">
        <v>209</v>
      </c>
      <c r="G17" s="385"/>
      <c r="H17" s="385"/>
      <c r="I17" s="385"/>
      <c r="J17" s="385"/>
      <c r="K17" s="385">
        <v>0</v>
      </c>
      <c r="L17" s="385">
        <v>0</v>
      </c>
      <c r="M17" s="385">
        <v>0</v>
      </c>
      <c r="N17" s="385">
        <v>1</v>
      </c>
      <c r="O17" s="385">
        <v>0</v>
      </c>
      <c r="P17" s="385"/>
      <c r="Q17" s="385"/>
      <c r="R17" s="385"/>
      <c r="S17" s="385"/>
      <c r="T17" s="385"/>
      <c r="U17" s="385"/>
      <c r="V17" s="385"/>
      <c r="W17" s="385"/>
      <c r="X17" s="385"/>
      <c r="Y17" s="385"/>
      <c r="Z17" s="385"/>
      <c r="AA17" s="385"/>
      <c r="AB17" s="385"/>
      <c r="AC17" s="426">
        <f t="shared" si="10"/>
        <v>1</v>
      </c>
      <c r="AD17" s="423"/>
      <c r="AE17" s="351">
        <f t="shared" si="12"/>
        <v>0</v>
      </c>
      <c r="AF17" s="351">
        <f t="shared" si="12"/>
        <v>0</v>
      </c>
      <c r="AG17" s="351">
        <f t="shared" si="12"/>
        <v>0</v>
      </c>
      <c r="AH17" s="351">
        <f t="shared" si="12"/>
        <v>0</v>
      </c>
      <c r="AI17" s="351">
        <f t="shared" si="12"/>
        <v>0</v>
      </c>
      <c r="AJ17" s="351">
        <f>L17*$E17</f>
        <v>0</v>
      </c>
      <c r="AK17" s="351">
        <f t="shared" si="13"/>
        <v>0</v>
      </c>
      <c r="AL17" s="351">
        <f t="shared" si="13"/>
        <v>529.46</v>
      </c>
      <c r="AM17" s="351">
        <f t="shared" si="13"/>
        <v>0</v>
      </c>
      <c r="AN17" s="351">
        <f t="shared" si="13"/>
        <v>0</v>
      </c>
      <c r="AO17" s="351">
        <f t="shared" si="13"/>
        <v>0</v>
      </c>
      <c r="AP17" s="351">
        <f t="shared" si="13"/>
        <v>0</v>
      </c>
      <c r="AQ17" s="351">
        <f t="shared" si="13"/>
        <v>0</v>
      </c>
      <c r="AR17" s="406">
        <f t="shared" si="13"/>
        <v>0</v>
      </c>
      <c r="AS17" s="406">
        <f t="shared" si="13"/>
        <v>0</v>
      </c>
      <c r="AT17" s="406">
        <f t="shared" si="13"/>
        <v>0</v>
      </c>
      <c r="AU17" s="406">
        <f t="shared" si="13"/>
        <v>0</v>
      </c>
      <c r="AV17" s="406">
        <f t="shared" si="13"/>
        <v>0</v>
      </c>
      <c r="AW17" s="351">
        <f t="shared" si="13"/>
        <v>0</v>
      </c>
      <c r="AX17" s="351">
        <f t="shared" si="2"/>
        <v>0</v>
      </c>
      <c r="AY17" s="351">
        <f t="shared" si="3"/>
        <v>0</v>
      </c>
      <c r="AZ17" s="351">
        <f t="shared" si="4"/>
        <v>0</v>
      </c>
      <c r="BA17" s="351"/>
      <c r="BB17" s="351">
        <f t="shared" si="5"/>
        <v>0</v>
      </c>
      <c r="BC17" s="351">
        <f t="shared" si="5"/>
        <v>0</v>
      </c>
      <c r="BD17" s="351">
        <f t="shared" si="5"/>
        <v>0</v>
      </c>
      <c r="BE17" s="351">
        <f t="shared" si="5"/>
        <v>0</v>
      </c>
      <c r="BF17" s="351">
        <v>0</v>
      </c>
      <c r="BG17" s="351">
        <v>0</v>
      </c>
      <c r="BH17" s="351">
        <f t="shared" si="5"/>
        <v>0</v>
      </c>
      <c r="BI17" s="351">
        <f t="shared" si="5"/>
        <v>529.46</v>
      </c>
      <c r="BJ17" s="351">
        <f t="shared" si="5"/>
        <v>0</v>
      </c>
      <c r="BK17" s="351">
        <f t="shared" si="5"/>
        <v>0</v>
      </c>
      <c r="BL17" s="351">
        <f t="shared" si="5"/>
        <v>0</v>
      </c>
      <c r="BM17" s="351">
        <f t="shared" si="5"/>
        <v>0</v>
      </c>
      <c r="BN17" s="351">
        <f t="shared" si="5"/>
        <v>0</v>
      </c>
      <c r="BO17" s="351">
        <f t="shared" si="5"/>
        <v>0</v>
      </c>
      <c r="BP17" s="351">
        <f t="shared" si="5"/>
        <v>0</v>
      </c>
      <c r="BQ17" s="351">
        <f t="shared" si="5"/>
        <v>0</v>
      </c>
      <c r="BR17" s="351">
        <f t="shared" si="6"/>
        <v>0</v>
      </c>
      <c r="BS17" s="406">
        <f t="shared" si="6"/>
        <v>0</v>
      </c>
      <c r="BT17" s="406">
        <f t="shared" si="6"/>
        <v>0</v>
      </c>
      <c r="BU17" s="351">
        <f t="shared" si="6"/>
        <v>0</v>
      </c>
      <c r="BV17" s="351">
        <f t="shared" si="6"/>
        <v>0</v>
      </c>
      <c r="BW17" s="351">
        <f t="shared" si="6"/>
        <v>0</v>
      </c>
      <c r="BX17" s="351">
        <f t="shared" si="7"/>
        <v>0</v>
      </c>
      <c r="BY17" s="378">
        <f t="shared" si="8"/>
        <v>0</v>
      </c>
      <c r="BZ17" s="378">
        <f t="shared" si="9"/>
        <v>0</v>
      </c>
    </row>
    <row r="18" spans="1:82" s="234" customFormat="1" ht="15" customHeight="1">
      <c r="A18" s="422" t="s">
        <v>125</v>
      </c>
      <c r="B18" s="422"/>
      <c r="C18" s="422"/>
      <c r="D18" s="423"/>
      <c r="E18" s="427">
        <v>2329506.84</v>
      </c>
      <c r="F18" s="430" t="s">
        <v>163</v>
      </c>
      <c r="G18" s="385">
        <v>0</v>
      </c>
      <c r="H18" s="385">
        <v>0</v>
      </c>
      <c r="I18" s="385">
        <v>0</v>
      </c>
      <c r="J18" s="385">
        <v>0</v>
      </c>
      <c r="K18" s="385">
        <v>0</v>
      </c>
      <c r="L18" s="385">
        <v>0</v>
      </c>
      <c r="M18" s="426">
        <v>5.9999999828289845E-2</v>
      </c>
      <c r="N18" s="385">
        <v>2.0000001373681308E-2</v>
      </c>
      <c r="O18" s="385">
        <v>8.0000001201971149E-2</v>
      </c>
      <c r="P18" s="385">
        <v>0.11000000755524721</v>
      </c>
      <c r="Q18" s="385">
        <v>0.140000001030261</v>
      </c>
      <c r="R18" s="385">
        <v>0</v>
      </c>
      <c r="S18" s="385">
        <v>0.13000000463617442</v>
      </c>
      <c r="T18" s="385">
        <v>0.10000000257565246</v>
      </c>
      <c r="U18" s="385">
        <v>0.10000000257565246</v>
      </c>
      <c r="V18" s="385">
        <v>8.0000001201971149E-2</v>
      </c>
      <c r="W18" s="385">
        <v>7.9999979738200735E-2</v>
      </c>
      <c r="X18" s="385">
        <v>9.9999998282898364E-2</v>
      </c>
      <c r="Y18" s="385">
        <v>0</v>
      </c>
      <c r="Z18" s="385"/>
      <c r="AA18" s="385"/>
      <c r="AB18" s="385"/>
      <c r="AC18" s="426">
        <f t="shared" si="10"/>
        <v>1</v>
      </c>
      <c r="AD18" s="423"/>
      <c r="AE18" s="406">
        <f t="shared" si="12"/>
        <v>0</v>
      </c>
      <c r="AF18" s="406">
        <f t="shared" si="12"/>
        <v>0</v>
      </c>
      <c r="AG18" s="406">
        <f t="shared" si="12"/>
        <v>0</v>
      </c>
      <c r="AH18" s="406">
        <f t="shared" si="12"/>
        <v>0</v>
      </c>
      <c r="AI18" s="406">
        <f t="shared" si="12"/>
        <v>0</v>
      </c>
      <c r="AJ18" s="406">
        <f>L18*$E18</f>
        <v>0</v>
      </c>
      <c r="AK18" s="431">
        <f t="shared" si="13"/>
        <v>139770.41</v>
      </c>
      <c r="AL18" s="431">
        <f t="shared" si="13"/>
        <v>46590.14</v>
      </c>
      <c r="AM18" s="431">
        <f t="shared" si="13"/>
        <v>186360.55</v>
      </c>
      <c r="AN18" s="431">
        <f t="shared" si="13"/>
        <v>256245.77000000002</v>
      </c>
      <c r="AO18" s="431">
        <f t="shared" si="13"/>
        <v>326130.96000000002</v>
      </c>
      <c r="AP18" s="431">
        <f t="shared" si="13"/>
        <v>0</v>
      </c>
      <c r="AQ18" s="431">
        <f t="shared" si="13"/>
        <v>302835.90000000002</v>
      </c>
      <c r="AR18" s="431">
        <f t="shared" si="13"/>
        <v>232950.69</v>
      </c>
      <c r="AS18" s="431">
        <f t="shared" si="13"/>
        <v>232950.69</v>
      </c>
      <c r="AT18" s="431">
        <f t="shared" si="13"/>
        <v>186360.55</v>
      </c>
      <c r="AU18" s="431">
        <f t="shared" si="13"/>
        <v>186360.5</v>
      </c>
      <c r="AV18" s="431">
        <f t="shared" si="13"/>
        <v>232950.68</v>
      </c>
      <c r="AW18" s="406">
        <f t="shared" si="13"/>
        <v>0</v>
      </c>
      <c r="AX18" s="406">
        <f t="shared" si="2"/>
        <v>0</v>
      </c>
      <c r="AY18" s="406">
        <f t="shared" si="3"/>
        <v>0</v>
      </c>
      <c r="AZ18" s="406">
        <f t="shared" si="4"/>
        <v>0</v>
      </c>
      <c r="BA18" s="351"/>
      <c r="BB18" s="351">
        <f t="shared" si="5"/>
        <v>0</v>
      </c>
      <c r="BC18" s="351">
        <f t="shared" si="5"/>
        <v>0</v>
      </c>
      <c r="BD18" s="351">
        <f t="shared" si="5"/>
        <v>0</v>
      </c>
      <c r="BE18" s="351">
        <f t="shared" si="5"/>
        <v>0</v>
      </c>
      <c r="BF18" s="351">
        <f t="shared" si="5"/>
        <v>0</v>
      </c>
      <c r="BG18" s="406">
        <f t="shared" si="5"/>
        <v>2329506.84</v>
      </c>
      <c r="BH18" s="351">
        <f t="shared" si="5"/>
        <v>0</v>
      </c>
      <c r="BI18" s="351">
        <f t="shared" si="5"/>
        <v>0</v>
      </c>
      <c r="BJ18" s="351">
        <f t="shared" si="5"/>
        <v>0</v>
      </c>
      <c r="BK18" s="351">
        <f t="shared" si="5"/>
        <v>0</v>
      </c>
      <c r="BL18" s="351">
        <f t="shared" si="5"/>
        <v>0</v>
      </c>
      <c r="BM18" s="351">
        <f t="shared" si="5"/>
        <v>0</v>
      </c>
      <c r="BN18" s="351">
        <f t="shared" si="5"/>
        <v>0</v>
      </c>
      <c r="BO18" s="351">
        <f t="shared" si="5"/>
        <v>0</v>
      </c>
      <c r="BP18" s="351">
        <f t="shared" si="5"/>
        <v>0</v>
      </c>
      <c r="BQ18" s="351">
        <f t="shared" si="5"/>
        <v>0</v>
      </c>
      <c r="BR18" s="351">
        <f t="shared" si="6"/>
        <v>0</v>
      </c>
      <c r="BS18" s="406">
        <f t="shared" si="6"/>
        <v>0</v>
      </c>
      <c r="BT18" s="406">
        <f t="shared" si="6"/>
        <v>0</v>
      </c>
      <c r="BU18" s="351">
        <f t="shared" si="6"/>
        <v>0</v>
      </c>
      <c r="BV18" s="351">
        <f t="shared" si="6"/>
        <v>0</v>
      </c>
      <c r="BW18" s="351">
        <f t="shared" si="6"/>
        <v>0</v>
      </c>
      <c r="BX18" s="351">
        <f t="shared" si="7"/>
        <v>0</v>
      </c>
      <c r="BY18" s="378">
        <f t="shared" si="8"/>
        <v>0</v>
      </c>
      <c r="BZ18" s="378">
        <f t="shared" si="9"/>
        <v>0</v>
      </c>
    </row>
    <row r="19" spans="1:82" s="234" customFormat="1" ht="15" customHeight="1">
      <c r="A19" s="234" t="s">
        <v>125</v>
      </c>
      <c r="D19" s="328"/>
      <c r="E19" s="386">
        <v>1200000</v>
      </c>
      <c r="F19" s="403" t="s">
        <v>230</v>
      </c>
      <c r="G19" s="388"/>
      <c r="H19" s="388"/>
      <c r="I19" s="388"/>
      <c r="J19" s="388"/>
      <c r="K19" s="388"/>
      <c r="L19" s="329"/>
      <c r="M19" s="329"/>
      <c r="N19" s="329"/>
      <c r="O19" s="329"/>
      <c r="P19" s="329">
        <v>0.1</v>
      </c>
      <c r="Q19" s="329">
        <v>0.04</v>
      </c>
      <c r="R19" s="329">
        <v>0.14000000000000001</v>
      </c>
      <c r="S19" s="329">
        <v>0.1</v>
      </c>
      <c r="T19" s="329">
        <v>0.2</v>
      </c>
      <c r="U19" s="329">
        <v>0.15</v>
      </c>
      <c r="V19" s="329">
        <v>0.05</v>
      </c>
      <c r="W19" s="389">
        <v>0.04</v>
      </c>
      <c r="X19" s="329">
        <v>0.18</v>
      </c>
      <c r="Y19" s="329"/>
      <c r="Z19" s="329"/>
      <c r="AA19" s="329"/>
      <c r="AB19" s="329"/>
      <c r="AC19" s="426">
        <f t="shared" si="10"/>
        <v>1.0000000000000002</v>
      </c>
      <c r="AD19" s="328"/>
      <c r="AE19" s="326">
        <f t="shared" si="12"/>
        <v>0</v>
      </c>
      <c r="AF19" s="326">
        <f t="shared" si="12"/>
        <v>0</v>
      </c>
      <c r="AG19" s="326">
        <f t="shared" si="12"/>
        <v>0</v>
      </c>
      <c r="AH19" s="326">
        <f t="shared" si="12"/>
        <v>0</v>
      </c>
      <c r="AI19" s="326">
        <f t="shared" si="12"/>
        <v>0</v>
      </c>
      <c r="AJ19" s="326">
        <f>L19*$E19</f>
        <v>0</v>
      </c>
      <c r="AK19" s="326">
        <f t="shared" si="13"/>
        <v>0</v>
      </c>
      <c r="AL19" s="326">
        <f t="shared" si="13"/>
        <v>0</v>
      </c>
      <c r="AM19" s="326">
        <f t="shared" si="13"/>
        <v>0</v>
      </c>
      <c r="AN19" s="326">
        <f t="shared" si="13"/>
        <v>120000</v>
      </c>
      <c r="AO19" s="326">
        <f t="shared" si="13"/>
        <v>48000</v>
      </c>
      <c r="AP19" s="326">
        <f t="shared" si="13"/>
        <v>168000.00000000003</v>
      </c>
      <c r="AQ19" s="326">
        <f t="shared" si="13"/>
        <v>120000</v>
      </c>
      <c r="AR19" s="326">
        <f t="shared" si="13"/>
        <v>240000</v>
      </c>
      <c r="AS19" s="326">
        <f t="shared" si="13"/>
        <v>180000</v>
      </c>
      <c r="AT19" s="326">
        <f t="shared" si="13"/>
        <v>60000</v>
      </c>
      <c r="AU19" s="326">
        <f t="shared" si="13"/>
        <v>48000</v>
      </c>
      <c r="AV19" s="326">
        <f t="shared" si="13"/>
        <v>216000</v>
      </c>
      <c r="AW19" s="326">
        <f t="shared" si="13"/>
        <v>0</v>
      </c>
      <c r="AX19" s="326">
        <f t="shared" si="2"/>
        <v>0</v>
      </c>
      <c r="AY19" s="326">
        <f t="shared" si="3"/>
        <v>0</v>
      </c>
      <c r="AZ19" s="326">
        <f t="shared" si="4"/>
        <v>0</v>
      </c>
      <c r="BA19" s="330"/>
      <c r="BB19" s="330">
        <f t="shared" si="5"/>
        <v>0</v>
      </c>
      <c r="BC19" s="330">
        <f t="shared" si="5"/>
        <v>0</v>
      </c>
      <c r="BD19" s="330">
        <f t="shared" si="5"/>
        <v>0</v>
      </c>
      <c r="BE19" s="330">
        <f t="shared" si="5"/>
        <v>0</v>
      </c>
      <c r="BF19" s="330">
        <f t="shared" si="5"/>
        <v>0</v>
      </c>
      <c r="BG19" s="330">
        <f t="shared" si="5"/>
        <v>0</v>
      </c>
      <c r="BH19" s="330">
        <f t="shared" si="5"/>
        <v>0</v>
      </c>
      <c r="BI19" s="330">
        <f t="shared" si="5"/>
        <v>0</v>
      </c>
      <c r="BJ19" s="330">
        <f t="shared" si="5"/>
        <v>1200000</v>
      </c>
      <c r="BK19" s="330">
        <f t="shared" si="5"/>
        <v>0</v>
      </c>
      <c r="BL19" s="330">
        <f t="shared" si="5"/>
        <v>0</v>
      </c>
      <c r="BM19" s="330">
        <f t="shared" si="5"/>
        <v>0</v>
      </c>
      <c r="BN19" s="330">
        <f t="shared" si="5"/>
        <v>0</v>
      </c>
      <c r="BO19" s="330">
        <f t="shared" si="5"/>
        <v>0</v>
      </c>
      <c r="BP19" s="330">
        <f t="shared" si="5"/>
        <v>0</v>
      </c>
      <c r="BQ19" s="330">
        <f t="shared" si="5"/>
        <v>0</v>
      </c>
      <c r="BR19" s="330">
        <f t="shared" si="6"/>
        <v>0</v>
      </c>
      <c r="BS19" s="326">
        <f t="shared" si="6"/>
        <v>0</v>
      </c>
      <c r="BT19" s="326">
        <f t="shared" si="6"/>
        <v>0</v>
      </c>
      <c r="BU19" s="330">
        <f t="shared" si="6"/>
        <v>0</v>
      </c>
      <c r="BV19" s="330">
        <f t="shared" si="6"/>
        <v>0</v>
      </c>
      <c r="BW19" s="330">
        <f t="shared" si="6"/>
        <v>0</v>
      </c>
      <c r="BX19" s="351">
        <f t="shared" si="7"/>
        <v>0</v>
      </c>
      <c r="BY19" s="378">
        <f t="shared" si="8"/>
        <v>0</v>
      </c>
      <c r="BZ19" s="378">
        <f t="shared" si="9"/>
        <v>0</v>
      </c>
    </row>
    <row r="20" spans="1:82" s="234" customFormat="1" ht="15" customHeight="1">
      <c r="A20" s="234" t="s">
        <v>125</v>
      </c>
      <c r="D20" s="328"/>
      <c r="E20" s="386">
        <v>0</v>
      </c>
      <c r="F20" s="403" t="s">
        <v>253</v>
      </c>
      <c r="G20" s="329">
        <v>0</v>
      </c>
      <c r="H20" s="329">
        <v>0</v>
      </c>
      <c r="I20" s="329">
        <v>0</v>
      </c>
      <c r="J20" s="329">
        <v>0</v>
      </c>
      <c r="K20" s="329">
        <v>0</v>
      </c>
      <c r="L20" s="329">
        <v>0</v>
      </c>
      <c r="M20" s="387">
        <v>0</v>
      </c>
      <c r="N20" s="329">
        <v>0</v>
      </c>
      <c r="O20" s="329">
        <v>0</v>
      </c>
      <c r="P20" s="329">
        <v>0</v>
      </c>
      <c r="Q20" s="329">
        <v>0</v>
      </c>
      <c r="R20" s="329">
        <v>0</v>
      </c>
      <c r="S20" s="329">
        <v>0</v>
      </c>
      <c r="T20" s="329">
        <v>0</v>
      </c>
      <c r="U20" s="329">
        <v>0</v>
      </c>
      <c r="V20" s="329">
        <v>0.25</v>
      </c>
      <c r="W20" s="329">
        <v>0.25</v>
      </c>
      <c r="X20" s="329">
        <v>0.5</v>
      </c>
      <c r="Y20" s="329">
        <v>0</v>
      </c>
      <c r="Z20" s="329"/>
      <c r="AA20" s="329"/>
      <c r="AB20" s="329"/>
      <c r="AC20" s="426">
        <f t="shared" si="10"/>
        <v>1</v>
      </c>
      <c r="AD20" s="328"/>
      <c r="AE20" s="326">
        <f t="shared" si="12"/>
        <v>0</v>
      </c>
      <c r="AF20" s="326">
        <f t="shared" si="12"/>
        <v>0</v>
      </c>
      <c r="AG20" s="326">
        <f t="shared" si="12"/>
        <v>0</v>
      </c>
      <c r="AH20" s="326">
        <f t="shared" si="12"/>
        <v>0</v>
      </c>
      <c r="AI20" s="326">
        <f t="shared" si="12"/>
        <v>0</v>
      </c>
      <c r="AJ20" s="326">
        <f>L20*$E20</f>
        <v>0</v>
      </c>
      <c r="AK20" s="326">
        <f t="shared" si="13"/>
        <v>0</v>
      </c>
      <c r="AL20" s="326">
        <f t="shared" si="13"/>
        <v>0</v>
      </c>
      <c r="AM20" s="326">
        <f t="shared" si="13"/>
        <v>0</v>
      </c>
      <c r="AN20" s="326">
        <f t="shared" si="13"/>
        <v>0</v>
      </c>
      <c r="AO20" s="326">
        <f t="shared" si="13"/>
        <v>0</v>
      </c>
      <c r="AP20" s="326">
        <f t="shared" si="13"/>
        <v>0</v>
      </c>
      <c r="AQ20" s="326">
        <f t="shared" si="13"/>
        <v>0</v>
      </c>
      <c r="AR20" s="326">
        <f t="shared" si="13"/>
        <v>0</v>
      </c>
      <c r="AS20" s="326">
        <f t="shared" si="13"/>
        <v>0</v>
      </c>
      <c r="AT20" s="326">
        <f t="shared" si="13"/>
        <v>0</v>
      </c>
      <c r="AU20" s="326">
        <f t="shared" si="13"/>
        <v>0</v>
      </c>
      <c r="AV20" s="326">
        <f t="shared" si="13"/>
        <v>0</v>
      </c>
      <c r="AW20" s="326">
        <f t="shared" si="13"/>
        <v>0</v>
      </c>
      <c r="AX20" s="326">
        <f t="shared" si="2"/>
        <v>0</v>
      </c>
      <c r="AY20" s="326">
        <f t="shared" si="3"/>
        <v>0</v>
      </c>
      <c r="AZ20" s="326">
        <f t="shared" si="4"/>
        <v>0</v>
      </c>
      <c r="BA20" s="330"/>
      <c r="BB20" s="330">
        <f t="shared" si="5"/>
        <v>0</v>
      </c>
      <c r="BC20" s="330">
        <f t="shared" si="5"/>
        <v>0</v>
      </c>
      <c r="BD20" s="330">
        <f t="shared" si="5"/>
        <v>0</v>
      </c>
      <c r="BE20" s="330">
        <f t="shared" si="5"/>
        <v>0</v>
      </c>
      <c r="BF20" s="330">
        <f t="shared" si="5"/>
        <v>0</v>
      </c>
      <c r="BG20" s="330">
        <f t="shared" si="5"/>
        <v>0</v>
      </c>
      <c r="BH20" s="330">
        <f t="shared" si="5"/>
        <v>0</v>
      </c>
      <c r="BI20" s="330">
        <f t="shared" si="5"/>
        <v>0</v>
      </c>
      <c r="BJ20" s="330">
        <f t="shared" si="5"/>
        <v>0</v>
      </c>
      <c r="BK20" s="330">
        <f t="shared" si="5"/>
        <v>0</v>
      </c>
      <c r="BL20" s="330">
        <f t="shared" si="5"/>
        <v>0</v>
      </c>
      <c r="BM20" s="330">
        <f t="shared" si="5"/>
        <v>0</v>
      </c>
      <c r="BN20" s="330">
        <f t="shared" si="5"/>
        <v>0</v>
      </c>
      <c r="BO20" s="330">
        <f t="shared" si="5"/>
        <v>0</v>
      </c>
      <c r="BP20" s="330">
        <f t="shared" si="5"/>
        <v>0</v>
      </c>
      <c r="BQ20" s="330">
        <f t="shared" si="5"/>
        <v>0</v>
      </c>
      <c r="BR20" s="330">
        <f t="shared" si="6"/>
        <v>0</v>
      </c>
      <c r="BS20" s="326">
        <f t="shared" si="6"/>
        <v>0</v>
      </c>
      <c r="BT20" s="326">
        <f t="shared" si="6"/>
        <v>0</v>
      </c>
      <c r="BU20" s="330">
        <f t="shared" si="6"/>
        <v>0</v>
      </c>
      <c r="BV20" s="330">
        <f t="shared" si="6"/>
        <v>0</v>
      </c>
      <c r="BW20" s="330">
        <f t="shared" si="6"/>
        <v>0</v>
      </c>
      <c r="BX20" s="351">
        <f t="shared" si="7"/>
        <v>0</v>
      </c>
      <c r="BY20" s="378">
        <f t="shared" si="8"/>
        <v>0</v>
      </c>
      <c r="BZ20" s="378">
        <f t="shared" si="9"/>
        <v>0</v>
      </c>
    </row>
    <row r="21" spans="1:82" s="234" customFormat="1" ht="15" customHeight="1">
      <c r="A21" s="234" t="s">
        <v>125</v>
      </c>
      <c r="B21" s="234" t="s">
        <v>309</v>
      </c>
      <c r="D21" s="328"/>
      <c r="E21" s="386">
        <v>4540.18</v>
      </c>
      <c r="F21" s="403" t="s">
        <v>241</v>
      </c>
      <c r="G21" s="388"/>
      <c r="H21" s="388"/>
      <c r="I21" s="388"/>
      <c r="J21" s="388"/>
      <c r="K21" s="388"/>
      <c r="L21" s="329">
        <v>0</v>
      </c>
      <c r="M21" s="387">
        <v>0</v>
      </c>
      <c r="N21" s="329">
        <v>0</v>
      </c>
      <c r="O21" s="329">
        <v>0</v>
      </c>
      <c r="P21" s="329">
        <v>0</v>
      </c>
      <c r="Q21" s="329">
        <v>0</v>
      </c>
      <c r="R21" s="329">
        <v>0</v>
      </c>
      <c r="S21" s="329">
        <v>0</v>
      </c>
      <c r="T21" s="329">
        <v>0</v>
      </c>
      <c r="U21" s="329">
        <v>1</v>
      </c>
      <c r="V21" s="329"/>
      <c r="W21" s="329"/>
      <c r="X21" s="329"/>
      <c r="Y21" s="329"/>
      <c r="Z21" s="329"/>
      <c r="AA21" s="329"/>
      <c r="AB21" s="329"/>
      <c r="AC21" s="426">
        <f t="shared" si="10"/>
        <v>1</v>
      </c>
      <c r="AD21" s="328"/>
      <c r="AE21" s="326">
        <f t="shared" si="12"/>
        <v>0</v>
      </c>
      <c r="AF21" s="326">
        <f t="shared" si="12"/>
        <v>0</v>
      </c>
      <c r="AG21" s="326">
        <f t="shared" si="12"/>
        <v>0</v>
      </c>
      <c r="AH21" s="326">
        <f t="shared" si="12"/>
        <v>0</v>
      </c>
      <c r="AI21" s="326">
        <f t="shared" si="12"/>
        <v>0</v>
      </c>
      <c r="AJ21" s="326">
        <f>L21*$E21</f>
        <v>0</v>
      </c>
      <c r="AK21" s="326">
        <f t="shared" si="13"/>
        <v>0</v>
      </c>
      <c r="AL21" s="326">
        <f t="shared" si="13"/>
        <v>0</v>
      </c>
      <c r="AM21" s="326">
        <f t="shared" si="13"/>
        <v>0</v>
      </c>
      <c r="AN21" s="326">
        <f t="shared" si="13"/>
        <v>0</v>
      </c>
      <c r="AO21" s="326">
        <f t="shared" si="13"/>
        <v>0</v>
      </c>
      <c r="AP21" s="326">
        <f t="shared" si="13"/>
        <v>0</v>
      </c>
      <c r="AQ21" s="326">
        <f t="shared" si="13"/>
        <v>0</v>
      </c>
      <c r="AR21" s="326">
        <f t="shared" si="13"/>
        <v>0</v>
      </c>
      <c r="AS21" s="326">
        <f t="shared" si="13"/>
        <v>4540.18</v>
      </c>
      <c r="AT21" s="326">
        <f t="shared" si="13"/>
        <v>0</v>
      </c>
      <c r="AU21" s="326">
        <f t="shared" si="13"/>
        <v>0</v>
      </c>
      <c r="AV21" s="326">
        <f t="shared" si="13"/>
        <v>0</v>
      </c>
      <c r="AW21" s="326">
        <f t="shared" si="13"/>
        <v>0</v>
      </c>
      <c r="AX21" s="326">
        <f t="shared" si="2"/>
        <v>0</v>
      </c>
      <c r="AY21" s="326">
        <f t="shared" si="3"/>
        <v>0</v>
      </c>
      <c r="AZ21" s="326">
        <f t="shared" si="4"/>
        <v>0</v>
      </c>
      <c r="BA21" s="330"/>
      <c r="BB21" s="330">
        <f t="shared" ref="BB21:BO30" si="164">IF(BB$3=$F21,$E21,0)</f>
        <v>0</v>
      </c>
      <c r="BC21" s="330">
        <f t="shared" si="164"/>
        <v>0</v>
      </c>
      <c r="BD21" s="330">
        <f t="shared" si="164"/>
        <v>0</v>
      </c>
      <c r="BE21" s="330">
        <f t="shared" si="164"/>
        <v>0</v>
      </c>
      <c r="BF21" s="330">
        <f t="shared" si="164"/>
        <v>0</v>
      </c>
      <c r="BG21" s="330">
        <f t="shared" si="164"/>
        <v>0</v>
      </c>
      <c r="BH21" s="330">
        <f t="shared" si="164"/>
        <v>0</v>
      </c>
      <c r="BI21" s="330">
        <f t="shared" si="164"/>
        <v>0</v>
      </c>
      <c r="BJ21" s="330">
        <f t="shared" si="164"/>
        <v>0</v>
      </c>
      <c r="BK21" s="330">
        <f t="shared" si="164"/>
        <v>0</v>
      </c>
      <c r="BL21" s="330">
        <f t="shared" si="164"/>
        <v>0</v>
      </c>
      <c r="BM21" s="330">
        <f t="shared" si="164"/>
        <v>0</v>
      </c>
      <c r="BN21" s="326">
        <v>5085.01</v>
      </c>
      <c r="BO21" s="330">
        <v>-544.83000000000004</v>
      </c>
      <c r="BP21" s="330">
        <f t="shared" ref="BP21:BW22" si="165">IF(BP$3=$F21,$E21,0)</f>
        <v>0</v>
      </c>
      <c r="BQ21" s="330">
        <f t="shared" si="165"/>
        <v>0</v>
      </c>
      <c r="BR21" s="326">
        <f t="shared" si="165"/>
        <v>0</v>
      </c>
      <c r="BS21" s="326">
        <f t="shared" si="165"/>
        <v>0</v>
      </c>
      <c r="BT21" s="326">
        <f t="shared" si="165"/>
        <v>0</v>
      </c>
      <c r="BU21" s="330">
        <f t="shared" si="165"/>
        <v>0</v>
      </c>
      <c r="BV21" s="330">
        <f t="shared" si="165"/>
        <v>0</v>
      </c>
      <c r="BW21" s="330">
        <f t="shared" si="165"/>
        <v>0</v>
      </c>
      <c r="BX21" s="351">
        <f t="shared" si="7"/>
        <v>0</v>
      </c>
      <c r="BY21" s="378">
        <f t="shared" si="8"/>
        <v>0</v>
      </c>
      <c r="BZ21" s="378">
        <f t="shared" si="9"/>
        <v>0</v>
      </c>
    </row>
    <row r="22" spans="1:82" s="234" customFormat="1" ht="15" customHeight="1">
      <c r="A22" s="234" t="s">
        <v>125</v>
      </c>
      <c r="D22" s="328"/>
      <c r="E22" s="408">
        <v>108220.01000000001</v>
      </c>
      <c r="F22" s="403" t="s">
        <v>241</v>
      </c>
      <c r="G22" s="388"/>
      <c r="H22" s="388"/>
      <c r="I22" s="388"/>
      <c r="J22" s="388"/>
      <c r="K22" s="388"/>
      <c r="L22" s="329"/>
      <c r="M22" s="329"/>
      <c r="N22" s="329"/>
      <c r="O22" s="329">
        <v>0</v>
      </c>
      <c r="P22" s="329">
        <v>0</v>
      </c>
      <c r="Q22" s="329">
        <v>0</v>
      </c>
      <c r="R22" s="329">
        <v>0</v>
      </c>
      <c r="S22" s="329">
        <v>0</v>
      </c>
      <c r="T22" s="329">
        <v>0.84036926257907385</v>
      </c>
      <c r="U22" s="329">
        <v>0.15963073742092612</v>
      </c>
      <c r="V22" s="329">
        <v>0</v>
      </c>
      <c r="W22" s="389">
        <v>0</v>
      </c>
      <c r="X22" s="329">
        <v>0</v>
      </c>
      <c r="Y22" s="329">
        <v>0</v>
      </c>
      <c r="Z22" s="329"/>
      <c r="AA22" s="329"/>
      <c r="AB22" s="329"/>
      <c r="AC22" s="426">
        <f t="shared" si="10"/>
        <v>1</v>
      </c>
      <c r="AD22" s="328"/>
      <c r="AE22" s="328"/>
      <c r="AF22" s="326">
        <f t="shared" ref="AF22:AW22" si="166">G22*$E22</f>
        <v>0</v>
      </c>
      <c r="AG22" s="326">
        <f t="shared" si="166"/>
        <v>0</v>
      </c>
      <c r="AH22" s="326">
        <f t="shared" si="166"/>
        <v>0</v>
      </c>
      <c r="AI22" s="326">
        <f t="shared" si="166"/>
        <v>0</v>
      </c>
      <c r="AJ22" s="326">
        <f t="shared" si="166"/>
        <v>0</v>
      </c>
      <c r="AK22" s="326">
        <f t="shared" si="166"/>
        <v>0</v>
      </c>
      <c r="AL22" s="326">
        <f t="shared" si="166"/>
        <v>0</v>
      </c>
      <c r="AM22" s="326">
        <f t="shared" si="166"/>
        <v>0</v>
      </c>
      <c r="AN22" s="326">
        <f t="shared" si="166"/>
        <v>0</v>
      </c>
      <c r="AO22" s="326">
        <f t="shared" si="166"/>
        <v>0</v>
      </c>
      <c r="AP22" s="326">
        <f t="shared" si="166"/>
        <v>0</v>
      </c>
      <c r="AQ22" s="326">
        <f t="shared" si="166"/>
        <v>0</v>
      </c>
      <c r="AR22" s="326">
        <f t="shared" si="166"/>
        <v>0</v>
      </c>
      <c r="AS22" s="326">
        <f t="shared" si="166"/>
        <v>90944.77</v>
      </c>
      <c r="AT22" s="326">
        <f t="shared" si="166"/>
        <v>17275.240000000002</v>
      </c>
      <c r="AU22" s="326">
        <f t="shared" si="166"/>
        <v>0</v>
      </c>
      <c r="AV22" s="326">
        <f t="shared" si="166"/>
        <v>0</v>
      </c>
      <c r="AW22" s="326">
        <f t="shared" si="166"/>
        <v>0</v>
      </c>
      <c r="AX22" s="326">
        <f>Y22*$E22</f>
        <v>0</v>
      </c>
      <c r="AY22" s="326">
        <f>Z22*$E22</f>
        <v>0</v>
      </c>
      <c r="AZ22" s="326">
        <f>AA22*$E22</f>
        <v>0</v>
      </c>
      <c r="BA22" s="326">
        <f>Z22*$E22</f>
        <v>0</v>
      </c>
      <c r="BB22" s="330">
        <f t="shared" ref="BB22:BM27" si="167">IF(BB$3=$F22,$E22,0)</f>
        <v>0</v>
      </c>
      <c r="BC22" s="330"/>
      <c r="BD22" s="330">
        <f t="shared" si="164"/>
        <v>0</v>
      </c>
      <c r="BE22" s="330">
        <f t="shared" si="164"/>
        <v>0</v>
      </c>
      <c r="BF22" s="330">
        <f t="shared" si="164"/>
        <v>0</v>
      </c>
      <c r="BG22" s="330">
        <f t="shared" si="164"/>
        <v>0</v>
      </c>
      <c r="BH22" s="330">
        <f t="shared" si="164"/>
        <v>0</v>
      </c>
      <c r="BI22" s="330">
        <f t="shared" si="164"/>
        <v>0</v>
      </c>
      <c r="BJ22" s="330">
        <f t="shared" si="164"/>
        <v>0</v>
      </c>
      <c r="BK22" s="330">
        <f t="shared" si="164"/>
        <v>0</v>
      </c>
      <c r="BL22" s="330">
        <f t="shared" si="164"/>
        <v>0</v>
      </c>
      <c r="BM22" s="330">
        <f t="shared" si="164"/>
        <v>0</v>
      </c>
      <c r="BN22" s="330">
        <v>242045.23</v>
      </c>
      <c r="BO22" s="330">
        <f t="shared" si="164"/>
        <v>0</v>
      </c>
      <c r="BP22" s="326">
        <f>IF(BP$3=$F22,$E22,0)</f>
        <v>0</v>
      </c>
      <c r="BQ22" s="330">
        <f>IF(BQ$3=$F22,$E22,0)</f>
        <v>0</v>
      </c>
      <c r="BR22" s="326">
        <f t="shared" si="165"/>
        <v>0</v>
      </c>
      <c r="BS22" s="326">
        <v>-133825.22</v>
      </c>
      <c r="BT22" s="326">
        <f t="shared" si="165"/>
        <v>0</v>
      </c>
      <c r="BU22" s="330">
        <f t="shared" si="165"/>
        <v>0</v>
      </c>
      <c r="BV22" s="330">
        <f t="shared" si="165"/>
        <v>0</v>
      </c>
      <c r="BW22" s="330">
        <f t="shared" si="165"/>
        <v>0</v>
      </c>
      <c r="BX22" s="351">
        <f t="shared" si="7"/>
        <v>0</v>
      </c>
      <c r="BY22" s="378">
        <f t="shared" si="8"/>
        <v>0</v>
      </c>
      <c r="BZ22" s="378">
        <f t="shared" si="9"/>
        <v>0</v>
      </c>
      <c r="CA22" s="351"/>
      <c r="CB22" s="351"/>
      <c r="CC22" s="405"/>
      <c r="CD22" s="405"/>
    </row>
    <row r="23" spans="1:82" s="234" customFormat="1" ht="15" customHeight="1">
      <c r="A23" s="234" t="s">
        <v>125</v>
      </c>
      <c r="D23" s="328"/>
      <c r="E23" s="386">
        <v>1762</v>
      </c>
      <c r="F23" s="403" t="s">
        <v>241</v>
      </c>
      <c r="G23" s="388"/>
      <c r="H23" s="388"/>
      <c r="I23" s="388"/>
      <c r="J23" s="388"/>
      <c r="K23" s="388"/>
      <c r="L23" s="329">
        <v>0</v>
      </c>
      <c r="M23" s="387">
        <v>0</v>
      </c>
      <c r="N23" s="329">
        <v>0</v>
      </c>
      <c r="O23" s="329">
        <v>0</v>
      </c>
      <c r="P23" s="329">
        <v>0</v>
      </c>
      <c r="Q23" s="329">
        <v>0</v>
      </c>
      <c r="R23" s="329">
        <v>0</v>
      </c>
      <c r="S23" s="329">
        <v>0</v>
      </c>
      <c r="T23" s="329">
        <v>1</v>
      </c>
      <c r="U23" s="329">
        <v>0</v>
      </c>
      <c r="V23" s="329">
        <v>0</v>
      </c>
      <c r="W23" s="329">
        <v>0</v>
      </c>
      <c r="X23" s="329">
        <v>0</v>
      </c>
      <c r="Y23" s="329"/>
      <c r="Z23" s="329"/>
      <c r="AA23" s="329"/>
      <c r="AB23" s="329"/>
      <c r="AC23" s="426">
        <f t="shared" si="10"/>
        <v>1</v>
      </c>
      <c r="AD23" s="328"/>
      <c r="AE23" s="326">
        <f t="shared" ref="AE23:AE56" si="168">G23*$E23</f>
        <v>0</v>
      </c>
      <c r="AF23" s="326">
        <f t="shared" ref="AF23:AF56" si="169">H23*$E23</f>
        <v>0</v>
      </c>
      <c r="AG23" s="326">
        <f t="shared" ref="AG23:AG56" si="170">I23*$E23</f>
        <v>0</v>
      </c>
      <c r="AH23" s="326">
        <f t="shared" ref="AH23:AH56" si="171">J23*$E23</f>
        <v>0</v>
      </c>
      <c r="AI23" s="326">
        <f t="shared" ref="AI23:AI56" si="172">K23*$E23</f>
        <v>0</v>
      </c>
      <c r="AJ23" s="326">
        <f t="shared" ref="AJ23:AJ56" si="173">L23*$E23</f>
        <v>0</v>
      </c>
      <c r="AK23" s="326">
        <f t="shared" ref="AK23:AK56" si="174">M23*$E23</f>
        <v>0</v>
      </c>
      <c r="AL23" s="326">
        <f t="shared" ref="AL23:AL56" si="175">N23*$E23</f>
        <v>0</v>
      </c>
      <c r="AM23" s="326">
        <f t="shared" ref="AM23:AM56" si="176">O23*$E23</f>
        <v>0</v>
      </c>
      <c r="AN23" s="326">
        <f t="shared" ref="AN23:AN56" si="177">P23*$E23</f>
        <v>0</v>
      </c>
      <c r="AO23" s="326">
        <f t="shared" ref="AO23:AO56" si="178">Q23*$E23</f>
        <v>0</v>
      </c>
      <c r="AP23" s="326">
        <f t="shared" ref="AP23:AP56" si="179">R23*$E23</f>
        <v>0</v>
      </c>
      <c r="AQ23" s="326">
        <f t="shared" ref="AQ23:AQ56" si="180">S23*$E23</f>
        <v>0</v>
      </c>
      <c r="AR23" s="326">
        <f t="shared" ref="AR23:AR56" si="181">T23*$E23</f>
        <v>1762</v>
      </c>
      <c r="AS23" s="326">
        <f t="shared" ref="AS23:AS56" si="182">U23*$E23</f>
        <v>0</v>
      </c>
      <c r="AT23" s="326">
        <f t="shared" ref="AT23:AT56" si="183">V23*$E23</f>
        <v>0</v>
      </c>
      <c r="AU23" s="326">
        <f t="shared" ref="AU23:AU56" si="184">W23*$E23</f>
        <v>0</v>
      </c>
      <c r="AV23" s="326">
        <f t="shared" ref="AV23:AV56" si="185">X23*$E23</f>
        <v>0</v>
      </c>
      <c r="AW23" s="326">
        <f t="shared" ref="AW23:AW56" si="186">Y23*$E23</f>
        <v>0</v>
      </c>
      <c r="AX23" s="326">
        <f t="shared" ref="AX23:AX48" si="187">Z23*$E23</f>
        <v>0</v>
      </c>
      <c r="AY23" s="326">
        <f t="shared" ref="AY23:AY48" si="188">AA23*$E23</f>
        <v>0</v>
      </c>
      <c r="AZ23" s="326">
        <f t="shared" ref="AZ23:AZ48" si="189">AB23*$E23</f>
        <v>0</v>
      </c>
      <c r="BA23" s="330"/>
      <c r="BB23" s="330">
        <f t="shared" si="167"/>
        <v>0</v>
      </c>
      <c r="BC23" s="330">
        <f t="shared" si="167"/>
        <v>0</v>
      </c>
      <c r="BD23" s="330">
        <f t="shared" si="167"/>
        <v>0</v>
      </c>
      <c r="BE23" s="330">
        <f t="shared" si="167"/>
        <v>0</v>
      </c>
      <c r="BF23" s="330">
        <f t="shared" si="167"/>
        <v>0</v>
      </c>
      <c r="BG23" s="330">
        <f t="shared" si="167"/>
        <v>0</v>
      </c>
      <c r="BH23" s="330">
        <f t="shared" si="167"/>
        <v>0</v>
      </c>
      <c r="BI23" s="330">
        <f t="shared" si="167"/>
        <v>0</v>
      </c>
      <c r="BJ23" s="330">
        <f t="shared" si="167"/>
        <v>0</v>
      </c>
      <c r="BK23" s="330">
        <f t="shared" si="167"/>
        <v>0</v>
      </c>
      <c r="BL23" s="330">
        <f t="shared" si="167"/>
        <v>0</v>
      </c>
      <c r="BM23" s="330">
        <f t="shared" si="167"/>
        <v>0</v>
      </c>
      <c r="BN23" s="326">
        <f>IF(BN$3=$F23,$E23,0)</f>
        <v>1762</v>
      </c>
      <c r="BO23" s="330">
        <f>IF(BO$3=$F23,$E23,0)</f>
        <v>0</v>
      </c>
      <c r="BP23" s="330">
        <f t="shared" ref="BP23:BW27" si="190">IF(BP$3=$F23,$E23,0)</f>
        <v>0</v>
      </c>
      <c r="BQ23" s="330">
        <f t="shared" si="190"/>
        <v>0</v>
      </c>
      <c r="BR23" s="326">
        <f t="shared" si="190"/>
        <v>0</v>
      </c>
      <c r="BS23" s="326">
        <f t="shared" si="190"/>
        <v>0</v>
      </c>
      <c r="BT23" s="326">
        <f t="shared" si="190"/>
        <v>0</v>
      </c>
      <c r="BU23" s="330">
        <f t="shared" si="190"/>
        <v>0</v>
      </c>
      <c r="BV23" s="330">
        <f t="shared" si="190"/>
        <v>0</v>
      </c>
      <c r="BW23" s="330">
        <f t="shared" si="190"/>
        <v>0</v>
      </c>
      <c r="BX23" s="351">
        <f t="shared" si="7"/>
        <v>0</v>
      </c>
      <c r="BY23" s="378">
        <f t="shared" si="8"/>
        <v>0</v>
      </c>
      <c r="BZ23" s="378">
        <f t="shared" si="9"/>
        <v>0</v>
      </c>
    </row>
    <row r="24" spans="1:82" s="234" customFormat="1" ht="15" customHeight="1">
      <c r="A24" s="234" t="s">
        <v>125</v>
      </c>
      <c r="D24" s="328"/>
      <c r="E24" s="386">
        <v>9367.68</v>
      </c>
      <c r="F24" s="403" t="s">
        <v>241</v>
      </c>
      <c r="G24" s="388"/>
      <c r="H24" s="388"/>
      <c r="I24" s="388"/>
      <c r="J24" s="388"/>
      <c r="K24" s="388"/>
      <c r="L24" s="329">
        <v>0</v>
      </c>
      <c r="M24" s="387">
        <v>0</v>
      </c>
      <c r="N24" s="329">
        <v>0</v>
      </c>
      <c r="O24" s="329">
        <v>0</v>
      </c>
      <c r="P24" s="329">
        <v>0</v>
      </c>
      <c r="Q24" s="329">
        <v>0</v>
      </c>
      <c r="R24" s="329">
        <v>0</v>
      </c>
      <c r="S24" s="329">
        <v>0</v>
      </c>
      <c r="T24" s="329">
        <v>1</v>
      </c>
      <c r="U24" s="329">
        <v>0</v>
      </c>
      <c r="V24" s="329">
        <v>0</v>
      </c>
      <c r="W24" s="329">
        <v>0</v>
      </c>
      <c r="X24" s="329">
        <v>0</v>
      </c>
      <c r="Y24" s="329">
        <v>0</v>
      </c>
      <c r="Z24" s="329"/>
      <c r="AA24" s="329"/>
      <c r="AB24" s="329"/>
      <c r="AC24" s="426">
        <f t="shared" si="10"/>
        <v>1</v>
      </c>
      <c r="AD24" s="328"/>
      <c r="AE24" s="326">
        <f t="shared" si="168"/>
        <v>0</v>
      </c>
      <c r="AF24" s="326">
        <f t="shared" si="169"/>
        <v>0</v>
      </c>
      <c r="AG24" s="326">
        <f t="shared" si="170"/>
        <v>0</v>
      </c>
      <c r="AH24" s="326">
        <f t="shared" si="171"/>
        <v>0</v>
      </c>
      <c r="AI24" s="326">
        <f t="shared" si="172"/>
        <v>0</v>
      </c>
      <c r="AJ24" s="326">
        <f t="shared" si="173"/>
        <v>0</v>
      </c>
      <c r="AK24" s="326">
        <f t="shared" si="174"/>
        <v>0</v>
      </c>
      <c r="AL24" s="326">
        <f t="shared" si="175"/>
        <v>0</v>
      </c>
      <c r="AM24" s="326">
        <f t="shared" si="176"/>
        <v>0</v>
      </c>
      <c r="AN24" s="326">
        <f t="shared" si="177"/>
        <v>0</v>
      </c>
      <c r="AO24" s="326">
        <f t="shared" si="178"/>
        <v>0</v>
      </c>
      <c r="AP24" s="326">
        <f t="shared" si="179"/>
        <v>0</v>
      </c>
      <c r="AQ24" s="326">
        <f t="shared" si="180"/>
        <v>0</v>
      </c>
      <c r="AR24" s="326">
        <f t="shared" si="181"/>
        <v>9367.68</v>
      </c>
      <c r="AS24" s="326">
        <f t="shared" si="182"/>
        <v>0</v>
      </c>
      <c r="AT24" s="326">
        <f t="shared" si="183"/>
        <v>0</v>
      </c>
      <c r="AU24" s="326">
        <f t="shared" si="184"/>
        <v>0</v>
      </c>
      <c r="AV24" s="326">
        <f t="shared" si="185"/>
        <v>0</v>
      </c>
      <c r="AW24" s="326">
        <f t="shared" si="186"/>
        <v>0</v>
      </c>
      <c r="AX24" s="326">
        <f t="shared" si="187"/>
        <v>0</v>
      </c>
      <c r="AY24" s="326">
        <f t="shared" si="188"/>
        <v>0</v>
      </c>
      <c r="AZ24" s="326">
        <f t="shared" si="189"/>
        <v>0</v>
      </c>
      <c r="BA24" s="330"/>
      <c r="BB24" s="330">
        <f t="shared" si="167"/>
        <v>0</v>
      </c>
      <c r="BC24" s="330">
        <f t="shared" si="167"/>
        <v>0</v>
      </c>
      <c r="BD24" s="330">
        <f t="shared" si="167"/>
        <v>0</v>
      </c>
      <c r="BE24" s="330">
        <f t="shared" si="167"/>
        <v>0</v>
      </c>
      <c r="BF24" s="330">
        <f t="shared" si="167"/>
        <v>0</v>
      </c>
      <c r="BG24" s="330">
        <f t="shared" si="167"/>
        <v>0</v>
      </c>
      <c r="BH24" s="330">
        <f t="shared" si="167"/>
        <v>0</v>
      </c>
      <c r="BI24" s="330">
        <f t="shared" si="167"/>
        <v>0</v>
      </c>
      <c r="BJ24" s="330">
        <f t="shared" si="167"/>
        <v>0</v>
      </c>
      <c r="BK24" s="330">
        <f t="shared" si="167"/>
        <v>0</v>
      </c>
      <c r="BL24" s="330">
        <f t="shared" si="167"/>
        <v>0</v>
      </c>
      <c r="BM24" s="330">
        <f t="shared" si="167"/>
        <v>0</v>
      </c>
      <c r="BN24" s="326">
        <v>37470.82</v>
      </c>
      <c r="BO24" s="326">
        <v>-0.1</v>
      </c>
      <c r="BP24" s="326">
        <f t="shared" si="190"/>
        <v>0</v>
      </c>
      <c r="BQ24" s="326">
        <f t="shared" si="190"/>
        <v>0</v>
      </c>
      <c r="BR24" s="326">
        <f t="shared" si="190"/>
        <v>0</v>
      </c>
      <c r="BS24" s="326">
        <v>-28103.040000000001</v>
      </c>
      <c r="BT24" s="326">
        <f t="shared" si="190"/>
        <v>0</v>
      </c>
      <c r="BU24" s="330">
        <f t="shared" si="190"/>
        <v>0</v>
      </c>
      <c r="BV24" s="330">
        <f t="shared" si="190"/>
        <v>0</v>
      </c>
      <c r="BW24" s="330">
        <f t="shared" si="190"/>
        <v>0</v>
      </c>
      <c r="BX24" s="351">
        <f t="shared" si="7"/>
        <v>0</v>
      </c>
      <c r="BY24" s="378">
        <f t="shared" si="8"/>
        <v>0</v>
      </c>
      <c r="BZ24" s="378">
        <f t="shared" si="9"/>
        <v>0</v>
      </c>
    </row>
    <row r="25" spans="1:82" s="234" customFormat="1" ht="15" customHeight="1">
      <c r="A25" s="234" t="s">
        <v>125</v>
      </c>
      <c r="D25" s="328"/>
      <c r="E25" s="386">
        <v>1278.6400000000001</v>
      </c>
      <c r="F25" s="403" t="s">
        <v>240</v>
      </c>
      <c r="G25" s="388"/>
      <c r="H25" s="388"/>
      <c r="I25" s="388"/>
      <c r="J25" s="388"/>
      <c r="K25" s="388"/>
      <c r="L25" s="329">
        <v>0</v>
      </c>
      <c r="M25" s="387">
        <v>0</v>
      </c>
      <c r="N25" s="329">
        <v>0</v>
      </c>
      <c r="O25" s="329">
        <v>0</v>
      </c>
      <c r="P25" s="329">
        <v>0</v>
      </c>
      <c r="Q25" s="329">
        <v>0</v>
      </c>
      <c r="R25" s="329">
        <v>0</v>
      </c>
      <c r="S25" s="329">
        <v>0</v>
      </c>
      <c r="T25" s="329">
        <v>1</v>
      </c>
      <c r="U25" s="329">
        <v>0</v>
      </c>
      <c r="V25" s="329">
        <v>0</v>
      </c>
      <c r="W25" s="329">
        <v>0</v>
      </c>
      <c r="X25" s="329">
        <v>0</v>
      </c>
      <c r="Y25" s="329"/>
      <c r="Z25" s="329"/>
      <c r="AA25" s="329"/>
      <c r="AB25" s="329"/>
      <c r="AC25" s="426">
        <f t="shared" si="10"/>
        <v>1</v>
      </c>
      <c r="AD25" s="328"/>
      <c r="AE25" s="326">
        <f t="shared" si="168"/>
        <v>0</v>
      </c>
      <c r="AF25" s="326">
        <f t="shared" si="169"/>
        <v>0</v>
      </c>
      <c r="AG25" s="326">
        <f t="shared" si="170"/>
        <v>0</v>
      </c>
      <c r="AH25" s="326">
        <f t="shared" si="171"/>
        <v>0</v>
      </c>
      <c r="AI25" s="326">
        <f t="shared" si="172"/>
        <v>0</v>
      </c>
      <c r="AJ25" s="326">
        <f t="shared" si="173"/>
        <v>0</v>
      </c>
      <c r="AK25" s="326">
        <f t="shared" si="174"/>
        <v>0</v>
      </c>
      <c r="AL25" s="326">
        <f t="shared" si="175"/>
        <v>0</v>
      </c>
      <c r="AM25" s="326">
        <f t="shared" si="176"/>
        <v>0</v>
      </c>
      <c r="AN25" s="326">
        <f t="shared" si="177"/>
        <v>0</v>
      </c>
      <c r="AO25" s="326">
        <f t="shared" si="178"/>
        <v>0</v>
      </c>
      <c r="AP25" s="326">
        <f t="shared" si="179"/>
        <v>0</v>
      </c>
      <c r="AQ25" s="326">
        <f t="shared" si="180"/>
        <v>0</v>
      </c>
      <c r="AR25" s="326">
        <f t="shared" si="181"/>
        <v>1278.6400000000001</v>
      </c>
      <c r="AS25" s="326">
        <f t="shared" si="182"/>
        <v>0</v>
      </c>
      <c r="AT25" s="326">
        <f t="shared" si="183"/>
        <v>0</v>
      </c>
      <c r="AU25" s="326">
        <f t="shared" si="184"/>
        <v>0</v>
      </c>
      <c r="AV25" s="326">
        <f t="shared" si="185"/>
        <v>0</v>
      </c>
      <c r="AW25" s="326">
        <f t="shared" si="186"/>
        <v>0</v>
      </c>
      <c r="AX25" s="326">
        <f t="shared" si="187"/>
        <v>0</v>
      </c>
      <c r="AY25" s="326">
        <f t="shared" si="188"/>
        <v>0</v>
      </c>
      <c r="AZ25" s="326">
        <f t="shared" si="189"/>
        <v>0</v>
      </c>
      <c r="BA25" s="330"/>
      <c r="BB25" s="330">
        <f t="shared" si="167"/>
        <v>0</v>
      </c>
      <c r="BC25" s="330">
        <f t="shared" si="167"/>
        <v>0</v>
      </c>
      <c r="BD25" s="330">
        <f t="shared" si="167"/>
        <v>0</v>
      </c>
      <c r="BE25" s="330">
        <f t="shared" si="167"/>
        <v>0</v>
      </c>
      <c r="BF25" s="330">
        <f t="shared" si="167"/>
        <v>0</v>
      </c>
      <c r="BG25" s="330">
        <f t="shared" si="167"/>
        <v>0</v>
      </c>
      <c r="BH25" s="330">
        <f t="shared" si="167"/>
        <v>0</v>
      </c>
      <c r="BI25" s="330">
        <f t="shared" si="167"/>
        <v>0</v>
      </c>
      <c r="BJ25" s="330">
        <f t="shared" si="167"/>
        <v>0</v>
      </c>
      <c r="BK25" s="330">
        <f t="shared" si="167"/>
        <v>0</v>
      </c>
      <c r="BL25" s="330">
        <f t="shared" si="167"/>
        <v>0</v>
      </c>
      <c r="BM25" s="330">
        <f t="shared" si="167"/>
        <v>0</v>
      </c>
      <c r="BN25" s="326">
        <f>IF(BN$3=$F25,$E25,0)</f>
        <v>0</v>
      </c>
      <c r="BO25" s="330">
        <f>IF(BO$3=$F25,$E25,0)</f>
        <v>1278.6400000000001</v>
      </c>
      <c r="BP25" s="330">
        <f t="shared" si="190"/>
        <v>0</v>
      </c>
      <c r="BQ25" s="330">
        <f t="shared" si="190"/>
        <v>0</v>
      </c>
      <c r="BR25" s="326">
        <f t="shared" si="190"/>
        <v>0</v>
      </c>
      <c r="BS25" s="326">
        <f t="shared" si="190"/>
        <v>0</v>
      </c>
      <c r="BT25" s="326">
        <f t="shared" si="190"/>
        <v>0</v>
      </c>
      <c r="BU25" s="330">
        <f t="shared" si="190"/>
        <v>0</v>
      </c>
      <c r="BV25" s="330">
        <f t="shared" si="190"/>
        <v>0</v>
      </c>
      <c r="BW25" s="330">
        <f t="shared" si="190"/>
        <v>0</v>
      </c>
      <c r="BX25" s="351">
        <f t="shared" si="7"/>
        <v>0</v>
      </c>
      <c r="BY25" s="378">
        <f t="shared" si="8"/>
        <v>0</v>
      </c>
      <c r="BZ25" s="378">
        <f t="shared" si="9"/>
        <v>0</v>
      </c>
    </row>
    <row r="26" spans="1:82" s="234" customFormat="1" ht="15" customHeight="1">
      <c r="A26" s="234" t="s">
        <v>125</v>
      </c>
      <c r="B26" s="234" t="s">
        <v>307</v>
      </c>
      <c r="D26" s="328"/>
      <c r="E26" s="386">
        <v>35220</v>
      </c>
      <c r="F26" s="403" t="s">
        <v>241</v>
      </c>
      <c r="G26" s="388"/>
      <c r="H26" s="388"/>
      <c r="I26" s="388"/>
      <c r="J26" s="388"/>
      <c r="K26" s="388"/>
      <c r="L26" s="329"/>
      <c r="M26" s="329"/>
      <c r="N26" s="329"/>
      <c r="O26" s="329">
        <v>0</v>
      </c>
      <c r="P26" s="329">
        <v>0</v>
      </c>
      <c r="Q26" s="329">
        <v>0</v>
      </c>
      <c r="R26" s="329">
        <v>0</v>
      </c>
      <c r="S26" s="329">
        <v>0</v>
      </c>
      <c r="T26" s="329">
        <v>0.22714366837024419</v>
      </c>
      <c r="U26" s="329">
        <v>0.21124361158432708</v>
      </c>
      <c r="V26" s="329">
        <v>0.2498580352072686</v>
      </c>
      <c r="W26" s="329">
        <v>0.16524701873935263</v>
      </c>
      <c r="X26" s="329">
        <v>0.11243611584327087</v>
      </c>
      <c r="Y26" s="329">
        <v>3.4071550255536626E-2</v>
      </c>
      <c r="Z26" s="329"/>
      <c r="AA26" s="329"/>
      <c r="AB26" s="329"/>
      <c r="AC26" s="426">
        <f t="shared" si="10"/>
        <v>1</v>
      </c>
      <c r="AD26" s="328"/>
      <c r="AE26" s="326">
        <f t="shared" si="168"/>
        <v>0</v>
      </c>
      <c r="AF26" s="326">
        <f t="shared" si="169"/>
        <v>0</v>
      </c>
      <c r="AG26" s="326">
        <f t="shared" si="170"/>
        <v>0</v>
      </c>
      <c r="AH26" s="326">
        <f t="shared" si="171"/>
        <v>0</v>
      </c>
      <c r="AI26" s="326">
        <f t="shared" si="172"/>
        <v>0</v>
      </c>
      <c r="AJ26" s="326">
        <f t="shared" si="173"/>
        <v>0</v>
      </c>
      <c r="AK26" s="326">
        <f t="shared" si="174"/>
        <v>0</v>
      </c>
      <c r="AL26" s="326">
        <f t="shared" si="175"/>
        <v>0</v>
      </c>
      <c r="AM26" s="326">
        <f t="shared" si="176"/>
        <v>0</v>
      </c>
      <c r="AN26" s="326">
        <f t="shared" si="177"/>
        <v>0</v>
      </c>
      <c r="AO26" s="326">
        <f t="shared" si="178"/>
        <v>0</v>
      </c>
      <c r="AP26" s="326">
        <f t="shared" si="179"/>
        <v>0</v>
      </c>
      <c r="AQ26" s="326">
        <f t="shared" si="180"/>
        <v>0</v>
      </c>
      <c r="AR26" s="326">
        <f t="shared" si="181"/>
        <v>8000</v>
      </c>
      <c r="AS26" s="326">
        <f t="shared" si="182"/>
        <v>7440</v>
      </c>
      <c r="AT26" s="326">
        <f t="shared" si="183"/>
        <v>8800</v>
      </c>
      <c r="AU26" s="326">
        <f t="shared" si="184"/>
        <v>5820</v>
      </c>
      <c r="AV26" s="326">
        <f t="shared" si="185"/>
        <v>3960</v>
      </c>
      <c r="AW26" s="534">
        <f t="shared" si="186"/>
        <v>1200</v>
      </c>
      <c r="AX26" s="326">
        <f t="shared" si="187"/>
        <v>0</v>
      </c>
      <c r="AY26" s="326">
        <f t="shared" si="188"/>
        <v>0</v>
      </c>
      <c r="AZ26" s="326">
        <f t="shared" si="189"/>
        <v>0</v>
      </c>
      <c r="BA26" s="330"/>
      <c r="BB26" s="330">
        <f t="shared" si="167"/>
        <v>0</v>
      </c>
      <c r="BC26" s="330">
        <f t="shared" si="167"/>
        <v>0</v>
      </c>
      <c r="BD26" s="330">
        <f t="shared" si="167"/>
        <v>0</v>
      </c>
      <c r="BE26" s="330">
        <f t="shared" si="167"/>
        <v>0</v>
      </c>
      <c r="BF26" s="330">
        <f t="shared" si="167"/>
        <v>0</v>
      </c>
      <c r="BG26" s="330">
        <f t="shared" si="167"/>
        <v>0</v>
      </c>
      <c r="BH26" s="330">
        <f t="shared" si="167"/>
        <v>0</v>
      </c>
      <c r="BI26" s="330">
        <f t="shared" si="167"/>
        <v>0</v>
      </c>
      <c r="BJ26" s="330">
        <f t="shared" si="167"/>
        <v>0</v>
      </c>
      <c r="BK26" s="330">
        <f t="shared" si="167"/>
        <v>0</v>
      </c>
      <c r="BL26" s="330">
        <f t="shared" si="167"/>
        <v>0</v>
      </c>
      <c r="BM26" s="330">
        <f t="shared" si="167"/>
        <v>0</v>
      </c>
      <c r="BN26" s="326">
        <v>48000</v>
      </c>
      <c r="BO26" s="330">
        <v>0</v>
      </c>
      <c r="BP26" s="330">
        <v>-560</v>
      </c>
      <c r="BQ26" s="330">
        <f t="shared" si="190"/>
        <v>0</v>
      </c>
      <c r="BR26" s="326">
        <v>-12080</v>
      </c>
      <c r="BS26" s="326">
        <f t="shared" si="190"/>
        <v>0</v>
      </c>
      <c r="BT26" s="326">
        <v>-140</v>
      </c>
      <c r="BU26" s="330">
        <f t="shared" si="190"/>
        <v>0</v>
      </c>
      <c r="BV26" s="330">
        <f t="shared" si="190"/>
        <v>0</v>
      </c>
      <c r="BW26" s="330">
        <f t="shared" si="190"/>
        <v>0</v>
      </c>
      <c r="BX26" s="351">
        <f t="shared" si="7"/>
        <v>0</v>
      </c>
      <c r="BY26" s="378">
        <f t="shared" si="8"/>
        <v>0</v>
      </c>
      <c r="BZ26" s="378">
        <f t="shared" si="9"/>
        <v>0</v>
      </c>
    </row>
    <row r="27" spans="1:82" s="234" customFormat="1" ht="15" customHeight="1">
      <c r="A27" s="234" t="s">
        <v>125</v>
      </c>
      <c r="B27" s="234" t="s">
        <v>307</v>
      </c>
      <c r="D27" s="328"/>
      <c r="E27" s="386">
        <v>2600</v>
      </c>
      <c r="F27" s="403" t="s">
        <v>250</v>
      </c>
      <c r="G27" s="388"/>
      <c r="H27" s="388"/>
      <c r="I27" s="388"/>
      <c r="J27" s="388"/>
      <c r="K27" s="388"/>
      <c r="L27" s="329"/>
      <c r="M27" s="329"/>
      <c r="N27" s="329"/>
      <c r="O27" s="329">
        <v>0</v>
      </c>
      <c r="P27" s="329">
        <v>0</v>
      </c>
      <c r="Q27" s="329">
        <v>0</v>
      </c>
      <c r="R27" s="329">
        <v>0</v>
      </c>
      <c r="S27" s="329">
        <v>0</v>
      </c>
      <c r="T27" s="329">
        <v>0</v>
      </c>
      <c r="U27" s="329">
        <v>0</v>
      </c>
      <c r="V27" s="329">
        <v>0</v>
      </c>
      <c r="W27" s="329">
        <v>0</v>
      </c>
      <c r="X27" s="329">
        <v>0</v>
      </c>
      <c r="Y27" s="329">
        <v>1</v>
      </c>
      <c r="Z27" s="329"/>
      <c r="AA27" s="329"/>
      <c r="AB27" s="329"/>
      <c r="AC27" s="426">
        <f t="shared" si="10"/>
        <v>1</v>
      </c>
      <c r="AD27" s="328"/>
      <c r="AE27" s="326">
        <f t="shared" si="168"/>
        <v>0</v>
      </c>
      <c r="AF27" s="326">
        <f t="shared" si="169"/>
        <v>0</v>
      </c>
      <c r="AG27" s="326">
        <f t="shared" si="170"/>
        <v>0</v>
      </c>
      <c r="AH27" s="326">
        <f t="shared" si="171"/>
        <v>0</v>
      </c>
      <c r="AI27" s="326">
        <f t="shared" si="172"/>
        <v>0</v>
      </c>
      <c r="AJ27" s="326">
        <f t="shared" si="173"/>
        <v>0</v>
      </c>
      <c r="AK27" s="326">
        <f t="shared" si="174"/>
        <v>0</v>
      </c>
      <c r="AL27" s="326">
        <f t="shared" si="175"/>
        <v>0</v>
      </c>
      <c r="AM27" s="326">
        <f t="shared" si="176"/>
        <v>0</v>
      </c>
      <c r="AN27" s="326">
        <f t="shared" si="177"/>
        <v>0</v>
      </c>
      <c r="AO27" s="326">
        <f t="shared" si="178"/>
        <v>0</v>
      </c>
      <c r="AP27" s="326">
        <f t="shared" si="179"/>
        <v>0</v>
      </c>
      <c r="AQ27" s="326">
        <f t="shared" si="180"/>
        <v>0</v>
      </c>
      <c r="AR27" s="326">
        <f t="shared" si="181"/>
        <v>0</v>
      </c>
      <c r="AS27" s="326">
        <f t="shared" si="182"/>
        <v>0</v>
      </c>
      <c r="AT27" s="326">
        <f t="shared" si="183"/>
        <v>0</v>
      </c>
      <c r="AU27" s="326">
        <f t="shared" si="184"/>
        <v>0</v>
      </c>
      <c r="AV27" s="326">
        <f t="shared" si="185"/>
        <v>0</v>
      </c>
      <c r="AW27" s="534">
        <f t="shared" si="186"/>
        <v>2600</v>
      </c>
      <c r="AX27" s="326">
        <f t="shared" si="187"/>
        <v>0</v>
      </c>
      <c r="AY27" s="326">
        <f t="shared" si="188"/>
        <v>0</v>
      </c>
      <c r="AZ27" s="326">
        <f t="shared" si="189"/>
        <v>0</v>
      </c>
      <c r="BA27" s="330"/>
      <c r="BB27" s="330">
        <f t="shared" si="167"/>
        <v>0</v>
      </c>
      <c r="BC27" s="330">
        <f t="shared" si="167"/>
        <v>0</v>
      </c>
      <c r="BD27" s="330">
        <f t="shared" si="167"/>
        <v>0</v>
      </c>
      <c r="BE27" s="330">
        <f t="shared" si="167"/>
        <v>0</v>
      </c>
      <c r="BF27" s="330">
        <f t="shared" si="167"/>
        <v>0</v>
      </c>
      <c r="BG27" s="330">
        <f t="shared" si="167"/>
        <v>0</v>
      </c>
      <c r="BH27" s="330">
        <f t="shared" si="167"/>
        <v>0</v>
      </c>
      <c r="BI27" s="330">
        <f t="shared" si="167"/>
        <v>0</v>
      </c>
      <c r="BJ27" s="330">
        <f t="shared" si="167"/>
        <v>0</v>
      </c>
      <c r="BK27" s="330">
        <f t="shared" si="167"/>
        <v>0</v>
      </c>
      <c r="BL27" s="330">
        <f t="shared" si="167"/>
        <v>0</v>
      </c>
      <c r="BM27" s="330">
        <f t="shared" si="167"/>
        <v>0</v>
      </c>
      <c r="BN27" s="326">
        <f>IF(BN$3=$F27,$E27,0)</f>
        <v>0</v>
      </c>
      <c r="BO27" s="330">
        <f>IF(BO$3=$F27,$E27,0)</f>
        <v>0</v>
      </c>
      <c r="BP27" s="330">
        <f t="shared" si="190"/>
        <v>0</v>
      </c>
      <c r="BQ27" s="330">
        <f t="shared" si="190"/>
        <v>0</v>
      </c>
      <c r="BR27" s="326">
        <f t="shared" si="190"/>
        <v>0</v>
      </c>
      <c r="BS27" s="326">
        <f t="shared" si="190"/>
        <v>0</v>
      </c>
      <c r="BT27" s="326">
        <f t="shared" si="190"/>
        <v>2600</v>
      </c>
      <c r="BU27" s="330">
        <f t="shared" si="190"/>
        <v>0</v>
      </c>
      <c r="BV27" s="330">
        <f t="shared" si="190"/>
        <v>0</v>
      </c>
      <c r="BW27" s="330">
        <f t="shared" si="190"/>
        <v>0</v>
      </c>
      <c r="BX27" s="351">
        <f t="shared" si="7"/>
        <v>0</v>
      </c>
      <c r="BY27" s="378">
        <f t="shared" si="8"/>
        <v>0</v>
      </c>
      <c r="BZ27" s="378">
        <f t="shared" si="9"/>
        <v>0</v>
      </c>
    </row>
    <row r="28" spans="1:82" s="234" customFormat="1" ht="15" customHeight="1">
      <c r="A28" s="234" t="s">
        <v>125</v>
      </c>
      <c r="B28" s="234" t="s">
        <v>307</v>
      </c>
      <c r="D28" s="328"/>
      <c r="E28" s="386">
        <v>12400</v>
      </c>
      <c r="F28" s="403" t="s">
        <v>241</v>
      </c>
      <c r="G28" s="388"/>
      <c r="H28" s="388"/>
      <c r="I28" s="388"/>
      <c r="J28" s="388"/>
      <c r="K28" s="388"/>
      <c r="L28" s="329"/>
      <c r="M28" s="329"/>
      <c r="N28" s="329"/>
      <c r="O28" s="329">
        <v>0</v>
      </c>
      <c r="P28" s="329">
        <v>0</v>
      </c>
      <c r="Q28" s="329">
        <v>0</v>
      </c>
      <c r="R28" s="329">
        <v>0</v>
      </c>
      <c r="S28" s="329">
        <v>0.25</v>
      </c>
      <c r="T28" s="329">
        <v>0.75</v>
      </c>
      <c r="U28" s="329">
        <v>0</v>
      </c>
      <c r="V28" s="329">
        <v>0</v>
      </c>
      <c r="W28" s="329">
        <v>0</v>
      </c>
      <c r="X28" s="329"/>
      <c r="Y28" s="329"/>
      <c r="Z28" s="329"/>
      <c r="AA28" s="329"/>
      <c r="AB28" s="329"/>
      <c r="AC28" s="426">
        <f t="shared" si="10"/>
        <v>1</v>
      </c>
      <c r="AD28" s="328"/>
      <c r="AE28" s="326">
        <f t="shared" si="168"/>
        <v>0</v>
      </c>
      <c r="AF28" s="326">
        <f t="shared" si="169"/>
        <v>0</v>
      </c>
      <c r="AG28" s="326">
        <f t="shared" si="170"/>
        <v>0</v>
      </c>
      <c r="AH28" s="326">
        <f t="shared" si="171"/>
        <v>0</v>
      </c>
      <c r="AI28" s="326">
        <f t="shared" si="172"/>
        <v>0</v>
      </c>
      <c r="AJ28" s="326">
        <f t="shared" si="173"/>
        <v>0</v>
      </c>
      <c r="AK28" s="326">
        <f t="shared" si="174"/>
        <v>0</v>
      </c>
      <c r="AL28" s="326">
        <f t="shared" si="175"/>
        <v>0</v>
      </c>
      <c r="AM28" s="326">
        <f t="shared" si="176"/>
        <v>0</v>
      </c>
      <c r="AN28" s="326">
        <f t="shared" si="177"/>
        <v>0</v>
      </c>
      <c r="AO28" s="326">
        <f t="shared" si="178"/>
        <v>0</v>
      </c>
      <c r="AP28" s="326">
        <f t="shared" si="179"/>
        <v>0</v>
      </c>
      <c r="AQ28" s="326">
        <f t="shared" si="180"/>
        <v>3100</v>
      </c>
      <c r="AR28" s="326">
        <f t="shared" si="181"/>
        <v>9300</v>
      </c>
      <c r="AS28" s="326">
        <f t="shared" si="182"/>
        <v>0</v>
      </c>
      <c r="AT28" s="326">
        <f t="shared" si="183"/>
        <v>0</v>
      </c>
      <c r="AU28" s="326">
        <f t="shared" si="184"/>
        <v>0</v>
      </c>
      <c r="AV28" s="326">
        <f t="shared" si="185"/>
        <v>0</v>
      </c>
      <c r="AW28" s="326">
        <f t="shared" si="186"/>
        <v>0</v>
      </c>
      <c r="AX28" s="326">
        <f t="shared" si="187"/>
        <v>0</v>
      </c>
      <c r="AY28" s="326">
        <f t="shared" si="188"/>
        <v>0</v>
      </c>
      <c r="AZ28" s="326">
        <f t="shared" si="189"/>
        <v>0</v>
      </c>
      <c r="BA28" s="330"/>
      <c r="BB28" s="330">
        <f t="shared" si="164"/>
        <v>0</v>
      </c>
      <c r="BC28" s="330">
        <f t="shared" si="164"/>
        <v>0</v>
      </c>
      <c r="BD28" s="330">
        <f t="shared" si="164"/>
        <v>0</v>
      </c>
      <c r="BE28" s="330">
        <f t="shared" si="164"/>
        <v>0</v>
      </c>
      <c r="BF28" s="330">
        <f t="shared" si="164"/>
        <v>0</v>
      </c>
      <c r="BG28" s="330">
        <f t="shared" si="164"/>
        <v>0</v>
      </c>
      <c r="BH28" s="330">
        <f t="shared" si="164"/>
        <v>0</v>
      </c>
      <c r="BI28" s="330">
        <f t="shared" si="164"/>
        <v>0</v>
      </c>
      <c r="BJ28" s="330">
        <f t="shared" si="164"/>
        <v>0</v>
      </c>
      <c r="BK28" s="330">
        <f t="shared" si="164"/>
        <v>0</v>
      </c>
      <c r="BL28" s="330">
        <f t="shared" si="164"/>
        <v>0</v>
      </c>
      <c r="BM28" s="330">
        <f t="shared" si="164"/>
        <v>0</v>
      </c>
      <c r="BN28" s="326">
        <v>37200</v>
      </c>
      <c r="BO28" s="330">
        <v>0</v>
      </c>
      <c r="BP28" s="330">
        <v>-24800</v>
      </c>
      <c r="BQ28" s="330">
        <f t="shared" ref="BQ28:BW30" si="191">IF(BQ$3=$F28,$E28,0)</f>
        <v>0</v>
      </c>
      <c r="BR28" s="326">
        <f t="shared" si="191"/>
        <v>0</v>
      </c>
      <c r="BS28" s="326">
        <f t="shared" si="191"/>
        <v>0</v>
      </c>
      <c r="BT28" s="326">
        <f t="shared" si="191"/>
        <v>0</v>
      </c>
      <c r="BU28" s="330">
        <f t="shared" si="191"/>
        <v>0</v>
      </c>
      <c r="BV28" s="330">
        <f t="shared" si="191"/>
        <v>0</v>
      </c>
      <c r="BW28" s="330">
        <f t="shared" si="191"/>
        <v>0</v>
      </c>
      <c r="BX28" s="351">
        <f t="shared" si="7"/>
        <v>0</v>
      </c>
      <c r="BY28" s="378">
        <f t="shared" si="8"/>
        <v>0</v>
      </c>
      <c r="BZ28" s="378">
        <f t="shared" si="9"/>
        <v>0</v>
      </c>
    </row>
    <row r="29" spans="1:82" s="234" customFormat="1" ht="15" customHeight="1">
      <c r="A29" s="234" t="s">
        <v>125</v>
      </c>
      <c r="B29" s="234" t="s">
        <v>308</v>
      </c>
      <c r="D29" s="328"/>
      <c r="E29" s="386">
        <v>18938.400000000001</v>
      </c>
      <c r="F29" s="403" t="s">
        <v>241</v>
      </c>
      <c r="G29" s="388"/>
      <c r="H29" s="388"/>
      <c r="I29" s="388"/>
      <c r="J29" s="388"/>
      <c r="K29" s="388"/>
      <c r="L29" s="329"/>
      <c r="M29" s="329"/>
      <c r="N29" s="329"/>
      <c r="O29" s="329">
        <v>0</v>
      </c>
      <c r="P29" s="329">
        <v>0</v>
      </c>
      <c r="Q29" s="329">
        <v>0</v>
      </c>
      <c r="R29" s="329">
        <v>0</v>
      </c>
      <c r="S29" s="329">
        <v>0</v>
      </c>
      <c r="T29" s="329">
        <v>0</v>
      </c>
      <c r="U29" s="329">
        <v>1</v>
      </c>
      <c r="V29" s="329">
        <v>0</v>
      </c>
      <c r="W29" s="329"/>
      <c r="X29" s="329"/>
      <c r="Y29" s="329"/>
      <c r="Z29" s="329"/>
      <c r="AA29" s="329"/>
      <c r="AB29" s="329"/>
      <c r="AC29" s="426">
        <f t="shared" si="10"/>
        <v>1</v>
      </c>
      <c r="AD29" s="328"/>
      <c r="AE29" s="326">
        <f t="shared" si="168"/>
        <v>0</v>
      </c>
      <c r="AF29" s="326">
        <f t="shared" si="169"/>
        <v>0</v>
      </c>
      <c r="AG29" s="326">
        <f t="shared" si="170"/>
        <v>0</v>
      </c>
      <c r="AH29" s="326">
        <f t="shared" si="171"/>
        <v>0</v>
      </c>
      <c r="AI29" s="326">
        <f t="shared" si="172"/>
        <v>0</v>
      </c>
      <c r="AJ29" s="326">
        <f t="shared" si="173"/>
        <v>0</v>
      </c>
      <c r="AK29" s="326">
        <f t="shared" si="174"/>
        <v>0</v>
      </c>
      <c r="AL29" s="326">
        <f t="shared" si="175"/>
        <v>0</v>
      </c>
      <c r="AM29" s="326">
        <f t="shared" si="176"/>
        <v>0</v>
      </c>
      <c r="AN29" s="326">
        <f t="shared" si="177"/>
        <v>0</v>
      </c>
      <c r="AO29" s="326">
        <f t="shared" si="178"/>
        <v>0</v>
      </c>
      <c r="AP29" s="326">
        <f t="shared" si="179"/>
        <v>0</v>
      </c>
      <c r="AQ29" s="326">
        <f t="shared" si="180"/>
        <v>0</v>
      </c>
      <c r="AR29" s="326">
        <f t="shared" si="181"/>
        <v>0</v>
      </c>
      <c r="AS29" s="326">
        <f t="shared" si="182"/>
        <v>18938.400000000001</v>
      </c>
      <c r="AT29" s="326">
        <f t="shared" si="183"/>
        <v>0</v>
      </c>
      <c r="AU29" s="326">
        <f t="shared" si="184"/>
        <v>0</v>
      </c>
      <c r="AV29" s="326">
        <f t="shared" si="185"/>
        <v>0</v>
      </c>
      <c r="AW29" s="326">
        <f t="shared" si="186"/>
        <v>0</v>
      </c>
      <c r="AX29" s="326">
        <f t="shared" si="187"/>
        <v>0</v>
      </c>
      <c r="AY29" s="326">
        <f t="shared" si="188"/>
        <v>0</v>
      </c>
      <c r="AZ29" s="326">
        <f t="shared" si="189"/>
        <v>0</v>
      </c>
      <c r="BA29" s="330"/>
      <c r="BB29" s="330">
        <f t="shared" si="164"/>
        <v>0</v>
      </c>
      <c r="BC29" s="330">
        <f t="shared" si="164"/>
        <v>0</v>
      </c>
      <c r="BD29" s="330">
        <f t="shared" si="164"/>
        <v>0</v>
      </c>
      <c r="BE29" s="330">
        <f t="shared" si="164"/>
        <v>0</v>
      </c>
      <c r="BF29" s="330">
        <f t="shared" si="164"/>
        <v>0</v>
      </c>
      <c r="BG29" s="330">
        <f t="shared" si="164"/>
        <v>0</v>
      </c>
      <c r="BH29" s="330">
        <f t="shared" si="164"/>
        <v>0</v>
      </c>
      <c r="BI29" s="330">
        <f t="shared" si="164"/>
        <v>0</v>
      </c>
      <c r="BJ29" s="330">
        <f t="shared" si="164"/>
        <v>0</v>
      </c>
      <c r="BK29" s="330">
        <f t="shared" si="164"/>
        <v>0</v>
      </c>
      <c r="BL29" s="330">
        <f t="shared" si="164"/>
        <v>0</v>
      </c>
      <c r="BM29" s="330">
        <f t="shared" si="164"/>
        <v>0</v>
      </c>
      <c r="BN29" s="326">
        <v>21211.01</v>
      </c>
      <c r="BO29" s="330">
        <v>-2272.61</v>
      </c>
      <c r="BP29" s="330">
        <f>IF(BP$3=$F29,$E29,0)</f>
        <v>0</v>
      </c>
      <c r="BQ29" s="330">
        <f t="shared" si="191"/>
        <v>0</v>
      </c>
      <c r="BR29" s="326">
        <f t="shared" si="191"/>
        <v>0</v>
      </c>
      <c r="BS29" s="326">
        <f t="shared" si="191"/>
        <v>0</v>
      </c>
      <c r="BT29" s="326">
        <f t="shared" si="191"/>
        <v>0</v>
      </c>
      <c r="BU29" s="330">
        <f t="shared" si="191"/>
        <v>0</v>
      </c>
      <c r="BV29" s="330">
        <f t="shared" si="191"/>
        <v>0</v>
      </c>
      <c r="BW29" s="330">
        <f t="shared" si="191"/>
        <v>0</v>
      </c>
      <c r="BX29" s="351">
        <f t="shared" si="7"/>
        <v>0</v>
      </c>
      <c r="BY29" s="378">
        <f t="shared" si="8"/>
        <v>0</v>
      </c>
      <c r="BZ29" s="378">
        <f t="shared" si="9"/>
        <v>0</v>
      </c>
    </row>
    <row r="30" spans="1:82" s="234" customFormat="1" ht="15" customHeight="1">
      <c r="A30" s="234" t="s">
        <v>125</v>
      </c>
      <c r="D30" s="328"/>
      <c r="E30" s="386">
        <v>19917.16</v>
      </c>
      <c r="F30" s="403" t="s">
        <v>202</v>
      </c>
      <c r="G30" s="388"/>
      <c r="H30" s="388"/>
      <c r="I30" s="388"/>
      <c r="J30" s="388"/>
      <c r="K30" s="388"/>
      <c r="L30" s="329"/>
      <c r="M30" s="329"/>
      <c r="N30" s="329"/>
      <c r="O30" s="329">
        <v>0</v>
      </c>
      <c r="P30" s="329">
        <v>0</v>
      </c>
      <c r="Q30" s="329">
        <v>0</v>
      </c>
      <c r="R30" s="329">
        <v>0</v>
      </c>
      <c r="S30" s="329">
        <v>0</v>
      </c>
      <c r="T30" s="329">
        <v>0</v>
      </c>
      <c r="U30" s="329">
        <v>0.31128936053132072</v>
      </c>
      <c r="V30" s="329">
        <v>0.42719845600477174</v>
      </c>
      <c r="W30" s="329">
        <v>0.26151218346390748</v>
      </c>
      <c r="X30" s="329">
        <v>0</v>
      </c>
      <c r="Y30" s="329"/>
      <c r="Z30" s="329"/>
      <c r="AA30" s="329"/>
      <c r="AB30" s="329"/>
      <c r="AC30" s="426">
        <f t="shared" si="10"/>
        <v>0.99999999999999989</v>
      </c>
      <c r="AD30" s="328"/>
      <c r="AE30" s="326">
        <f t="shared" si="168"/>
        <v>0</v>
      </c>
      <c r="AF30" s="326">
        <f t="shared" si="169"/>
        <v>0</v>
      </c>
      <c r="AG30" s="326">
        <f t="shared" si="170"/>
        <v>0</v>
      </c>
      <c r="AH30" s="326">
        <f t="shared" si="171"/>
        <v>0</v>
      </c>
      <c r="AI30" s="326">
        <f t="shared" si="172"/>
        <v>0</v>
      </c>
      <c r="AJ30" s="326">
        <f t="shared" si="173"/>
        <v>0</v>
      </c>
      <c r="AK30" s="326">
        <f t="shared" si="174"/>
        <v>0</v>
      </c>
      <c r="AL30" s="326">
        <f t="shared" si="175"/>
        <v>0</v>
      </c>
      <c r="AM30" s="326">
        <f t="shared" si="176"/>
        <v>0</v>
      </c>
      <c r="AN30" s="326">
        <f t="shared" si="177"/>
        <v>0</v>
      </c>
      <c r="AO30" s="326">
        <f t="shared" si="178"/>
        <v>0</v>
      </c>
      <c r="AP30" s="326">
        <f t="shared" si="179"/>
        <v>0</v>
      </c>
      <c r="AQ30" s="326">
        <f t="shared" si="180"/>
        <v>0</v>
      </c>
      <c r="AR30" s="326">
        <f t="shared" si="181"/>
        <v>0</v>
      </c>
      <c r="AS30" s="326">
        <f t="shared" si="182"/>
        <v>6200</v>
      </c>
      <c r="AT30" s="326">
        <f t="shared" si="183"/>
        <v>8508.58</v>
      </c>
      <c r="AU30" s="326">
        <f t="shared" si="184"/>
        <v>5208.579999999999</v>
      </c>
      <c r="AV30" s="326">
        <f t="shared" si="185"/>
        <v>0</v>
      </c>
      <c r="AW30" s="326">
        <f t="shared" si="186"/>
        <v>0</v>
      </c>
      <c r="AX30" s="326">
        <f t="shared" si="187"/>
        <v>0</v>
      </c>
      <c r="AY30" s="326">
        <f t="shared" si="188"/>
        <v>0</v>
      </c>
      <c r="AZ30" s="326">
        <f t="shared" si="189"/>
        <v>0</v>
      </c>
      <c r="BA30" s="330"/>
      <c r="BB30" s="330">
        <f t="shared" si="164"/>
        <v>0</v>
      </c>
      <c r="BC30" s="330">
        <f t="shared" si="164"/>
        <v>0</v>
      </c>
      <c r="BD30" s="330">
        <f t="shared" si="164"/>
        <v>0</v>
      </c>
      <c r="BE30" s="330">
        <f t="shared" si="164"/>
        <v>0</v>
      </c>
      <c r="BF30" s="330">
        <f t="shared" si="164"/>
        <v>0</v>
      </c>
      <c r="BG30" s="330">
        <f t="shared" si="164"/>
        <v>0</v>
      </c>
      <c r="BH30" s="330">
        <f t="shared" si="164"/>
        <v>0</v>
      </c>
      <c r="BI30" s="330">
        <f t="shared" si="164"/>
        <v>0</v>
      </c>
      <c r="BJ30" s="330">
        <f t="shared" si="164"/>
        <v>0</v>
      </c>
      <c r="BK30" s="330">
        <f t="shared" si="164"/>
        <v>0</v>
      </c>
      <c r="BL30" s="330">
        <f t="shared" si="164"/>
        <v>0</v>
      </c>
      <c r="BM30" s="330">
        <f t="shared" si="164"/>
        <v>0</v>
      </c>
      <c r="BN30" s="326">
        <f>IF(BN$3=$F30,$E30,0)</f>
        <v>0</v>
      </c>
      <c r="BO30" s="330">
        <f>IF(BO$3=$F30,$E30,0)</f>
        <v>0</v>
      </c>
      <c r="BP30" s="330">
        <v>34100</v>
      </c>
      <c r="BQ30" s="330">
        <f t="shared" si="191"/>
        <v>0</v>
      </c>
      <c r="BR30" s="326">
        <v>-14182.84</v>
      </c>
      <c r="BS30" s="326">
        <f t="shared" si="191"/>
        <v>0</v>
      </c>
      <c r="BT30" s="326">
        <f t="shared" si="191"/>
        <v>0</v>
      </c>
      <c r="BU30" s="330">
        <f t="shared" si="191"/>
        <v>0</v>
      </c>
      <c r="BV30" s="330">
        <f t="shared" si="191"/>
        <v>0</v>
      </c>
      <c r="BW30" s="330">
        <f t="shared" si="191"/>
        <v>0</v>
      </c>
      <c r="BX30" s="351">
        <f t="shared" si="7"/>
        <v>0</v>
      </c>
      <c r="BY30" s="378">
        <f t="shared" si="8"/>
        <v>0</v>
      </c>
      <c r="BZ30" s="378">
        <f t="shared" si="9"/>
        <v>0</v>
      </c>
    </row>
    <row r="31" spans="1:82" s="234" customFormat="1" ht="15" customHeight="1">
      <c r="A31" s="234" t="s">
        <v>125</v>
      </c>
      <c r="D31" s="328"/>
      <c r="E31" s="386">
        <v>11700</v>
      </c>
      <c r="F31" s="403" t="s">
        <v>253</v>
      </c>
      <c r="G31" s="329">
        <v>0</v>
      </c>
      <c r="H31" s="329">
        <v>0</v>
      </c>
      <c r="I31" s="329">
        <v>0</v>
      </c>
      <c r="J31" s="329">
        <v>0</v>
      </c>
      <c r="K31" s="329">
        <v>0</v>
      </c>
      <c r="L31" s="329">
        <v>0</v>
      </c>
      <c r="M31" s="387">
        <v>0</v>
      </c>
      <c r="N31" s="329">
        <v>0</v>
      </c>
      <c r="O31" s="329">
        <v>0</v>
      </c>
      <c r="P31" s="329">
        <v>0</v>
      </c>
      <c r="Q31" s="329">
        <v>0</v>
      </c>
      <c r="R31" s="329">
        <v>0</v>
      </c>
      <c r="S31" s="329">
        <v>0</v>
      </c>
      <c r="T31" s="329">
        <v>0</v>
      </c>
      <c r="U31" s="329">
        <v>0</v>
      </c>
      <c r="V31" s="329">
        <v>0</v>
      </c>
      <c r="W31" s="329">
        <v>0.86324786324786329</v>
      </c>
      <c r="X31" s="329">
        <v>0</v>
      </c>
      <c r="Y31" s="329">
        <v>0.13675213675213677</v>
      </c>
      <c r="Z31" s="329"/>
      <c r="AA31" s="329"/>
      <c r="AB31" s="329"/>
      <c r="AC31" s="426">
        <f t="shared" si="10"/>
        <v>1</v>
      </c>
      <c r="AD31" s="328"/>
      <c r="AE31" s="326">
        <f t="shared" si="168"/>
        <v>0</v>
      </c>
      <c r="AF31" s="326">
        <f t="shared" si="169"/>
        <v>0</v>
      </c>
      <c r="AG31" s="326">
        <f t="shared" si="170"/>
        <v>0</v>
      </c>
      <c r="AH31" s="326">
        <f t="shared" si="171"/>
        <v>0</v>
      </c>
      <c r="AI31" s="326">
        <f t="shared" si="172"/>
        <v>0</v>
      </c>
      <c r="AJ31" s="326">
        <f t="shared" si="173"/>
        <v>0</v>
      </c>
      <c r="AK31" s="326">
        <f t="shared" si="174"/>
        <v>0</v>
      </c>
      <c r="AL31" s="326">
        <f t="shared" si="175"/>
        <v>0</v>
      </c>
      <c r="AM31" s="326">
        <f t="shared" si="176"/>
        <v>0</v>
      </c>
      <c r="AN31" s="326">
        <f t="shared" si="177"/>
        <v>0</v>
      </c>
      <c r="AO31" s="326">
        <f t="shared" si="178"/>
        <v>0</v>
      </c>
      <c r="AP31" s="326">
        <f t="shared" si="179"/>
        <v>0</v>
      </c>
      <c r="AQ31" s="326">
        <f t="shared" si="180"/>
        <v>0</v>
      </c>
      <c r="AR31" s="326">
        <f t="shared" si="181"/>
        <v>0</v>
      </c>
      <c r="AS31" s="326">
        <f t="shared" si="182"/>
        <v>0</v>
      </c>
      <c r="AT31" s="326">
        <f t="shared" si="183"/>
        <v>0</v>
      </c>
      <c r="AU31" s="326">
        <f t="shared" si="184"/>
        <v>10100</v>
      </c>
      <c r="AV31" s="326">
        <f t="shared" si="185"/>
        <v>0</v>
      </c>
      <c r="AW31" s="534">
        <f t="shared" si="186"/>
        <v>1600.0000000000002</v>
      </c>
      <c r="AX31" s="326">
        <f t="shared" si="187"/>
        <v>0</v>
      </c>
      <c r="AY31" s="326">
        <f t="shared" si="188"/>
        <v>0</v>
      </c>
      <c r="AZ31" s="326">
        <f t="shared" si="189"/>
        <v>0</v>
      </c>
      <c r="BA31" s="330"/>
      <c r="BB31" s="330">
        <f t="shared" ref="BB31:BQ36" si="192">IF(BB$3=$F31,$E31,0)</f>
        <v>0</v>
      </c>
      <c r="BC31" s="330">
        <f t="shared" si="192"/>
        <v>0</v>
      </c>
      <c r="BD31" s="330">
        <f t="shared" si="192"/>
        <v>0</v>
      </c>
      <c r="BE31" s="330">
        <f t="shared" si="192"/>
        <v>0</v>
      </c>
      <c r="BF31" s="330">
        <f t="shared" si="192"/>
        <v>0</v>
      </c>
      <c r="BG31" s="330">
        <f t="shared" si="192"/>
        <v>0</v>
      </c>
      <c r="BH31" s="330">
        <f t="shared" si="192"/>
        <v>0</v>
      </c>
      <c r="BI31" s="330">
        <f t="shared" si="192"/>
        <v>0</v>
      </c>
      <c r="BJ31" s="330">
        <f t="shared" si="192"/>
        <v>0</v>
      </c>
      <c r="BK31" s="330">
        <f t="shared" si="192"/>
        <v>0</v>
      </c>
      <c r="BL31" s="330">
        <f t="shared" si="192"/>
        <v>0</v>
      </c>
      <c r="BM31" s="330">
        <f t="shared" si="192"/>
        <v>0</v>
      </c>
      <c r="BN31" s="330">
        <f t="shared" si="192"/>
        <v>0</v>
      </c>
      <c r="BO31" s="330">
        <f t="shared" si="192"/>
        <v>0</v>
      </c>
      <c r="BP31" s="330">
        <f t="shared" si="192"/>
        <v>0</v>
      </c>
      <c r="BQ31" s="330">
        <v>12500</v>
      </c>
      <c r="BR31" s="326">
        <f t="shared" si="6"/>
        <v>0</v>
      </c>
      <c r="BS31" s="326">
        <v>-800</v>
      </c>
      <c r="BT31" s="326"/>
      <c r="BU31" s="330">
        <f t="shared" si="6"/>
        <v>0</v>
      </c>
      <c r="BV31" s="330">
        <f t="shared" si="6"/>
        <v>0</v>
      </c>
      <c r="BW31" s="330">
        <f t="shared" si="6"/>
        <v>0</v>
      </c>
      <c r="BX31" s="351">
        <f t="shared" si="7"/>
        <v>0</v>
      </c>
      <c r="BY31" s="378">
        <f t="shared" si="8"/>
        <v>0</v>
      </c>
      <c r="BZ31" s="378">
        <f t="shared" si="9"/>
        <v>0</v>
      </c>
    </row>
    <row r="32" spans="1:82" s="234" customFormat="1" ht="15" customHeight="1">
      <c r="A32" s="234" t="s">
        <v>125</v>
      </c>
      <c r="D32" s="328"/>
      <c r="E32" s="386">
        <v>0</v>
      </c>
      <c r="F32" s="403" t="s">
        <v>253</v>
      </c>
      <c r="G32" s="329">
        <v>0</v>
      </c>
      <c r="H32" s="329">
        <v>0</v>
      </c>
      <c r="I32" s="329">
        <v>0</v>
      </c>
      <c r="J32" s="329">
        <v>0</v>
      </c>
      <c r="K32" s="329">
        <v>0</v>
      </c>
      <c r="L32" s="329">
        <v>0</v>
      </c>
      <c r="M32" s="387">
        <v>0</v>
      </c>
      <c r="N32" s="329">
        <v>0</v>
      </c>
      <c r="O32" s="329">
        <v>0</v>
      </c>
      <c r="P32" s="329">
        <v>0</v>
      </c>
      <c r="Q32" s="329">
        <v>0</v>
      </c>
      <c r="R32" s="329">
        <v>0</v>
      </c>
      <c r="S32" s="329">
        <v>0</v>
      </c>
      <c r="T32" s="329">
        <v>0</v>
      </c>
      <c r="U32" s="329">
        <v>0</v>
      </c>
      <c r="V32" s="329">
        <v>0.25</v>
      </c>
      <c r="W32" s="329">
        <v>0.25</v>
      </c>
      <c r="X32" s="329">
        <v>0.5</v>
      </c>
      <c r="Y32" s="329">
        <v>0</v>
      </c>
      <c r="Z32" s="329"/>
      <c r="AA32" s="329"/>
      <c r="AB32" s="329"/>
      <c r="AC32" s="426">
        <f t="shared" si="10"/>
        <v>1</v>
      </c>
      <c r="AD32" s="328"/>
      <c r="AE32" s="326">
        <f t="shared" si="168"/>
        <v>0</v>
      </c>
      <c r="AF32" s="326">
        <f t="shared" si="169"/>
        <v>0</v>
      </c>
      <c r="AG32" s="326">
        <f t="shared" si="170"/>
        <v>0</v>
      </c>
      <c r="AH32" s="326">
        <f t="shared" si="171"/>
        <v>0</v>
      </c>
      <c r="AI32" s="326">
        <f t="shared" si="172"/>
        <v>0</v>
      </c>
      <c r="AJ32" s="326">
        <f t="shared" si="173"/>
        <v>0</v>
      </c>
      <c r="AK32" s="326">
        <f t="shared" si="174"/>
        <v>0</v>
      </c>
      <c r="AL32" s="326">
        <f t="shared" si="175"/>
        <v>0</v>
      </c>
      <c r="AM32" s="326">
        <f t="shared" si="176"/>
        <v>0</v>
      </c>
      <c r="AN32" s="326">
        <f t="shared" si="177"/>
        <v>0</v>
      </c>
      <c r="AO32" s="326">
        <f t="shared" si="178"/>
        <v>0</v>
      </c>
      <c r="AP32" s="326">
        <f t="shared" si="179"/>
        <v>0</v>
      </c>
      <c r="AQ32" s="326">
        <f t="shared" si="180"/>
        <v>0</v>
      </c>
      <c r="AR32" s="326">
        <f t="shared" si="181"/>
        <v>0</v>
      </c>
      <c r="AS32" s="326">
        <f t="shared" si="182"/>
        <v>0</v>
      </c>
      <c r="AT32" s="326">
        <f t="shared" si="183"/>
        <v>0</v>
      </c>
      <c r="AU32" s="326">
        <f t="shared" si="184"/>
        <v>0</v>
      </c>
      <c r="AV32" s="326">
        <f t="shared" si="185"/>
        <v>0</v>
      </c>
      <c r="AW32" s="326">
        <f t="shared" si="186"/>
        <v>0</v>
      </c>
      <c r="AX32" s="326">
        <f t="shared" si="187"/>
        <v>0</v>
      </c>
      <c r="AY32" s="326">
        <f t="shared" si="188"/>
        <v>0</v>
      </c>
      <c r="AZ32" s="326">
        <f t="shared" si="189"/>
        <v>0</v>
      </c>
      <c r="BA32" s="330"/>
      <c r="BB32" s="330">
        <f t="shared" si="192"/>
        <v>0</v>
      </c>
      <c r="BC32" s="330">
        <f t="shared" si="192"/>
        <v>0</v>
      </c>
      <c r="BD32" s="330">
        <f t="shared" si="192"/>
        <v>0</v>
      </c>
      <c r="BE32" s="330">
        <f t="shared" si="192"/>
        <v>0</v>
      </c>
      <c r="BF32" s="330">
        <f t="shared" si="192"/>
        <v>0</v>
      </c>
      <c r="BG32" s="330">
        <f t="shared" si="192"/>
        <v>0</v>
      </c>
      <c r="BH32" s="330">
        <f t="shared" si="192"/>
        <v>0</v>
      </c>
      <c r="BI32" s="330">
        <f t="shared" si="192"/>
        <v>0</v>
      </c>
      <c r="BJ32" s="330">
        <f t="shared" si="192"/>
        <v>0</v>
      </c>
      <c r="BK32" s="330">
        <f t="shared" si="192"/>
        <v>0</v>
      </c>
      <c r="BL32" s="330">
        <f t="shared" si="192"/>
        <v>0</v>
      </c>
      <c r="BM32" s="330">
        <f t="shared" si="192"/>
        <v>0</v>
      </c>
      <c r="BN32" s="330">
        <f t="shared" si="192"/>
        <v>0</v>
      </c>
      <c r="BO32" s="330">
        <f t="shared" si="192"/>
        <v>0</v>
      </c>
      <c r="BP32" s="330">
        <f t="shared" si="192"/>
        <v>0</v>
      </c>
      <c r="BQ32" s="330">
        <f t="shared" si="192"/>
        <v>0</v>
      </c>
      <c r="BR32" s="326">
        <f t="shared" si="6"/>
        <v>0</v>
      </c>
      <c r="BS32" s="326">
        <f t="shared" si="6"/>
        <v>0</v>
      </c>
      <c r="BT32" s="326">
        <f t="shared" si="6"/>
        <v>0</v>
      </c>
      <c r="BU32" s="330">
        <f t="shared" si="6"/>
        <v>0</v>
      </c>
      <c r="BV32" s="330">
        <f t="shared" si="6"/>
        <v>0</v>
      </c>
      <c r="BW32" s="330">
        <f t="shared" si="6"/>
        <v>0</v>
      </c>
      <c r="BX32" s="351">
        <f t="shared" si="7"/>
        <v>0</v>
      </c>
      <c r="BY32" s="378">
        <f t="shared" si="8"/>
        <v>0</v>
      </c>
      <c r="BZ32" s="378">
        <f t="shared" si="9"/>
        <v>0</v>
      </c>
    </row>
    <row r="33" spans="1:78" s="234" customFormat="1" ht="15" customHeight="1">
      <c r="A33" s="234" t="s">
        <v>125</v>
      </c>
      <c r="D33" s="328"/>
      <c r="E33" s="386">
        <v>19796.400000000001</v>
      </c>
      <c r="F33" s="403" t="s">
        <v>253</v>
      </c>
      <c r="G33" s="329">
        <v>0</v>
      </c>
      <c r="H33" s="329">
        <v>0</v>
      </c>
      <c r="I33" s="329">
        <v>0</v>
      </c>
      <c r="J33" s="329">
        <v>0</v>
      </c>
      <c r="K33" s="329">
        <v>0</v>
      </c>
      <c r="L33" s="329">
        <v>0</v>
      </c>
      <c r="M33" s="387">
        <v>0</v>
      </c>
      <c r="N33" s="329">
        <v>0</v>
      </c>
      <c r="O33" s="329">
        <v>0</v>
      </c>
      <c r="P33" s="329">
        <v>0</v>
      </c>
      <c r="Q33" s="329">
        <v>0</v>
      </c>
      <c r="R33" s="329">
        <v>0</v>
      </c>
      <c r="S33" s="329">
        <v>0</v>
      </c>
      <c r="T33" s="329">
        <v>0</v>
      </c>
      <c r="U33" s="329">
        <v>0</v>
      </c>
      <c r="V33" s="329">
        <v>0.17094017094017092</v>
      </c>
      <c r="W33" s="329">
        <v>0.54700854700854695</v>
      </c>
      <c r="X33" s="329">
        <v>0.28205128205128205</v>
      </c>
      <c r="Y33" s="329">
        <v>0</v>
      </c>
      <c r="Z33" s="329"/>
      <c r="AA33" s="329"/>
      <c r="AB33" s="329"/>
      <c r="AC33" s="426">
        <f t="shared" si="10"/>
        <v>0.99999999999999989</v>
      </c>
      <c r="AD33" s="328"/>
      <c r="AE33" s="326">
        <f t="shared" si="168"/>
        <v>0</v>
      </c>
      <c r="AF33" s="326">
        <f t="shared" si="169"/>
        <v>0</v>
      </c>
      <c r="AG33" s="326">
        <f t="shared" si="170"/>
        <v>0</v>
      </c>
      <c r="AH33" s="326">
        <f t="shared" si="171"/>
        <v>0</v>
      </c>
      <c r="AI33" s="326">
        <f t="shared" si="172"/>
        <v>0</v>
      </c>
      <c r="AJ33" s="326">
        <f t="shared" si="173"/>
        <v>0</v>
      </c>
      <c r="AK33" s="326">
        <f t="shared" si="174"/>
        <v>0</v>
      </c>
      <c r="AL33" s="326">
        <f t="shared" si="175"/>
        <v>0</v>
      </c>
      <c r="AM33" s="326">
        <f t="shared" si="176"/>
        <v>0</v>
      </c>
      <c r="AN33" s="326">
        <f t="shared" si="177"/>
        <v>0</v>
      </c>
      <c r="AO33" s="326">
        <f t="shared" si="178"/>
        <v>0</v>
      </c>
      <c r="AP33" s="326">
        <f t="shared" si="179"/>
        <v>0</v>
      </c>
      <c r="AQ33" s="326">
        <f t="shared" si="180"/>
        <v>0</v>
      </c>
      <c r="AR33" s="326">
        <f t="shared" si="181"/>
        <v>0</v>
      </c>
      <c r="AS33" s="326">
        <f t="shared" si="182"/>
        <v>0</v>
      </c>
      <c r="AT33" s="326">
        <f t="shared" si="183"/>
        <v>3383.9999999999995</v>
      </c>
      <c r="AU33" s="326">
        <f t="shared" si="184"/>
        <v>10828.8</v>
      </c>
      <c r="AV33" s="326">
        <f t="shared" si="185"/>
        <v>5583.6</v>
      </c>
      <c r="AW33" s="326">
        <f t="shared" si="186"/>
        <v>0</v>
      </c>
      <c r="AX33" s="326">
        <f t="shared" si="187"/>
        <v>0</v>
      </c>
      <c r="AY33" s="326">
        <f t="shared" si="188"/>
        <v>0</v>
      </c>
      <c r="AZ33" s="326">
        <f t="shared" si="189"/>
        <v>0</v>
      </c>
      <c r="BA33" s="330"/>
      <c r="BB33" s="330">
        <f t="shared" si="192"/>
        <v>0</v>
      </c>
      <c r="BC33" s="330">
        <f t="shared" si="192"/>
        <v>0</v>
      </c>
      <c r="BD33" s="330">
        <f t="shared" si="192"/>
        <v>0</v>
      </c>
      <c r="BE33" s="330">
        <f t="shared" si="192"/>
        <v>0</v>
      </c>
      <c r="BF33" s="330">
        <f t="shared" si="192"/>
        <v>0</v>
      </c>
      <c r="BG33" s="330">
        <f t="shared" si="192"/>
        <v>0</v>
      </c>
      <c r="BH33" s="330">
        <f t="shared" si="192"/>
        <v>0</v>
      </c>
      <c r="BI33" s="330">
        <f t="shared" si="192"/>
        <v>0</v>
      </c>
      <c r="BJ33" s="330">
        <f t="shared" si="192"/>
        <v>0</v>
      </c>
      <c r="BK33" s="330">
        <f t="shared" si="192"/>
        <v>0</v>
      </c>
      <c r="BL33" s="330">
        <f t="shared" si="192"/>
        <v>0</v>
      </c>
      <c r="BM33" s="330">
        <f t="shared" si="192"/>
        <v>0</v>
      </c>
      <c r="BN33" s="330">
        <f t="shared" si="192"/>
        <v>0</v>
      </c>
      <c r="BO33" s="330">
        <f t="shared" si="192"/>
        <v>0</v>
      </c>
      <c r="BP33" s="330">
        <f t="shared" si="192"/>
        <v>0</v>
      </c>
      <c r="BQ33" s="330">
        <f t="shared" si="192"/>
        <v>19796.400000000001</v>
      </c>
      <c r="BR33" s="326">
        <f t="shared" si="6"/>
        <v>0</v>
      </c>
      <c r="BS33" s="326">
        <f t="shared" si="6"/>
        <v>0</v>
      </c>
      <c r="BT33" s="326">
        <f t="shared" si="6"/>
        <v>0</v>
      </c>
      <c r="BU33" s="330">
        <f t="shared" si="6"/>
        <v>0</v>
      </c>
      <c r="BV33" s="330">
        <f t="shared" si="6"/>
        <v>0</v>
      </c>
      <c r="BW33" s="330">
        <f t="shared" si="6"/>
        <v>0</v>
      </c>
      <c r="BX33" s="351">
        <f t="shared" si="7"/>
        <v>0</v>
      </c>
      <c r="BY33" s="378">
        <f t="shared" si="8"/>
        <v>0</v>
      </c>
      <c r="BZ33" s="378">
        <f t="shared" si="9"/>
        <v>0</v>
      </c>
    </row>
    <row r="34" spans="1:78" s="234" customFormat="1" ht="15" customHeight="1">
      <c r="A34" s="234" t="s">
        <v>125</v>
      </c>
      <c r="D34" s="328"/>
      <c r="E34" s="386">
        <v>5752.8</v>
      </c>
      <c r="F34" s="403" t="s">
        <v>245</v>
      </c>
      <c r="G34" s="329">
        <v>0</v>
      </c>
      <c r="H34" s="329">
        <v>0</v>
      </c>
      <c r="I34" s="329">
        <v>0</v>
      </c>
      <c r="J34" s="329">
        <v>0</v>
      </c>
      <c r="K34" s="329">
        <v>0</v>
      </c>
      <c r="L34" s="329">
        <v>0</v>
      </c>
      <c r="M34" s="387">
        <v>0</v>
      </c>
      <c r="N34" s="329">
        <v>0</v>
      </c>
      <c r="O34" s="329">
        <v>0</v>
      </c>
      <c r="P34" s="329">
        <v>0</v>
      </c>
      <c r="Q34" s="329">
        <v>0</v>
      </c>
      <c r="R34" s="329">
        <v>0</v>
      </c>
      <c r="S34" s="329">
        <v>0</v>
      </c>
      <c r="T34" s="329">
        <v>0</v>
      </c>
      <c r="U34" s="329">
        <v>0</v>
      </c>
      <c r="V34" s="329">
        <v>0</v>
      </c>
      <c r="W34" s="329">
        <v>0</v>
      </c>
      <c r="X34" s="329">
        <v>0.58823529411764708</v>
      </c>
      <c r="Y34" s="329">
        <v>0.41176470588235298</v>
      </c>
      <c r="Z34" s="329">
        <v>0</v>
      </c>
      <c r="AA34" s="329"/>
      <c r="AB34" s="329"/>
      <c r="AC34" s="426">
        <f t="shared" si="10"/>
        <v>1</v>
      </c>
      <c r="AD34" s="328"/>
      <c r="AE34" s="326">
        <f t="shared" si="168"/>
        <v>0</v>
      </c>
      <c r="AF34" s="326">
        <f t="shared" si="169"/>
        <v>0</v>
      </c>
      <c r="AG34" s="326">
        <f t="shared" si="170"/>
        <v>0</v>
      </c>
      <c r="AH34" s="326">
        <f t="shared" si="171"/>
        <v>0</v>
      </c>
      <c r="AI34" s="326">
        <f t="shared" si="172"/>
        <v>0</v>
      </c>
      <c r="AJ34" s="326">
        <f t="shared" si="173"/>
        <v>0</v>
      </c>
      <c r="AK34" s="326">
        <f t="shared" si="174"/>
        <v>0</v>
      </c>
      <c r="AL34" s="326">
        <f t="shared" si="175"/>
        <v>0</v>
      </c>
      <c r="AM34" s="326">
        <f t="shared" si="176"/>
        <v>0</v>
      </c>
      <c r="AN34" s="326">
        <f t="shared" si="177"/>
        <v>0</v>
      </c>
      <c r="AO34" s="326">
        <f t="shared" si="178"/>
        <v>0</v>
      </c>
      <c r="AP34" s="326">
        <f t="shared" si="179"/>
        <v>0</v>
      </c>
      <c r="AQ34" s="326">
        <f t="shared" si="180"/>
        <v>0</v>
      </c>
      <c r="AR34" s="326">
        <f t="shared" si="181"/>
        <v>0</v>
      </c>
      <c r="AS34" s="326">
        <f t="shared" si="182"/>
        <v>0</v>
      </c>
      <c r="AT34" s="326">
        <f t="shared" si="183"/>
        <v>0</v>
      </c>
      <c r="AU34" s="326">
        <f t="shared" si="184"/>
        <v>0</v>
      </c>
      <c r="AV34" s="326">
        <f t="shared" si="185"/>
        <v>3384</v>
      </c>
      <c r="AW34" s="534">
        <f t="shared" si="186"/>
        <v>2368.8000000000002</v>
      </c>
      <c r="AX34" s="326">
        <f t="shared" si="187"/>
        <v>0</v>
      </c>
      <c r="AY34" s="326">
        <f t="shared" si="188"/>
        <v>0</v>
      </c>
      <c r="AZ34" s="326">
        <f t="shared" si="189"/>
        <v>0</v>
      </c>
      <c r="BA34" s="330"/>
      <c r="BB34" s="330">
        <f t="shared" si="192"/>
        <v>0</v>
      </c>
      <c r="BC34" s="330">
        <f t="shared" si="192"/>
        <v>0</v>
      </c>
      <c r="BD34" s="330">
        <f t="shared" si="192"/>
        <v>0</v>
      </c>
      <c r="BE34" s="330">
        <f t="shared" si="192"/>
        <v>0</v>
      </c>
      <c r="BF34" s="330">
        <f t="shared" si="192"/>
        <v>0</v>
      </c>
      <c r="BG34" s="330">
        <f t="shared" si="192"/>
        <v>0</v>
      </c>
      <c r="BH34" s="330">
        <f t="shared" si="192"/>
        <v>0</v>
      </c>
      <c r="BI34" s="330">
        <f t="shared" si="192"/>
        <v>0</v>
      </c>
      <c r="BJ34" s="330">
        <f t="shared" si="192"/>
        <v>0</v>
      </c>
      <c r="BK34" s="330">
        <f t="shared" si="192"/>
        <v>0</v>
      </c>
      <c r="BL34" s="330">
        <f t="shared" si="192"/>
        <v>0</v>
      </c>
      <c r="BM34" s="330">
        <f t="shared" si="192"/>
        <v>0</v>
      </c>
      <c r="BN34" s="330">
        <f t="shared" si="192"/>
        <v>0</v>
      </c>
      <c r="BO34" s="330">
        <f t="shared" si="192"/>
        <v>0</v>
      </c>
      <c r="BP34" s="330">
        <f t="shared" si="192"/>
        <v>0</v>
      </c>
      <c r="BQ34" s="330">
        <f t="shared" si="192"/>
        <v>0</v>
      </c>
      <c r="BR34" s="326">
        <f t="shared" si="6"/>
        <v>0</v>
      </c>
      <c r="BS34" s="326">
        <v>6768</v>
      </c>
      <c r="BT34" s="326">
        <v>-1015.1999999999998</v>
      </c>
      <c r="BU34" s="330">
        <f t="shared" si="6"/>
        <v>0</v>
      </c>
      <c r="BV34" s="330">
        <f t="shared" si="6"/>
        <v>0</v>
      </c>
      <c r="BW34" s="330">
        <f t="shared" si="6"/>
        <v>0</v>
      </c>
      <c r="BX34" s="351">
        <f t="shared" si="7"/>
        <v>0</v>
      </c>
      <c r="BY34" s="378">
        <f t="shared" si="8"/>
        <v>0</v>
      </c>
      <c r="BZ34" s="378">
        <f t="shared" si="9"/>
        <v>0</v>
      </c>
    </row>
    <row r="35" spans="1:78" s="234" customFormat="1" ht="15" customHeight="1">
      <c r="A35" s="234" t="s">
        <v>125</v>
      </c>
      <c r="D35" s="328"/>
      <c r="E35" s="386">
        <v>6768</v>
      </c>
      <c r="F35" s="403" t="s">
        <v>250</v>
      </c>
      <c r="G35" s="329">
        <v>0</v>
      </c>
      <c r="H35" s="329">
        <v>0</v>
      </c>
      <c r="I35" s="329">
        <v>0</v>
      </c>
      <c r="J35" s="329">
        <v>0</v>
      </c>
      <c r="K35" s="329">
        <v>0</v>
      </c>
      <c r="L35" s="329">
        <v>0</v>
      </c>
      <c r="M35" s="387">
        <v>0</v>
      </c>
      <c r="N35" s="329">
        <v>0</v>
      </c>
      <c r="O35" s="329">
        <v>0</v>
      </c>
      <c r="P35" s="329">
        <v>0</v>
      </c>
      <c r="Q35" s="329">
        <v>0</v>
      </c>
      <c r="R35" s="329">
        <v>0</v>
      </c>
      <c r="S35" s="329">
        <v>0</v>
      </c>
      <c r="T35" s="329">
        <v>0</v>
      </c>
      <c r="U35" s="329">
        <v>0</v>
      </c>
      <c r="V35" s="329">
        <v>0</v>
      </c>
      <c r="W35" s="329">
        <v>0</v>
      </c>
      <c r="X35" s="329">
        <v>0</v>
      </c>
      <c r="Y35" s="329">
        <v>1</v>
      </c>
      <c r="Z35" s="329"/>
      <c r="AA35" s="329"/>
      <c r="AB35" s="329"/>
      <c r="AC35" s="426">
        <f t="shared" si="10"/>
        <v>1</v>
      </c>
      <c r="AD35" s="328"/>
      <c r="AE35" s="326">
        <f t="shared" si="168"/>
        <v>0</v>
      </c>
      <c r="AF35" s="326">
        <f t="shared" si="169"/>
        <v>0</v>
      </c>
      <c r="AG35" s="326">
        <f t="shared" si="170"/>
        <v>0</v>
      </c>
      <c r="AH35" s="326">
        <f t="shared" si="171"/>
        <v>0</v>
      </c>
      <c r="AI35" s="326">
        <f t="shared" si="172"/>
        <v>0</v>
      </c>
      <c r="AJ35" s="326">
        <f t="shared" si="173"/>
        <v>0</v>
      </c>
      <c r="AK35" s="326">
        <f t="shared" si="174"/>
        <v>0</v>
      </c>
      <c r="AL35" s="326">
        <f t="shared" si="175"/>
        <v>0</v>
      </c>
      <c r="AM35" s="326">
        <f t="shared" si="176"/>
        <v>0</v>
      </c>
      <c r="AN35" s="326">
        <f t="shared" si="177"/>
        <v>0</v>
      </c>
      <c r="AO35" s="326">
        <f t="shared" si="178"/>
        <v>0</v>
      </c>
      <c r="AP35" s="326">
        <f t="shared" si="179"/>
        <v>0</v>
      </c>
      <c r="AQ35" s="326">
        <f t="shared" si="180"/>
        <v>0</v>
      </c>
      <c r="AR35" s="326">
        <f t="shared" si="181"/>
        <v>0</v>
      </c>
      <c r="AS35" s="326">
        <f t="shared" si="182"/>
        <v>0</v>
      </c>
      <c r="AT35" s="326">
        <f t="shared" si="183"/>
        <v>0</v>
      </c>
      <c r="AU35" s="326">
        <f t="shared" si="184"/>
        <v>0</v>
      </c>
      <c r="AV35" s="326">
        <f t="shared" si="185"/>
        <v>0</v>
      </c>
      <c r="AW35" s="534">
        <f t="shared" si="186"/>
        <v>6768</v>
      </c>
      <c r="AX35" s="326">
        <f t="shared" si="187"/>
        <v>0</v>
      </c>
      <c r="AY35" s="326">
        <f t="shared" si="188"/>
        <v>0</v>
      </c>
      <c r="AZ35" s="326">
        <f t="shared" si="189"/>
        <v>0</v>
      </c>
      <c r="BA35" s="330"/>
      <c r="BB35" s="330">
        <f t="shared" si="192"/>
        <v>0</v>
      </c>
      <c r="BC35" s="330">
        <f t="shared" si="192"/>
        <v>0</v>
      </c>
      <c r="BD35" s="330">
        <f t="shared" si="192"/>
        <v>0</v>
      </c>
      <c r="BE35" s="330">
        <f t="shared" si="192"/>
        <v>0</v>
      </c>
      <c r="BF35" s="330">
        <f t="shared" si="192"/>
        <v>0</v>
      </c>
      <c r="BG35" s="330">
        <f t="shared" si="192"/>
        <v>0</v>
      </c>
      <c r="BH35" s="330">
        <f t="shared" si="192"/>
        <v>0</v>
      </c>
      <c r="BI35" s="330">
        <f t="shared" si="192"/>
        <v>0</v>
      </c>
      <c r="BJ35" s="330">
        <f t="shared" si="192"/>
        <v>0</v>
      </c>
      <c r="BK35" s="330">
        <f t="shared" si="192"/>
        <v>0</v>
      </c>
      <c r="BL35" s="330">
        <f t="shared" si="192"/>
        <v>0</v>
      </c>
      <c r="BM35" s="330">
        <f t="shared" si="192"/>
        <v>0</v>
      </c>
      <c r="BN35" s="330">
        <f t="shared" si="192"/>
        <v>0</v>
      </c>
      <c r="BO35" s="330">
        <f t="shared" si="192"/>
        <v>0</v>
      </c>
      <c r="BP35" s="330">
        <f t="shared" si="192"/>
        <v>0</v>
      </c>
      <c r="BQ35" s="330">
        <f t="shared" si="192"/>
        <v>0</v>
      </c>
      <c r="BR35" s="326">
        <f t="shared" si="6"/>
        <v>0</v>
      </c>
      <c r="BS35" s="326">
        <f t="shared" si="6"/>
        <v>0</v>
      </c>
      <c r="BT35" s="326">
        <f t="shared" si="6"/>
        <v>6768</v>
      </c>
      <c r="BU35" s="330">
        <f t="shared" si="6"/>
        <v>0</v>
      </c>
      <c r="BV35" s="330">
        <f t="shared" si="6"/>
        <v>0</v>
      </c>
      <c r="BW35" s="330">
        <f t="shared" si="6"/>
        <v>0</v>
      </c>
      <c r="BX35" s="351">
        <f t="shared" si="7"/>
        <v>0</v>
      </c>
      <c r="BY35" s="378">
        <f t="shared" si="8"/>
        <v>0</v>
      </c>
      <c r="BZ35" s="378">
        <f t="shared" si="9"/>
        <v>0</v>
      </c>
    </row>
    <row r="36" spans="1:78" s="306" customFormat="1" ht="15" customHeight="1">
      <c r="A36" s="306" t="s">
        <v>125</v>
      </c>
      <c r="D36" s="328"/>
      <c r="E36" s="386">
        <v>0</v>
      </c>
      <c r="F36" s="403" t="s">
        <v>250</v>
      </c>
      <c r="G36" s="329">
        <v>0</v>
      </c>
      <c r="H36" s="329">
        <v>0</v>
      </c>
      <c r="I36" s="329">
        <v>0</v>
      </c>
      <c r="J36" s="329">
        <v>0</v>
      </c>
      <c r="K36" s="329">
        <v>0</v>
      </c>
      <c r="L36" s="329">
        <v>0</v>
      </c>
      <c r="M36" s="387">
        <v>0</v>
      </c>
      <c r="N36" s="329">
        <v>0</v>
      </c>
      <c r="O36" s="329">
        <v>0</v>
      </c>
      <c r="P36" s="329">
        <v>0</v>
      </c>
      <c r="Q36" s="329">
        <v>0</v>
      </c>
      <c r="R36" s="329">
        <v>0</v>
      </c>
      <c r="S36" s="329">
        <v>0</v>
      </c>
      <c r="T36" s="329">
        <v>0</v>
      </c>
      <c r="U36" s="329">
        <v>0</v>
      </c>
      <c r="V36" s="329">
        <v>0</v>
      </c>
      <c r="W36" s="329">
        <v>0</v>
      </c>
      <c r="X36" s="329">
        <v>0</v>
      </c>
      <c r="Y36" s="329">
        <v>1</v>
      </c>
      <c r="Z36" s="329"/>
      <c r="AA36" s="329"/>
      <c r="AB36" s="329"/>
      <c r="AC36" s="426">
        <f t="shared" si="10"/>
        <v>1</v>
      </c>
      <c r="AD36" s="328"/>
      <c r="AE36" s="326">
        <f t="shared" si="168"/>
        <v>0</v>
      </c>
      <c r="AF36" s="326">
        <f t="shared" si="169"/>
        <v>0</v>
      </c>
      <c r="AG36" s="326">
        <f t="shared" si="170"/>
        <v>0</v>
      </c>
      <c r="AH36" s="326">
        <f t="shared" si="171"/>
        <v>0</v>
      </c>
      <c r="AI36" s="326">
        <f t="shared" si="172"/>
        <v>0</v>
      </c>
      <c r="AJ36" s="326">
        <f t="shared" si="173"/>
        <v>0</v>
      </c>
      <c r="AK36" s="326">
        <f t="shared" si="174"/>
        <v>0</v>
      </c>
      <c r="AL36" s="326">
        <f t="shared" si="175"/>
        <v>0</v>
      </c>
      <c r="AM36" s="326">
        <f t="shared" si="176"/>
        <v>0</v>
      </c>
      <c r="AN36" s="326">
        <f t="shared" si="177"/>
        <v>0</v>
      </c>
      <c r="AO36" s="326">
        <f t="shared" si="178"/>
        <v>0</v>
      </c>
      <c r="AP36" s="326">
        <f t="shared" si="179"/>
        <v>0</v>
      </c>
      <c r="AQ36" s="326">
        <f t="shared" si="180"/>
        <v>0</v>
      </c>
      <c r="AR36" s="326">
        <f t="shared" si="181"/>
        <v>0</v>
      </c>
      <c r="AS36" s="326">
        <f t="shared" si="182"/>
        <v>0</v>
      </c>
      <c r="AT36" s="326">
        <f t="shared" si="183"/>
        <v>0</v>
      </c>
      <c r="AU36" s="326">
        <f t="shared" si="184"/>
        <v>0</v>
      </c>
      <c r="AV36" s="326">
        <f t="shared" si="185"/>
        <v>0</v>
      </c>
      <c r="AW36" s="326">
        <f t="shared" si="186"/>
        <v>0</v>
      </c>
      <c r="AX36" s="326">
        <f t="shared" si="187"/>
        <v>0</v>
      </c>
      <c r="AY36" s="326">
        <f t="shared" si="188"/>
        <v>0</v>
      </c>
      <c r="AZ36" s="326">
        <f t="shared" si="189"/>
        <v>0</v>
      </c>
      <c r="BA36" s="330"/>
      <c r="BB36" s="330">
        <f t="shared" si="192"/>
        <v>0</v>
      </c>
      <c r="BC36" s="330">
        <f t="shared" si="192"/>
        <v>0</v>
      </c>
      <c r="BD36" s="330">
        <f t="shared" si="192"/>
        <v>0</v>
      </c>
      <c r="BE36" s="330">
        <f t="shared" si="192"/>
        <v>0</v>
      </c>
      <c r="BF36" s="330">
        <f t="shared" si="192"/>
        <v>0</v>
      </c>
      <c r="BG36" s="330">
        <f t="shared" si="192"/>
        <v>0</v>
      </c>
      <c r="BH36" s="330">
        <f t="shared" si="192"/>
        <v>0</v>
      </c>
      <c r="BI36" s="330">
        <f t="shared" si="192"/>
        <v>0</v>
      </c>
      <c r="BJ36" s="330">
        <f t="shared" si="192"/>
        <v>0</v>
      </c>
      <c r="BK36" s="330">
        <f t="shared" si="192"/>
        <v>0</v>
      </c>
      <c r="BL36" s="330">
        <f t="shared" si="192"/>
        <v>0</v>
      </c>
      <c r="BM36" s="330">
        <f t="shared" si="192"/>
        <v>0</v>
      </c>
      <c r="BN36" s="330">
        <f t="shared" si="192"/>
        <v>0</v>
      </c>
      <c r="BO36" s="330">
        <f t="shared" si="192"/>
        <v>0</v>
      </c>
      <c r="BP36" s="330">
        <f t="shared" si="192"/>
        <v>0</v>
      </c>
      <c r="BQ36" s="330">
        <f t="shared" si="192"/>
        <v>0</v>
      </c>
      <c r="BR36" s="326">
        <f t="shared" si="6"/>
        <v>0</v>
      </c>
      <c r="BS36" s="326">
        <f t="shared" si="6"/>
        <v>0</v>
      </c>
      <c r="BT36" s="326">
        <f t="shared" si="6"/>
        <v>0</v>
      </c>
      <c r="BU36" s="330">
        <f t="shared" si="6"/>
        <v>0</v>
      </c>
      <c r="BV36" s="330">
        <f t="shared" si="6"/>
        <v>0</v>
      </c>
      <c r="BW36" s="330">
        <f t="shared" si="6"/>
        <v>0</v>
      </c>
      <c r="BX36" s="351">
        <f t="shared" si="7"/>
        <v>0</v>
      </c>
      <c r="BY36" s="378">
        <f t="shared" si="8"/>
        <v>0</v>
      </c>
      <c r="BZ36" s="378">
        <f t="shared" si="9"/>
        <v>0</v>
      </c>
    </row>
    <row r="37" spans="1:78" s="234" customFormat="1" ht="15" customHeight="1">
      <c r="A37" s="234" t="s">
        <v>125</v>
      </c>
      <c r="D37" s="328"/>
      <c r="E37" s="386">
        <f>182675.95-228</f>
        <v>182447.95</v>
      </c>
      <c r="F37" s="403" t="s">
        <v>245</v>
      </c>
      <c r="G37" s="388"/>
      <c r="H37" s="388"/>
      <c r="I37" s="388"/>
      <c r="J37" s="388"/>
      <c r="K37" s="388"/>
      <c r="L37" s="329">
        <v>0</v>
      </c>
      <c r="M37" s="387">
        <v>0</v>
      </c>
      <c r="N37" s="329">
        <v>0</v>
      </c>
      <c r="O37" s="329">
        <v>0</v>
      </c>
      <c r="P37" s="329">
        <v>0</v>
      </c>
      <c r="Q37" s="329">
        <v>0</v>
      </c>
      <c r="R37" s="329">
        <v>0</v>
      </c>
      <c r="S37" s="329">
        <v>0</v>
      </c>
      <c r="T37" s="329">
        <v>0</v>
      </c>
      <c r="U37" s="329">
        <v>0</v>
      </c>
      <c r="V37" s="329">
        <v>0</v>
      </c>
      <c r="W37" s="329">
        <v>0</v>
      </c>
      <c r="X37" s="329">
        <v>0</v>
      </c>
      <c r="Y37" s="329">
        <v>1</v>
      </c>
      <c r="Z37" s="329"/>
      <c r="AA37" s="329"/>
      <c r="AB37" s="329"/>
      <c r="AC37" s="426">
        <f t="shared" si="10"/>
        <v>1</v>
      </c>
      <c r="AD37" s="328"/>
      <c r="AE37" s="326">
        <f t="shared" si="168"/>
        <v>0</v>
      </c>
      <c r="AF37" s="326">
        <f t="shared" si="169"/>
        <v>0</v>
      </c>
      <c r="AG37" s="326">
        <f t="shared" si="170"/>
        <v>0</v>
      </c>
      <c r="AH37" s="326">
        <f t="shared" si="171"/>
        <v>0</v>
      </c>
      <c r="AI37" s="326">
        <f t="shared" si="172"/>
        <v>0</v>
      </c>
      <c r="AJ37" s="326">
        <f t="shared" si="173"/>
        <v>0</v>
      </c>
      <c r="AK37" s="326">
        <f t="shared" si="174"/>
        <v>0</v>
      </c>
      <c r="AL37" s="326">
        <f t="shared" si="175"/>
        <v>0</v>
      </c>
      <c r="AM37" s="326">
        <f t="shared" si="176"/>
        <v>0</v>
      </c>
      <c r="AN37" s="326">
        <f t="shared" si="177"/>
        <v>0</v>
      </c>
      <c r="AO37" s="326">
        <f t="shared" si="178"/>
        <v>0</v>
      </c>
      <c r="AP37" s="326">
        <f t="shared" si="179"/>
        <v>0</v>
      </c>
      <c r="AQ37" s="326">
        <f t="shared" si="180"/>
        <v>0</v>
      </c>
      <c r="AR37" s="326">
        <f t="shared" si="181"/>
        <v>0</v>
      </c>
      <c r="AS37" s="326">
        <f t="shared" si="182"/>
        <v>0</v>
      </c>
      <c r="AT37" s="326">
        <f t="shared" si="183"/>
        <v>0</v>
      </c>
      <c r="AU37" s="326">
        <f t="shared" si="184"/>
        <v>0</v>
      </c>
      <c r="AV37" s="326">
        <f t="shared" si="185"/>
        <v>0</v>
      </c>
      <c r="AW37" s="326">
        <f t="shared" si="186"/>
        <v>182447.95</v>
      </c>
      <c r="AX37" s="326">
        <f t="shared" si="187"/>
        <v>0</v>
      </c>
      <c r="AY37" s="326">
        <f t="shared" si="188"/>
        <v>0</v>
      </c>
      <c r="AZ37" s="326">
        <f t="shared" si="189"/>
        <v>0</v>
      </c>
      <c r="BA37" s="330"/>
      <c r="BB37" s="330">
        <f t="shared" ref="BB37:BK43" si="193">IF(BB$3=$F37,$E37,0)</f>
        <v>0</v>
      </c>
      <c r="BC37" s="330">
        <f t="shared" si="193"/>
        <v>0</v>
      </c>
      <c r="BD37" s="330">
        <f t="shared" si="193"/>
        <v>0</v>
      </c>
      <c r="BE37" s="330">
        <f t="shared" si="193"/>
        <v>0</v>
      </c>
      <c r="BF37" s="330">
        <f t="shared" si="193"/>
        <v>0</v>
      </c>
      <c r="BG37" s="330">
        <f t="shared" si="193"/>
        <v>0</v>
      </c>
      <c r="BH37" s="330">
        <f t="shared" si="193"/>
        <v>0</v>
      </c>
      <c r="BI37" s="330">
        <f t="shared" si="193"/>
        <v>0</v>
      </c>
      <c r="BJ37" s="330">
        <f t="shared" si="193"/>
        <v>0</v>
      </c>
      <c r="BK37" s="330">
        <f t="shared" si="193"/>
        <v>0</v>
      </c>
      <c r="BL37" s="330">
        <f t="shared" ref="BL37:BW51" si="194">IF(BL$3=$F37,$E37,0)</f>
        <v>0</v>
      </c>
      <c r="BM37" s="330">
        <f t="shared" si="194"/>
        <v>0</v>
      </c>
      <c r="BN37" s="330">
        <f t="shared" si="194"/>
        <v>0</v>
      </c>
      <c r="BO37" s="330">
        <f t="shared" si="194"/>
        <v>0</v>
      </c>
      <c r="BP37" s="330">
        <f t="shared" si="194"/>
        <v>0</v>
      </c>
      <c r="BQ37" s="330">
        <f t="shared" si="194"/>
        <v>0</v>
      </c>
      <c r="BR37" s="326">
        <f t="shared" si="194"/>
        <v>0</v>
      </c>
      <c r="BS37" s="326">
        <v>198902.95</v>
      </c>
      <c r="BT37" s="326">
        <v>-16227</v>
      </c>
      <c r="BU37" s="330">
        <v>-228</v>
      </c>
      <c r="BV37" s="330">
        <f t="shared" si="194"/>
        <v>0</v>
      </c>
      <c r="BW37" s="330">
        <f t="shared" si="194"/>
        <v>0</v>
      </c>
      <c r="BX37" s="351">
        <f t="shared" si="7"/>
        <v>0</v>
      </c>
      <c r="BY37" s="378">
        <f t="shared" si="8"/>
        <v>0</v>
      </c>
      <c r="BZ37" s="378">
        <f t="shared" si="9"/>
        <v>0</v>
      </c>
    </row>
    <row r="38" spans="1:78" s="234" customFormat="1" ht="15" customHeight="1">
      <c r="A38" s="234" t="s">
        <v>125</v>
      </c>
      <c r="D38" s="328"/>
      <c r="E38" s="386">
        <v>28325.06</v>
      </c>
      <c r="F38" s="403" t="s">
        <v>250</v>
      </c>
      <c r="G38" s="388"/>
      <c r="H38" s="388"/>
      <c r="I38" s="388"/>
      <c r="J38" s="388"/>
      <c r="K38" s="388"/>
      <c r="L38" s="329">
        <v>0</v>
      </c>
      <c r="M38" s="387">
        <v>0</v>
      </c>
      <c r="N38" s="329">
        <v>0</v>
      </c>
      <c r="O38" s="329">
        <v>0</v>
      </c>
      <c r="P38" s="329">
        <v>0</v>
      </c>
      <c r="Q38" s="329">
        <v>0</v>
      </c>
      <c r="R38" s="329">
        <v>0</v>
      </c>
      <c r="S38" s="329">
        <v>0</v>
      </c>
      <c r="T38" s="329">
        <v>0</v>
      </c>
      <c r="U38" s="329">
        <v>0</v>
      </c>
      <c r="V38" s="329">
        <v>0</v>
      </c>
      <c r="W38" s="329">
        <v>0</v>
      </c>
      <c r="X38" s="329">
        <v>0</v>
      </c>
      <c r="Y38" s="329">
        <v>1</v>
      </c>
      <c r="Z38" s="329"/>
      <c r="AA38" s="329"/>
      <c r="AB38" s="329"/>
      <c r="AC38" s="426">
        <f t="shared" si="10"/>
        <v>1</v>
      </c>
      <c r="AD38" s="328"/>
      <c r="AE38" s="326">
        <f t="shared" ref="AE38" si="195">G38*$E38</f>
        <v>0</v>
      </c>
      <c r="AF38" s="326">
        <f t="shared" ref="AF38" si="196">H38*$E38</f>
        <v>0</v>
      </c>
      <c r="AG38" s="326">
        <f t="shared" ref="AG38" si="197">I38*$E38</f>
        <v>0</v>
      </c>
      <c r="AH38" s="326">
        <f t="shared" ref="AH38" si="198">J38*$E38</f>
        <v>0</v>
      </c>
      <c r="AI38" s="326">
        <f t="shared" ref="AI38" si="199">K38*$E38</f>
        <v>0</v>
      </c>
      <c r="AJ38" s="326">
        <f t="shared" ref="AJ38" si="200">L38*$E38</f>
        <v>0</v>
      </c>
      <c r="AK38" s="326">
        <f t="shared" ref="AK38" si="201">M38*$E38</f>
        <v>0</v>
      </c>
      <c r="AL38" s="326">
        <f t="shared" ref="AL38" si="202">N38*$E38</f>
        <v>0</v>
      </c>
      <c r="AM38" s="326">
        <f t="shared" ref="AM38" si="203">O38*$E38</f>
        <v>0</v>
      </c>
      <c r="AN38" s="326">
        <f t="shared" ref="AN38" si="204">P38*$E38</f>
        <v>0</v>
      </c>
      <c r="AO38" s="326">
        <f t="shared" ref="AO38" si="205">Q38*$E38</f>
        <v>0</v>
      </c>
      <c r="AP38" s="326">
        <f t="shared" ref="AP38" si="206">R38*$E38</f>
        <v>0</v>
      </c>
      <c r="AQ38" s="326">
        <f t="shared" ref="AQ38" si="207">S38*$E38</f>
        <v>0</v>
      </c>
      <c r="AR38" s="326">
        <f t="shared" ref="AR38" si="208">T38*$E38</f>
        <v>0</v>
      </c>
      <c r="AS38" s="326">
        <f t="shared" ref="AS38" si="209">U38*$E38</f>
        <v>0</v>
      </c>
      <c r="AT38" s="326">
        <f t="shared" ref="AT38" si="210">V38*$E38</f>
        <v>0</v>
      </c>
      <c r="AU38" s="326">
        <f t="shared" ref="AU38" si="211">W38*$E38</f>
        <v>0</v>
      </c>
      <c r="AV38" s="326">
        <f t="shared" ref="AV38" si="212">X38*$E38</f>
        <v>0</v>
      </c>
      <c r="AW38" s="326">
        <f t="shared" ref="AW38" si="213">Y38*$E38</f>
        <v>28325.06</v>
      </c>
      <c r="AX38" s="326">
        <f t="shared" si="187"/>
        <v>0</v>
      </c>
      <c r="AY38" s="326">
        <f t="shared" si="188"/>
        <v>0</v>
      </c>
      <c r="AZ38" s="326">
        <f t="shared" si="189"/>
        <v>0</v>
      </c>
      <c r="BA38" s="330"/>
      <c r="BB38" s="330">
        <f t="shared" si="193"/>
        <v>0</v>
      </c>
      <c r="BC38" s="330">
        <f t="shared" si="193"/>
        <v>0</v>
      </c>
      <c r="BD38" s="330">
        <f t="shared" si="193"/>
        <v>0</v>
      </c>
      <c r="BE38" s="330">
        <f t="shared" si="193"/>
        <v>0</v>
      </c>
      <c r="BF38" s="330">
        <f t="shared" si="193"/>
        <v>0</v>
      </c>
      <c r="BG38" s="330">
        <f t="shared" si="193"/>
        <v>0</v>
      </c>
      <c r="BH38" s="330">
        <f t="shared" si="193"/>
        <v>0</v>
      </c>
      <c r="BI38" s="330">
        <f t="shared" si="193"/>
        <v>0</v>
      </c>
      <c r="BJ38" s="330">
        <f t="shared" si="193"/>
        <v>0</v>
      </c>
      <c r="BK38" s="330">
        <f t="shared" si="193"/>
        <v>0</v>
      </c>
      <c r="BL38" s="330">
        <f t="shared" si="194"/>
        <v>0</v>
      </c>
      <c r="BM38" s="330">
        <f t="shared" si="194"/>
        <v>0</v>
      </c>
      <c r="BN38" s="330">
        <f t="shared" si="194"/>
        <v>0</v>
      </c>
      <c r="BO38" s="330">
        <f t="shared" si="194"/>
        <v>0</v>
      </c>
      <c r="BP38" s="330">
        <f t="shared" si="194"/>
        <v>0</v>
      </c>
      <c r="BQ38" s="330">
        <f t="shared" si="194"/>
        <v>0</v>
      </c>
      <c r="BR38" s="330">
        <f t="shared" si="194"/>
        <v>0</v>
      </c>
      <c r="BS38" s="326">
        <f t="shared" si="194"/>
        <v>0</v>
      </c>
      <c r="BT38" s="326">
        <f t="shared" si="194"/>
        <v>28325.06</v>
      </c>
      <c r="BU38" s="330">
        <f t="shared" si="194"/>
        <v>0</v>
      </c>
      <c r="BV38" s="330">
        <f t="shared" si="194"/>
        <v>0</v>
      </c>
      <c r="BW38" s="330">
        <f t="shared" si="194"/>
        <v>0</v>
      </c>
      <c r="BX38" s="351">
        <f t="shared" si="7"/>
        <v>0</v>
      </c>
      <c r="BY38" s="378">
        <f t="shared" si="8"/>
        <v>0</v>
      </c>
      <c r="BZ38" s="378">
        <f t="shared" si="9"/>
        <v>0</v>
      </c>
    </row>
    <row r="39" spans="1:78" s="519" customFormat="1" ht="15" customHeight="1">
      <c r="A39" s="519" t="s">
        <v>125</v>
      </c>
      <c r="B39" s="234"/>
      <c r="D39" s="521"/>
      <c r="E39" s="522">
        <v>58364.460000000006</v>
      </c>
      <c r="F39" s="529" t="s">
        <v>266</v>
      </c>
      <c r="G39" s="530"/>
      <c r="H39" s="530"/>
      <c r="I39" s="530"/>
      <c r="J39" s="530"/>
      <c r="K39" s="530"/>
      <c r="L39" s="524">
        <v>0</v>
      </c>
      <c r="M39" s="531">
        <v>0</v>
      </c>
      <c r="N39" s="524">
        <v>0</v>
      </c>
      <c r="O39" s="524">
        <v>0</v>
      </c>
      <c r="P39" s="524">
        <v>0</v>
      </c>
      <c r="Q39" s="524">
        <v>0</v>
      </c>
      <c r="R39" s="524">
        <v>0</v>
      </c>
      <c r="S39" s="524">
        <v>0</v>
      </c>
      <c r="T39" s="524">
        <v>0</v>
      </c>
      <c r="U39" s="524">
        <v>0</v>
      </c>
      <c r="V39" s="524">
        <v>0</v>
      </c>
      <c r="W39" s="524">
        <v>0</v>
      </c>
      <c r="X39" s="524">
        <v>0</v>
      </c>
      <c r="Y39" s="524">
        <v>0</v>
      </c>
      <c r="Z39" s="524">
        <v>0</v>
      </c>
      <c r="AA39" s="524">
        <v>1</v>
      </c>
      <c r="AB39" s="524"/>
      <c r="AC39" s="514">
        <f t="shared" ref="AC39" si="214">SUM(G39:AB39)</f>
        <v>1</v>
      </c>
      <c r="AD39" s="521"/>
      <c r="AE39" s="526">
        <f t="shared" ref="AE39" si="215">G39*$E39</f>
        <v>0</v>
      </c>
      <c r="AF39" s="526">
        <f t="shared" ref="AF39" si="216">H39*$E39</f>
        <v>0</v>
      </c>
      <c r="AG39" s="526">
        <f t="shared" ref="AG39" si="217">I39*$E39</f>
        <v>0</v>
      </c>
      <c r="AH39" s="526">
        <f t="shared" ref="AH39" si="218">J39*$E39</f>
        <v>0</v>
      </c>
      <c r="AI39" s="526">
        <f t="shared" ref="AI39" si="219">K39*$E39</f>
        <v>0</v>
      </c>
      <c r="AJ39" s="526">
        <f t="shared" ref="AJ39" si="220">L39*$E39</f>
        <v>0</v>
      </c>
      <c r="AK39" s="526">
        <f t="shared" ref="AK39" si="221">M39*$E39</f>
        <v>0</v>
      </c>
      <c r="AL39" s="526">
        <f t="shared" ref="AL39" si="222">N39*$E39</f>
        <v>0</v>
      </c>
      <c r="AM39" s="526">
        <f t="shared" ref="AM39" si="223">O39*$E39</f>
        <v>0</v>
      </c>
      <c r="AN39" s="526">
        <f t="shared" ref="AN39" si="224">P39*$E39</f>
        <v>0</v>
      </c>
      <c r="AO39" s="526">
        <f t="shared" ref="AO39" si="225">Q39*$E39</f>
        <v>0</v>
      </c>
      <c r="AP39" s="526">
        <f t="shared" ref="AP39" si="226">R39*$E39</f>
        <v>0</v>
      </c>
      <c r="AQ39" s="526">
        <f t="shared" ref="AQ39" si="227">S39*$E39</f>
        <v>0</v>
      </c>
      <c r="AR39" s="526">
        <f t="shared" ref="AR39" si="228">T39*$E39</f>
        <v>0</v>
      </c>
      <c r="AS39" s="526">
        <f t="shared" ref="AS39" si="229">U39*$E39</f>
        <v>0</v>
      </c>
      <c r="AT39" s="526">
        <f t="shared" ref="AT39" si="230">V39*$E39</f>
        <v>0</v>
      </c>
      <c r="AU39" s="526">
        <f t="shared" ref="AU39" si="231">W39*$E39</f>
        <v>0</v>
      </c>
      <c r="AV39" s="526">
        <f t="shared" ref="AV39" si="232">X39*$E39</f>
        <v>0</v>
      </c>
      <c r="AW39" s="526">
        <f t="shared" ref="AW39" si="233">Y39*$E39</f>
        <v>0</v>
      </c>
      <c r="AX39" s="526">
        <f t="shared" ref="AX39" si="234">Z39*$E39</f>
        <v>0</v>
      </c>
      <c r="AY39" s="526">
        <f t="shared" ref="AY39" si="235">AA39*$E39</f>
        <v>58364.460000000006</v>
      </c>
      <c r="AZ39" s="526">
        <f t="shared" ref="AZ39" si="236">AB39*$E39</f>
        <v>0</v>
      </c>
      <c r="BA39" s="525"/>
      <c r="BB39" s="525">
        <f t="shared" si="193"/>
        <v>0</v>
      </c>
      <c r="BC39" s="525">
        <f t="shared" si="193"/>
        <v>0</v>
      </c>
      <c r="BD39" s="525">
        <f t="shared" si="193"/>
        <v>0</v>
      </c>
      <c r="BE39" s="525">
        <f t="shared" si="193"/>
        <v>0</v>
      </c>
      <c r="BF39" s="525">
        <f t="shared" si="193"/>
        <v>0</v>
      </c>
      <c r="BG39" s="525">
        <f t="shared" si="193"/>
        <v>0</v>
      </c>
      <c r="BH39" s="525">
        <f t="shared" si="193"/>
        <v>0</v>
      </c>
      <c r="BI39" s="525">
        <f t="shared" si="193"/>
        <v>0</v>
      </c>
      <c r="BJ39" s="525">
        <f t="shared" si="193"/>
        <v>0</v>
      </c>
      <c r="BK39" s="525">
        <f t="shared" si="193"/>
        <v>0</v>
      </c>
      <c r="BL39" s="525">
        <f t="shared" si="194"/>
        <v>0</v>
      </c>
      <c r="BM39" s="525">
        <f t="shared" si="194"/>
        <v>0</v>
      </c>
      <c r="BN39" s="525">
        <f t="shared" si="194"/>
        <v>0</v>
      </c>
      <c r="BO39" s="525">
        <f t="shared" si="194"/>
        <v>0</v>
      </c>
      <c r="BP39" s="525">
        <f t="shared" si="194"/>
        <v>0</v>
      </c>
      <c r="BQ39" s="525">
        <f t="shared" si="194"/>
        <v>0</v>
      </c>
      <c r="BR39" s="525">
        <f t="shared" si="194"/>
        <v>0</v>
      </c>
      <c r="BS39" s="526">
        <f t="shared" si="194"/>
        <v>0</v>
      </c>
      <c r="BT39" s="526">
        <f t="shared" si="194"/>
        <v>0</v>
      </c>
      <c r="BU39" s="525">
        <v>27078.6</v>
      </c>
      <c r="BV39" s="525">
        <v>31285.86</v>
      </c>
      <c r="BW39" s="525">
        <f t="shared" si="194"/>
        <v>0</v>
      </c>
      <c r="BX39" s="515">
        <f t="shared" ref="BX39" si="237">SUM(AE39:AZ39)-SUM(BB39:BW39)</f>
        <v>0</v>
      </c>
      <c r="BY39" s="518">
        <f t="shared" ref="BY39" si="238">E39-SUM(BB39:BW39)</f>
        <v>0</v>
      </c>
      <c r="BZ39" s="518">
        <f t="shared" ref="BZ39" si="239">+E39-SUM(AE39:AZ39)</f>
        <v>0</v>
      </c>
    </row>
    <row r="40" spans="1:78" s="234" customFormat="1" ht="15" customHeight="1">
      <c r="A40" s="234" t="s">
        <v>125</v>
      </c>
      <c r="D40" s="328"/>
      <c r="E40" s="386">
        <v>37269.800000000003</v>
      </c>
      <c r="F40" s="403" t="s">
        <v>250</v>
      </c>
      <c r="G40" s="329">
        <v>0</v>
      </c>
      <c r="H40" s="329">
        <v>0</v>
      </c>
      <c r="I40" s="329">
        <v>0</v>
      </c>
      <c r="J40" s="329">
        <v>0</v>
      </c>
      <c r="K40" s="329">
        <v>0</v>
      </c>
      <c r="L40" s="329">
        <v>0</v>
      </c>
      <c r="M40" s="387">
        <v>0</v>
      </c>
      <c r="N40" s="329">
        <v>0</v>
      </c>
      <c r="O40" s="329">
        <v>0</v>
      </c>
      <c r="P40" s="329">
        <v>0</v>
      </c>
      <c r="Q40" s="329">
        <v>0</v>
      </c>
      <c r="R40" s="329">
        <v>0</v>
      </c>
      <c r="S40" s="329">
        <v>0</v>
      </c>
      <c r="T40" s="329">
        <v>0</v>
      </c>
      <c r="U40" s="329">
        <v>0</v>
      </c>
      <c r="V40" s="329">
        <v>0</v>
      </c>
      <c r="W40" s="329">
        <v>0</v>
      </c>
      <c r="X40" s="329">
        <v>0</v>
      </c>
      <c r="Y40" s="329">
        <v>1</v>
      </c>
      <c r="Z40" s="329">
        <v>0</v>
      </c>
      <c r="AA40" s="329"/>
      <c r="AB40" s="329"/>
      <c r="AC40" s="426">
        <f t="shared" si="10"/>
        <v>1</v>
      </c>
      <c r="AD40" s="328"/>
      <c r="AE40" s="326">
        <f t="shared" si="168"/>
        <v>0</v>
      </c>
      <c r="AF40" s="326">
        <f t="shared" si="169"/>
        <v>0</v>
      </c>
      <c r="AG40" s="326">
        <f t="shared" si="170"/>
        <v>0</v>
      </c>
      <c r="AH40" s="326">
        <f t="shared" si="171"/>
        <v>0</v>
      </c>
      <c r="AI40" s="326">
        <f t="shared" si="172"/>
        <v>0</v>
      </c>
      <c r="AJ40" s="326">
        <f t="shared" si="173"/>
        <v>0</v>
      </c>
      <c r="AK40" s="326">
        <f t="shared" si="174"/>
        <v>0</v>
      </c>
      <c r="AL40" s="326">
        <f t="shared" si="175"/>
        <v>0</v>
      </c>
      <c r="AM40" s="326">
        <f t="shared" si="176"/>
        <v>0</v>
      </c>
      <c r="AN40" s="326">
        <f t="shared" si="177"/>
        <v>0</v>
      </c>
      <c r="AO40" s="326">
        <f t="shared" si="178"/>
        <v>0</v>
      </c>
      <c r="AP40" s="326">
        <f t="shared" si="179"/>
        <v>0</v>
      </c>
      <c r="AQ40" s="326">
        <f t="shared" si="180"/>
        <v>0</v>
      </c>
      <c r="AR40" s="326">
        <f t="shared" si="181"/>
        <v>0</v>
      </c>
      <c r="AS40" s="326">
        <f t="shared" si="182"/>
        <v>0</v>
      </c>
      <c r="AT40" s="326">
        <f t="shared" si="183"/>
        <v>0</v>
      </c>
      <c r="AU40" s="326">
        <f t="shared" si="184"/>
        <v>0</v>
      </c>
      <c r="AV40" s="326">
        <f t="shared" si="185"/>
        <v>0</v>
      </c>
      <c r="AW40" s="534">
        <f t="shared" si="186"/>
        <v>37269.800000000003</v>
      </c>
      <c r="AX40" s="326">
        <f t="shared" si="187"/>
        <v>0</v>
      </c>
      <c r="AY40" s="326">
        <f t="shared" si="188"/>
        <v>0</v>
      </c>
      <c r="AZ40" s="326">
        <f t="shared" si="189"/>
        <v>0</v>
      </c>
      <c r="BA40" s="330"/>
      <c r="BB40" s="330">
        <f t="shared" si="193"/>
        <v>0</v>
      </c>
      <c r="BC40" s="330">
        <f t="shared" si="193"/>
        <v>0</v>
      </c>
      <c r="BD40" s="330">
        <f t="shared" si="193"/>
        <v>0</v>
      </c>
      <c r="BE40" s="330">
        <f t="shared" si="193"/>
        <v>0</v>
      </c>
      <c r="BF40" s="330">
        <f t="shared" si="193"/>
        <v>0</v>
      </c>
      <c r="BG40" s="330">
        <f t="shared" si="193"/>
        <v>0</v>
      </c>
      <c r="BH40" s="330">
        <f t="shared" si="193"/>
        <v>0</v>
      </c>
      <c r="BI40" s="330">
        <f t="shared" si="193"/>
        <v>0</v>
      </c>
      <c r="BJ40" s="330">
        <f t="shared" si="193"/>
        <v>0</v>
      </c>
      <c r="BK40" s="330">
        <f t="shared" si="193"/>
        <v>0</v>
      </c>
      <c r="BL40" s="330">
        <f t="shared" si="194"/>
        <v>0</v>
      </c>
      <c r="BM40" s="330">
        <f t="shared" si="194"/>
        <v>0</v>
      </c>
      <c r="BN40" s="330">
        <f t="shared" si="194"/>
        <v>0</v>
      </c>
      <c r="BO40" s="330">
        <f t="shared" si="194"/>
        <v>0</v>
      </c>
      <c r="BP40" s="330">
        <f t="shared" si="194"/>
        <v>0</v>
      </c>
      <c r="BQ40" s="330">
        <f t="shared" si="194"/>
        <v>0</v>
      </c>
      <c r="BR40" s="326">
        <f t="shared" si="194"/>
        <v>0</v>
      </c>
      <c r="BS40" s="326">
        <f t="shared" si="194"/>
        <v>0</v>
      </c>
      <c r="BT40" s="326">
        <f t="shared" si="194"/>
        <v>37269.800000000003</v>
      </c>
      <c r="BU40" s="330">
        <f t="shared" si="194"/>
        <v>0</v>
      </c>
      <c r="BV40" s="330">
        <f t="shared" si="194"/>
        <v>0</v>
      </c>
      <c r="BW40" s="330">
        <f t="shared" si="194"/>
        <v>0</v>
      </c>
      <c r="BX40" s="351">
        <f t="shared" si="7"/>
        <v>0</v>
      </c>
      <c r="BY40" s="378">
        <f t="shared" si="8"/>
        <v>0</v>
      </c>
      <c r="BZ40" s="378">
        <f t="shared" si="9"/>
        <v>0</v>
      </c>
    </row>
    <row r="41" spans="1:78" s="234" customFormat="1" ht="15" customHeight="1">
      <c r="A41" s="234" t="s">
        <v>125</v>
      </c>
      <c r="D41" s="328"/>
      <c r="E41" s="386">
        <v>20998.74</v>
      </c>
      <c r="F41" s="403" t="s">
        <v>250</v>
      </c>
      <c r="G41" s="329">
        <v>0</v>
      </c>
      <c r="H41" s="329">
        <v>0</v>
      </c>
      <c r="I41" s="329">
        <v>0</v>
      </c>
      <c r="J41" s="329">
        <v>0</v>
      </c>
      <c r="K41" s="329">
        <v>0</v>
      </c>
      <c r="L41" s="329">
        <v>0</v>
      </c>
      <c r="M41" s="387">
        <v>0</v>
      </c>
      <c r="N41" s="329">
        <v>0</v>
      </c>
      <c r="O41" s="329">
        <v>0</v>
      </c>
      <c r="P41" s="329">
        <v>0</v>
      </c>
      <c r="Q41" s="329">
        <v>0</v>
      </c>
      <c r="R41" s="329">
        <v>0</v>
      </c>
      <c r="S41" s="329">
        <v>0</v>
      </c>
      <c r="T41" s="329">
        <v>0</v>
      </c>
      <c r="U41" s="329">
        <v>0</v>
      </c>
      <c r="V41" s="329">
        <v>0</v>
      </c>
      <c r="W41" s="329">
        <v>0</v>
      </c>
      <c r="X41" s="329">
        <v>0</v>
      </c>
      <c r="Y41" s="329">
        <v>0</v>
      </c>
      <c r="Z41" s="329">
        <v>1</v>
      </c>
      <c r="AA41" s="329">
        <v>0</v>
      </c>
      <c r="AB41" s="329"/>
      <c r="AC41" s="426">
        <f t="shared" si="10"/>
        <v>1</v>
      </c>
      <c r="AD41" s="328"/>
      <c r="AE41" s="326">
        <f t="shared" si="168"/>
        <v>0</v>
      </c>
      <c r="AF41" s="326">
        <f t="shared" si="169"/>
        <v>0</v>
      </c>
      <c r="AG41" s="326">
        <f t="shared" si="170"/>
        <v>0</v>
      </c>
      <c r="AH41" s="326">
        <f t="shared" si="171"/>
        <v>0</v>
      </c>
      <c r="AI41" s="326">
        <f t="shared" si="172"/>
        <v>0</v>
      </c>
      <c r="AJ41" s="326">
        <f t="shared" si="173"/>
        <v>0</v>
      </c>
      <c r="AK41" s="326">
        <f t="shared" si="174"/>
        <v>0</v>
      </c>
      <c r="AL41" s="326">
        <f t="shared" si="175"/>
        <v>0</v>
      </c>
      <c r="AM41" s="326">
        <f t="shared" si="176"/>
        <v>0</v>
      </c>
      <c r="AN41" s="326">
        <f t="shared" si="177"/>
        <v>0</v>
      </c>
      <c r="AO41" s="326">
        <f t="shared" si="178"/>
        <v>0</v>
      </c>
      <c r="AP41" s="326">
        <f t="shared" si="179"/>
        <v>0</v>
      </c>
      <c r="AQ41" s="326">
        <f t="shared" si="180"/>
        <v>0</v>
      </c>
      <c r="AR41" s="326">
        <f t="shared" si="181"/>
        <v>0</v>
      </c>
      <c r="AS41" s="326">
        <f t="shared" si="182"/>
        <v>0</v>
      </c>
      <c r="AT41" s="326">
        <f t="shared" si="183"/>
        <v>0</v>
      </c>
      <c r="AU41" s="326">
        <f t="shared" si="184"/>
        <v>0</v>
      </c>
      <c r="AV41" s="326">
        <f t="shared" si="185"/>
        <v>0</v>
      </c>
      <c r="AW41" s="326">
        <f t="shared" si="186"/>
        <v>0</v>
      </c>
      <c r="AX41" s="326">
        <f t="shared" si="187"/>
        <v>20998.74</v>
      </c>
      <c r="AY41" s="326">
        <f t="shared" si="188"/>
        <v>0</v>
      </c>
      <c r="AZ41" s="326">
        <f t="shared" si="189"/>
        <v>0</v>
      </c>
      <c r="BA41" s="330"/>
      <c r="BB41" s="330">
        <f t="shared" si="193"/>
        <v>0</v>
      </c>
      <c r="BC41" s="330">
        <f t="shared" si="193"/>
        <v>0</v>
      </c>
      <c r="BD41" s="330">
        <f t="shared" si="193"/>
        <v>0</v>
      </c>
      <c r="BE41" s="330">
        <f t="shared" si="193"/>
        <v>0</v>
      </c>
      <c r="BF41" s="330">
        <f t="shared" si="193"/>
        <v>0</v>
      </c>
      <c r="BG41" s="330">
        <f t="shared" si="193"/>
        <v>0</v>
      </c>
      <c r="BH41" s="330">
        <f t="shared" si="193"/>
        <v>0</v>
      </c>
      <c r="BI41" s="330">
        <f t="shared" si="193"/>
        <v>0</v>
      </c>
      <c r="BJ41" s="330">
        <f t="shared" si="193"/>
        <v>0</v>
      </c>
      <c r="BK41" s="330">
        <f t="shared" si="193"/>
        <v>0</v>
      </c>
      <c r="BL41" s="330">
        <f t="shared" si="194"/>
        <v>0</v>
      </c>
      <c r="BM41" s="330">
        <f t="shared" si="194"/>
        <v>0</v>
      </c>
      <c r="BN41" s="330">
        <f t="shared" si="194"/>
        <v>0</v>
      </c>
      <c r="BO41" s="330">
        <f t="shared" si="194"/>
        <v>0</v>
      </c>
      <c r="BP41" s="330">
        <f t="shared" si="194"/>
        <v>0</v>
      </c>
      <c r="BQ41" s="330">
        <f t="shared" si="194"/>
        <v>0</v>
      </c>
      <c r="BR41" s="326">
        <f t="shared" si="194"/>
        <v>0</v>
      </c>
      <c r="BS41" s="326">
        <f t="shared" si="194"/>
        <v>0</v>
      </c>
      <c r="BT41" s="326">
        <f t="shared" si="194"/>
        <v>20998.74</v>
      </c>
      <c r="BU41" s="330">
        <f t="shared" si="194"/>
        <v>0</v>
      </c>
      <c r="BV41" s="330">
        <f t="shared" si="194"/>
        <v>0</v>
      </c>
      <c r="BW41" s="330">
        <f t="shared" si="194"/>
        <v>0</v>
      </c>
      <c r="BX41" s="351">
        <f t="shared" si="7"/>
        <v>0</v>
      </c>
      <c r="BY41" s="378">
        <f t="shared" si="8"/>
        <v>0</v>
      </c>
      <c r="BZ41" s="378">
        <f t="shared" si="9"/>
        <v>0</v>
      </c>
    </row>
    <row r="42" spans="1:78" s="234" customFormat="1" ht="15" customHeight="1">
      <c r="A42" s="234" t="s">
        <v>125</v>
      </c>
      <c r="D42" s="328"/>
      <c r="E42" s="386">
        <v>396.08</v>
      </c>
      <c r="F42" s="403" t="s">
        <v>244</v>
      </c>
      <c r="G42" s="329">
        <v>0</v>
      </c>
      <c r="H42" s="329">
        <v>0</v>
      </c>
      <c r="I42" s="329">
        <v>0</v>
      </c>
      <c r="J42" s="329">
        <v>0</v>
      </c>
      <c r="K42" s="329">
        <v>0</v>
      </c>
      <c r="L42" s="329">
        <v>0</v>
      </c>
      <c r="M42" s="387">
        <v>0</v>
      </c>
      <c r="N42" s="329">
        <v>0</v>
      </c>
      <c r="O42" s="329">
        <v>0</v>
      </c>
      <c r="P42" s="329">
        <v>0</v>
      </c>
      <c r="Q42" s="329">
        <v>0</v>
      </c>
      <c r="R42" s="329">
        <v>0</v>
      </c>
      <c r="S42" s="329">
        <v>0</v>
      </c>
      <c r="T42" s="329">
        <v>0</v>
      </c>
      <c r="U42" s="329">
        <v>0</v>
      </c>
      <c r="V42" s="329">
        <v>0</v>
      </c>
      <c r="W42" s="329">
        <v>1</v>
      </c>
      <c r="X42" s="329">
        <v>0</v>
      </c>
      <c r="Y42" s="329">
        <v>0</v>
      </c>
      <c r="Z42" s="329"/>
      <c r="AA42" s="329"/>
      <c r="AB42" s="329"/>
      <c r="AC42" s="426">
        <f t="shared" si="10"/>
        <v>1</v>
      </c>
      <c r="AD42" s="328"/>
      <c r="AE42" s="326">
        <f t="shared" si="168"/>
        <v>0</v>
      </c>
      <c r="AF42" s="326">
        <f t="shared" si="169"/>
        <v>0</v>
      </c>
      <c r="AG42" s="326">
        <f t="shared" si="170"/>
        <v>0</v>
      </c>
      <c r="AH42" s="326">
        <f t="shared" si="171"/>
        <v>0</v>
      </c>
      <c r="AI42" s="326">
        <f t="shared" si="172"/>
        <v>0</v>
      </c>
      <c r="AJ42" s="326">
        <f t="shared" si="173"/>
        <v>0</v>
      </c>
      <c r="AK42" s="326">
        <f t="shared" si="174"/>
        <v>0</v>
      </c>
      <c r="AL42" s="326">
        <f t="shared" si="175"/>
        <v>0</v>
      </c>
      <c r="AM42" s="326">
        <f t="shared" si="176"/>
        <v>0</v>
      </c>
      <c r="AN42" s="326">
        <f t="shared" si="177"/>
        <v>0</v>
      </c>
      <c r="AO42" s="326">
        <f t="shared" si="178"/>
        <v>0</v>
      </c>
      <c r="AP42" s="326">
        <f t="shared" si="179"/>
        <v>0</v>
      </c>
      <c r="AQ42" s="326">
        <f t="shared" si="180"/>
        <v>0</v>
      </c>
      <c r="AR42" s="326">
        <f t="shared" si="181"/>
        <v>0</v>
      </c>
      <c r="AS42" s="326">
        <f t="shared" si="182"/>
        <v>0</v>
      </c>
      <c r="AT42" s="326">
        <f t="shared" si="183"/>
        <v>0</v>
      </c>
      <c r="AU42" s="326">
        <f t="shared" si="184"/>
        <v>396.08</v>
      </c>
      <c r="AV42" s="326">
        <f t="shared" si="185"/>
        <v>0</v>
      </c>
      <c r="AW42" s="326">
        <f t="shared" si="186"/>
        <v>0</v>
      </c>
      <c r="AX42" s="326">
        <f t="shared" si="187"/>
        <v>0</v>
      </c>
      <c r="AY42" s="326">
        <f t="shared" si="188"/>
        <v>0</v>
      </c>
      <c r="AZ42" s="326">
        <f t="shared" si="189"/>
        <v>0</v>
      </c>
      <c r="BA42" s="330"/>
      <c r="BB42" s="330">
        <f t="shared" si="193"/>
        <v>0</v>
      </c>
      <c r="BC42" s="330">
        <f t="shared" si="193"/>
        <v>0</v>
      </c>
      <c r="BD42" s="330">
        <f t="shared" si="193"/>
        <v>0</v>
      </c>
      <c r="BE42" s="330">
        <f t="shared" si="193"/>
        <v>0</v>
      </c>
      <c r="BF42" s="330">
        <f t="shared" si="193"/>
        <v>0</v>
      </c>
      <c r="BG42" s="330">
        <f t="shared" si="193"/>
        <v>0</v>
      </c>
      <c r="BH42" s="330">
        <f t="shared" si="193"/>
        <v>0</v>
      </c>
      <c r="BI42" s="330">
        <f t="shared" si="193"/>
        <v>0</v>
      </c>
      <c r="BJ42" s="330">
        <f t="shared" si="193"/>
        <v>0</v>
      </c>
      <c r="BK42" s="330">
        <f t="shared" si="193"/>
        <v>0</v>
      </c>
      <c r="BL42" s="330">
        <f t="shared" si="194"/>
        <v>0</v>
      </c>
      <c r="BM42" s="330">
        <f t="shared" si="194"/>
        <v>0</v>
      </c>
      <c r="BN42" s="330">
        <f t="shared" si="194"/>
        <v>0</v>
      </c>
      <c r="BO42" s="330">
        <f t="shared" si="194"/>
        <v>0</v>
      </c>
      <c r="BP42" s="330">
        <f t="shared" si="194"/>
        <v>0</v>
      </c>
      <c r="BQ42" s="330">
        <f t="shared" si="194"/>
        <v>0</v>
      </c>
      <c r="BR42" s="326">
        <f t="shared" si="194"/>
        <v>396.08</v>
      </c>
      <c r="BS42" s="326">
        <f t="shared" si="194"/>
        <v>0</v>
      </c>
      <c r="BT42" s="326">
        <f t="shared" si="194"/>
        <v>0</v>
      </c>
      <c r="BU42" s="330">
        <f t="shared" si="194"/>
        <v>0</v>
      </c>
      <c r="BV42" s="330">
        <f t="shared" si="194"/>
        <v>0</v>
      </c>
      <c r="BW42" s="330">
        <f t="shared" si="194"/>
        <v>0</v>
      </c>
      <c r="BX42" s="351">
        <f t="shared" si="7"/>
        <v>0</v>
      </c>
      <c r="BY42" s="378">
        <f t="shared" si="8"/>
        <v>0</v>
      </c>
      <c r="BZ42" s="378">
        <f t="shared" si="9"/>
        <v>0</v>
      </c>
    </row>
    <row r="43" spans="1:78" s="234" customFormat="1" ht="15" customHeight="1">
      <c r="A43" s="234" t="s">
        <v>125</v>
      </c>
      <c r="B43" s="234" t="s">
        <v>308</v>
      </c>
      <c r="D43" s="501"/>
      <c r="E43" s="386">
        <v>14356.92</v>
      </c>
      <c r="F43" s="403" t="s">
        <v>244</v>
      </c>
      <c r="G43" s="388"/>
      <c r="H43" s="388"/>
      <c r="I43" s="388"/>
      <c r="J43" s="388"/>
      <c r="K43" s="388"/>
      <c r="L43" s="329"/>
      <c r="M43" s="329"/>
      <c r="N43" s="329"/>
      <c r="O43" s="329">
        <v>0</v>
      </c>
      <c r="P43" s="329">
        <v>0</v>
      </c>
      <c r="Q43" s="329">
        <v>0</v>
      </c>
      <c r="R43" s="329">
        <v>0</v>
      </c>
      <c r="S43" s="329">
        <v>0</v>
      </c>
      <c r="T43" s="329">
        <v>0</v>
      </c>
      <c r="U43" s="329">
        <v>0</v>
      </c>
      <c r="V43" s="329">
        <v>0</v>
      </c>
      <c r="W43" s="329">
        <v>0</v>
      </c>
      <c r="X43" s="329">
        <v>1</v>
      </c>
      <c r="Y43" s="385"/>
      <c r="Z43" s="329"/>
      <c r="AA43" s="329"/>
      <c r="AB43" s="329"/>
      <c r="AC43" s="426">
        <f t="shared" si="10"/>
        <v>1</v>
      </c>
      <c r="AD43" s="328"/>
      <c r="AE43" s="326">
        <f t="shared" si="168"/>
        <v>0</v>
      </c>
      <c r="AF43" s="326">
        <f t="shared" si="169"/>
        <v>0</v>
      </c>
      <c r="AG43" s="326">
        <f t="shared" si="170"/>
        <v>0</v>
      </c>
      <c r="AH43" s="326">
        <f t="shared" si="171"/>
        <v>0</v>
      </c>
      <c r="AI43" s="326">
        <f t="shared" si="172"/>
        <v>0</v>
      </c>
      <c r="AJ43" s="326">
        <f t="shared" si="173"/>
        <v>0</v>
      </c>
      <c r="AK43" s="326">
        <f t="shared" si="174"/>
        <v>0</v>
      </c>
      <c r="AL43" s="326">
        <f t="shared" si="175"/>
        <v>0</v>
      </c>
      <c r="AM43" s="326">
        <f t="shared" si="176"/>
        <v>0</v>
      </c>
      <c r="AN43" s="326">
        <f t="shared" si="177"/>
        <v>0</v>
      </c>
      <c r="AO43" s="326">
        <f t="shared" si="178"/>
        <v>0</v>
      </c>
      <c r="AP43" s="326">
        <f t="shared" si="179"/>
        <v>0</v>
      </c>
      <c r="AQ43" s="326">
        <f t="shared" si="180"/>
        <v>0</v>
      </c>
      <c r="AR43" s="326">
        <f t="shared" si="181"/>
        <v>0</v>
      </c>
      <c r="AS43" s="326">
        <f t="shared" si="182"/>
        <v>0</v>
      </c>
      <c r="AT43" s="326">
        <f t="shared" si="183"/>
        <v>0</v>
      </c>
      <c r="AU43" s="326">
        <f t="shared" si="184"/>
        <v>0</v>
      </c>
      <c r="AV43" s="326">
        <f t="shared" si="185"/>
        <v>14356.92</v>
      </c>
      <c r="AW43" s="326">
        <f t="shared" si="186"/>
        <v>0</v>
      </c>
      <c r="AX43" s="326">
        <f t="shared" si="187"/>
        <v>0</v>
      </c>
      <c r="AY43" s="326">
        <f t="shared" si="188"/>
        <v>0</v>
      </c>
      <c r="AZ43" s="326">
        <f t="shared" si="189"/>
        <v>0</v>
      </c>
      <c r="BA43" s="330"/>
      <c r="BB43" s="330">
        <f t="shared" si="193"/>
        <v>0</v>
      </c>
      <c r="BC43" s="330">
        <f t="shared" si="193"/>
        <v>0</v>
      </c>
      <c r="BD43" s="330">
        <f t="shared" si="193"/>
        <v>0</v>
      </c>
      <c r="BE43" s="330">
        <f t="shared" si="193"/>
        <v>0</v>
      </c>
      <c r="BF43" s="330">
        <f t="shared" si="193"/>
        <v>0</v>
      </c>
      <c r="BG43" s="330">
        <f t="shared" si="193"/>
        <v>0</v>
      </c>
      <c r="BH43" s="330">
        <f t="shared" si="193"/>
        <v>0</v>
      </c>
      <c r="BI43" s="330">
        <f t="shared" si="193"/>
        <v>0</v>
      </c>
      <c r="BJ43" s="330">
        <f t="shared" si="193"/>
        <v>0</v>
      </c>
      <c r="BK43" s="330">
        <f t="shared" si="193"/>
        <v>0</v>
      </c>
      <c r="BL43" s="330">
        <f t="shared" si="194"/>
        <v>0</v>
      </c>
      <c r="BM43" s="330">
        <f t="shared" si="194"/>
        <v>0</v>
      </c>
      <c r="BN43" s="326">
        <f t="shared" si="194"/>
        <v>0</v>
      </c>
      <c r="BO43" s="330">
        <f t="shared" si="194"/>
        <v>0</v>
      </c>
      <c r="BP43" s="330">
        <f t="shared" si="194"/>
        <v>0</v>
      </c>
      <c r="BQ43" s="330">
        <f t="shared" si="194"/>
        <v>0</v>
      </c>
      <c r="BR43" s="326">
        <f t="shared" si="194"/>
        <v>14356.92</v>
      </c>
      <c r="BS43" s="326">
        <f t="shared" si="194"/>
        <v>0</v>
      </c>
      <c r="BT43" s="326">
        <f t="shared" si="194"/>
        <v>0</v>
      </c>
      <c r="BU43" s="330">
        <f t="shared" si="194"/>
        <v>0</v>
      </c>
      <c r="BV43" s="330">
        <f t="shared" si="194"/>
        <v>0</v>
      </c>
      <c r="BW43" s="330">
        <f t="shared" si="194"/>
        <v>0</v>
      </c>
      <c r="BX43" s="351">
        <f t="shared" si="7"/>
        <v>0</v>
      </c>
      <c r="BY43" s="378">
        <f t="shared" si="8"/>
        <v>0</v>
      </c>
      <c r="BZ43" s="378">
        <f t="shared" si="9"/>
        <v>0</v>
      </c>
    </row>
    <row r="44" spans="1:78" s="234" customFormat="1" ht="15" customHeight="1">
      <c r="A44" s="234" t="s">
        <v>126</v>
      </c>
      <c r="D44" s="328"/>
      <c r="E44" s="386">
        <v>2772876.18</v>
      </c>
      <c r="F44" s="328" t="s">
        <v>193</v>
      </c>
      <c r="G44" s="390"/>
      <c r="H44" s="390"/>
      <c r="I44" s="390"/>
      <c r="J44" s="390">
        <v>0</v>
      </c>
      <c r="K44" s="390">
        <v>0</v>
      </c>
      <c r="L44" s="390">
        <v>7.4766353252744222E-2</v>
      </c>
      <c r="M44" s="390">
        <v>5.6074764942302374E-2</v>
      </c>
      <c r="N44" s="390">
        <v>7.4766353250000001E-2</v>
      </c>
      <c r="O44" s="390">
        <v>3.7383176626372111E-2</v>
      </c>
      <c r="P44" s="390">
        <v>0.26168224359733216</v>
      </c>
      <c r="Q44" s="390">
        <v>5.6074764939558173E-2</v>
      </c>
      <c r="R44" s="390">
        <v>0.14953270650548844</v>
      </c>
      <c r="S44" s="390">
        <v>4.6728970782965139E-2</v>
      </c>
      <c r="T44" s="390">
        <v>0</v>
      </c>
      <c r="U44" s="390">
        <v>0.14953270650548844</v>
      </c>
      <c r="V44" s="390">
        <v>3.7383176626372111E-2</v>
      </c>
      <c r="W44" s="390">
        <v>0</v>
      </c>
      <c r="X44" s="390">
        <v>5.607478297137667E-2</v>
      </c>
      <c r="Y44" s="409">
        <f>1-(X44+W44+V44+U44+T44+S44+R44+Q44+P44+O44+N44+M44+L44+K44+J44)</f>
        <v>0</v>
      </c>
      <c r="Z44" s="409"/>
      <c r="AA44" s="409"/>
      <c r="AB44" s="409"/>
      <c r="AC44" s="426">
        <f t="shared" si="10"/>
        <v>0.99999999999999989</v>
      </c>
      <c r="AD44" s="328"/>
      <c r="AE44" s="330">
        <f t="shared" si="168"/>
        <v>0</v>
      </c>
      <c r="AF44" s="386">
        <f t="shared" si="169"/>
        <v>0</v>
      </c>
      <c r="AG44" s="386">
        <f t="shared" si="170"/>
        <v>0</v>
      </c>
      <c r="AH44" s="386">
        <f t="shared" si="171"/>
        <v>0</v>
      </c>
      <c r="AI44" s="386">
        <f t="shared" si="172"/>
        <v>0</v>
      </c>
      <c r="AJ44" s="386">
        <f t="shared" si="173"/>
        <v>207317.84</v>
      </c>
      <c r="AK44" s="386">
        <f t="shared" si="174"/>
        <v>155488.38000760935</v>
      </c>
      <c r="AL44" s="386">
        <f t="shared" si="175"/>
        <v>207317.8399923906</v>
      </c>
      <c r="AM44" s="386">
        <f t="shared" si="176"/>
        <v>103658.92</v>
      </c>
      <c r="AN44" s="386">
        <f t="shared" si="177"/>
        <v>725612.46</v>
      </c>
      <c r="AO44" s="326">
        <f t="shared" si="178"/>
        <v>155488.38</v>
      </c>
      <c r="AP44" s="326">
        <f t="shared" si="179"/>
        <v>414635.68</v>
      </c>
      <c r="AQ44" s="326">
        <f t="shared" si="180"/>
        <v>129573.65</v>
      </c>
      <c r="AR44" s="326">
        <f t="shared" si="181"/>
        <v>0</v>
      </c>
      <c r="AS44" s="326">
        <f t="shared" si="182"/>
        <v>414635.68</v>
      </c>
      <c r="AT44" s="326">
        <f t="shared" si="183"/>
        <v>103658.92</v>
      </c>
      <c r="AU44" s="326">
        <f t="shared" si="184"/>
        <v>0</v>
      </c>
      <c r="AV44" s="326">
        <f t="shared" si="185"/>
        <v>155488.43</v>
      </c>
      <c r="AW44" s="330">
        <f t="shared" si="186"/>
        <v>0</v>
      </c>
      <c r="AX44" s="330">
        <f t="shared" si="187"/>
        <v>0</v>
      </c>
      <c r="AY44" s="330">
        <f t="shared" si="188"/>
        <v>0</v>
      </c>
      <c r="AZ44" s="330">
        <f t="shared" si="189"/>
        <v>0</v>
      </c>
      <c r="BA44" s="330"/>
      <c r="BB44" s="330">
        <f t="shared" si="5"/>
        <v>0</v>
      </c>
      <c r="BC44" s="326">
        <f t="shared" si="5"/>
        <v>0</v>
      </c>
      <c r="BD44" s="326">
        <f t="shared" si="5"/>
        <v>0</v>
      </c>
      <c r="BE44" s="326">
        <f t="shared" si="5"/>
        <v>2772876.18</v>
      </c>
      <c r="BF44" s="326">
        <f t="shared" si="5"/>
        <v>0</v>
      </c>
      <c r="BG44" s="326">
        <f t="shared" si="5"/>
        <v>0</v>
      </c>
      <c r="BH44" s="326">
        <f t="shared" si="5"/>
        <v>0</v>
      </c>
      <c r="BI44" s="326">
        <f t="shared" si="5"/>
        <v>0</v>
      </c>
      <c r="BJ44" s="326">
        <f t="shared" si="5"/>
        <v>0</v>
      </c>
      <c r="BK44" s="326">
        <f t="shared" si="5"/>
        <v>0</v>
      </c>
      <c r="BL44" s="326">
        <f t="shared" si="5"/>
        <v>0</v>
      </c>
      <c r="BM44" s="330">
        <f t="shared" si="5"/>
        <v>0</v>
      </c>
      <c r="BN44" s="330">
        <f t="shared" si="5"/>
        <v>0</v>
      </c>
      <c r="BO44" s="330">
        <f t="shared" si="5"/>
        <v>0</v>
      </c>
      <c r="BP44" s="330">
        <f t="shared" si="5"/>
        <v>0</v>
      </c>
      <c r="BQ44" s="330">
        <f t="shared" ref="BQ44:BT85" si="240">IF(BQ$3=$F44,$E44,0)</f>
        <v>0</v>
      </c>
      <c r="BR44" s="330">
        <f t="shared" ref="BB44:BV62" si="241">IF(BR$3=$F44,$E44,0)</f>
        <v>0</v>
      </c>
      <c r="BS44" s="326">
        <f t="shared" si="241"/>
        <v>0</v>
      </c>
      <c r="BT44" s="326">
        <f t="shared" si="241"/>
        <v>0</v>
      </c>
      <c r="BU44" s="330">
        <f t="shared" si="241"/>
        <v>0</v>
      </c>
      <c r="BV44" s="330">
        <f t="shared" si="241"/>
        <v>0</v>
      </c>
      <c r="BW44" s="330">
        <f t="shared" si="194"/>
        <v>0</v>
      </c>
      <c r="BX44" s="351">
        <f t="shared" si="7"/>
        <v>0</v>
      </c>
      <c r="BY44" s="378">
        <f t="shared" si="8"/>
        <v>0</v>
      </c>
      <c r="BZ44" s="378">
        <f t="shared" si="9"/>
        <v>0</v>
      </c>
    </row>
    <row r="45" spans="1:78" s="234" customFormat="1" ht="15" customHeight="1">
      <c r="A45" s="234" t="s">
        <v>126</v>
      </c>
      <c r="D45" s="328"/>
      <c r="E45" s="386">
        <v>171320.93</v>
      </c>
      <c r="F45" s="328" t="s">
        <v>244</v>
      </c>
      <c r="G45" s="390"/>
      <c r="H45" s="390"/>
      <c r="I45" s="390"/>
      <c r="J45" s="390">
        <v>0</v>
      </c>
      <c r="K45" s="390">
        <v>0</v>
      </c>
      <c r="L45" s="390">
        <v>0</v>
      </c>
      <c r="M45" s="390">
        <v>0</v>
      </c>
      <c r="N45" s="390">
        <v>0</v>
      </c>
      <c r="O45" s="390">
        <v>0</v>
      </c>
      <c r="P45" s="390">
        <v>0</v>
      </c>
      <c r="Q45" s="390">
        <v>0</v>
      </c>
      <c r="R45" s="390">
        <v>0</v>
      </c>
      <c r="S45" s="390">
        <v>0</v>
      </c>
      <c r="T45" s="390">
        <v>0</v>
      </c>
      <c r="U45" s="390">
        <v>0</v>
      </c>
      <c r="V45" s="390">
        <v>0</v>
      </c>
      <c r="W45" s="390">
        <v>0</v>
      </c>
      <c r="X45" s="390">
        <v>0.69999999416300152</v>
      </c>
      <c r="Y45" s="409">
        <v>0.30000000583699843</v>
      </c>
      <c r="Z45" s="409"/>
      <c r="AA45" s="409"/>
      <c r="AB45" s="409"/>
      <c r="AC45" s="426">
        <f t="shared" si="10"/>
        <v>1</v>
      </c>
      <c r="AD45" s="328"/>
      <c r="AE45" s="330">
        <f t="shared" si="168"/>
        <v>0</v>
      </c>
      <c r="AF45" s="386">
        <f t="shared" si="169"/>
        <v>0</v>
      </c>
      <c r="AG45" s="386">
        <f t="shared" si="170"/>
        <v>0</v>
      </c>
      <c r="AH45" s="386">
        <f t="shared" si="171"/>
        <v>0</v>
      </c>
      <c r="AI45" s="386">
        <f t="shared" si="172"/>
        <v>0</v>
      </c>
      <c r="AJ45" s="386">
        <f t="shared" si="173"/>
        <v>0</v>
      </c>
      <c r="AK45" s="386">
        <f t="shared" si="174"/>
        <v>0</v>
      </c>
      <c r="AL45" s="386">
        <f t="shared" si="175"/>
        <v>0</v>
      </c>
      <c r="AM45" s="386">
        <f t="shared" si="176"/>
        <v>0</v>
      </c>
      <c r="AN45" s="386">
        <f t="shared" si="177"/>
        <v>0</v>
      </c>
      <c r="AO45" s="326">
        <f t="shared" si="178"/>
        <v>0</v>
      </c>
      <c r="AP45" s="326">
        <f t="shared" si="179"/>
        <v>0</v>
      </c>
      <c r="AQ45" s="326">
        <f t="shared" si="180"/>
        <v>0</v>
      </c>
      <c r="AR45" s="326">
        <f t="shared" si="181"/>
        <v>0</v>
      </c>
      <c r="AS45" s="326">
        <f t="shared" si="182"/>
        <v>0</v>
      </c>
      <c r="AT45" s="326">
        <f t="shared" si="183"/>
        <v>0</v>
      </c>
      <c r="AU45" s="326">
        <f t="shared" si="184"/>
        <v>0</v>
      </c>
      <c r="AV45" s="326">
        <f t="shared" si="185"/>
        <v>119924.64999999998</v>
      </c>
      <c r="AW45" s="330">
        <f t="shared" si="186"/>
        <v>51396.28</v>
      </c>
      <c r="AX45" s="330">
        <f t="shared" si="187"/>
        <v>0</v>
      </c>
      <c r="AY45" s="330">
        <f t="shared" si="188"/>
        <v>0</v>
      </c>
      <c r="AZ45" s="330">
        <f t="shared" si="189"/>
        <v>0</v>
      </c>
      <c r="BA45" s="330"/>
      <c r="BB45" s="330">
        <f t="shared" si="5"/>
        <v>0</v>
      </c>
      <c r="BC45" s="326">
        <f t="shared" si="5"/>
        <v>0</v>
      </c>
      <c r="BD45" s="326">
        <f t="shared" si="5"/>
        <v>0</v>
      </c>
      <c r="BE45" s="326">
        <f t="shared" si="5"/>
        <v>0</v>
      </c>
      <c r="BF45" s="326">
        <f t="shared" si="5"/>
        <v>0</v>
      </c>
      <c r="BG45" s="326">
        <f t="shared" si="5"/>
        <v>0</v>
      </c>
      <c r="BH45" s="326">
        <f t="shared" si="5"/>
        <v>0</v>
      </c>
      <c r="BI45" s="326">
        <f t="shared" si="5"/>
        <v>0</v>
      </c>
      <c r="BJ45" s="326">
        <f t="shared" si="5"/>
        <v>0</v>
      </c>
      <c r="BK45" s="326">
        <f t="shared" si="5"/>
        <v>0</v>
      </c>
      <c r="BL45" s="326">
        <f t="shared" si="5"/>
        <v>0</v>
      </c>
      <c r="BM45" s="330">
        <f t="shared" si="5"/>
        <v>0</v>
      </c>
      <c r="BN45" s="330">
        <f t="shared" si="5"/>
        <v>0</v>
      </c>
      <c r="BO45" s="330">
        <f t="shared" si="5"/>
        <v>0</v>
      </c>
      <c r="BP45" s="330">
        <f t="shared" si="5"/>
        <v>0</v>
      </c>
      <c r="BQ45" s="330">
        <f t="shared" si="240"/>
        <v>0</v>
      </c>
      <c r="BR45" s="326">
        <f t="shared" si="241"/>
        <v>171320.93</v>
      </c>
      <c r="BS45" s="326">
        <f t="shared" si="241"/>
        <v>0</v>
      </c>
      <c r="BT45" s="326">
        <f t="shared" si="241"/>
        <v>0</v>
      </c>
      <c r="BU45" s="330">
        <f t="shared" si="241"/>
        <v>0</v>
      </c>
      <c r="BV45" s="330">
        <f t="shared" si="194"/>
        <v>0</v>
      </c>
      <c r="BW45" s="330">
        <f t="shared" si="194"/>
        <v>0</v>
      </c>
      <c r="BX45" s="351">
        <f t="shared" si="7"/>
        <v>0</v>
      </c>
      <c r="BY45" s="378">
        <f t="shared" si="8"/>
        <v>0</v>
      </c>
      <c r="BZ45" s="378">
        <f t="shared" si="9"/>
        <v>0</v>
      </c>
    </row>
    <row r="46" spans="1:78" s="234" customFormat="1" ht="15" customHeight="1">
      <c r="A46" s="234" t="s">
        <v>128</v>
      </c>
      <c r="D46" s="328"/>
      <c r="E46" s="386">
        <v>23.99</v>
      </c>
      <c r="F46" s="328" t="s">
        <v>175</v>
      </c>
      <c r="G46" s="390"/>
      <c r="H46" s="390"/>
      <c r="I46" s="390"/>
      <c r="J46" s="390"/>
      <c r="K46" s="390">
        <v>0</v>
      </c>
      <c r="L46" s="390">
        <v>0</v>
      </c>
      <c r="M46" s="390">
        <v>1</v>
      </c>
      <c r="N46" s="390">
        <v>0</v>
      </c>
      <c r="O46" s="390"/>
      <c r="P46" s="390"/>
      <c r="Q46" s="390"/>
      <c r="R46" s="390"/>
      <c r="S46" s="390"/>
      <c r="T46" s="390"/>
      <c r="U46" s="329"/>
      <c r="V46" s="329"/>
      <c r="W46" s="329"/>
      <c r="X46" s="329"/>
      <c r="Y46" s="329"/>
      <c r="Z46" s="329"/>
      <c r="AA46" s="329"/>
      <c r="AB46" s="329"/>
      <c r="AC46" s="426">
        <f t="shared" si="10"/>
        <v>1</v>
      </c>
      <c r="AD46" s="328"/>
      <c r="AE46" s="330">
        <f t="shared" si="168"/>
        <v>0</v>
      </c>
      <c r="AF46" s="386">
        <f t="shared" si="169"/>
        <v>0</v>
      </c>
      <c r="AG46" s="386">
        <f t="shared" si="170"/>
        <v>0</v>
      </c>
      <c r="AH46" s="386">
        <f t="shared" si="171"/>
        <v>0</v>
      </c>
      <c r="AI46" s="386">
        <f t="shared" si="172"/>
        <v>0</v>
      </c>
      <c r="AJ46" s="386">
        <f t="shared" si="173"/>
        <v>0</v>
      </c>
      <c r="AK46" s="386">
        <f t="shared" si="174"/>
        <v>23.99</v>
      </c>
      <c r="AL46" s="386">
        <f t="shared" si="175"/>
        <v>0</v>
      </c>
      <c r="AM46" s="386">
        <f t="shared" si="176"/>
        <v>0</v>
      </c>
      <c r="AN46" s="330">
        <f t="shared" si="177"/>
        <v>0</v>
      </c>
      <c r="AO46" s="330">
        <f t="shared" si="178"/>
        <v>0</v>
      </c>
      <c r="AP46" s="330">
        <f t="shared" si="179"/>
        <v>0</v>
      </c>
      <c r="AQ46" s="330">
        <f t="shared" si="180"/>
        <v>0</v>
      </c>
      <c r="AR46" s="326">
        <f t="shared" si="181"/>
        <v>0</v>
      </c>
      <c r="AS46" s="326">
        <f t="shared" si="182"/>
        <v>0</v>
      </c>
      <c r="AT46" s="326">
        <f t="shared" si="183"/>
        <v>0</v>
      </c>
      <c r="AU46" s="326">
        <f t="shared" si="184"/>
        <v>0</v>
      </c>
      <c r="AV46" s="326">
        <f t="shared" si="185"/>
        <v>0</v>
      </c>
      <c r="AW46" s="330">
        <f t="shared" si="186"/>
        <v>0</v>
      </c>
      <c r="AX46" s="330">
        <f t="shared" si="187"/>
        <v>0</v>
      </c>
      <c r="AY46" s="330">
        <f t="shared" si="188"/>
        <v>0</v>
      </c>
      <c r="AZ46" s="330">
        <f t="shared" si="189"/>
        <v>0</v>
      </c>
      <c r="BA46" s="330"/>
      <c r="BB46" s="330">
        <f t="shared" ref="BB46:BE49" si="242">IF(BB$3=$F46,$E46,0)</f>
        <v>0</v>
      </c>
      <c r="BC46" s="330">
        <f t="shared" si="242"/>
        <v>0</v>
      </c>
      <c r="BD46" s="330">
        <f t="shared" si="242"/>
        <v>0</v>
      </c>
      <c r="BE46" s="330">
        <f t="shared" si="242"/>
        <v>0</v>
      </c>
      <c r="BF46" s="330">
        <v>0</v>
      </c>
      <c r="BG46" s="330">
        <v>0</v>
      </c>
      <c r="BH46" s="386">
        <f t="shared" ref="BH46:BW49" si="243">IF(BH$3=$F46,$E46,0)</f>
        <v>23.99</v>
      </c>
      <c r="BI46" s="330">
        <f t="shared" si="243"/>
        <v>0</v>
      </c>
      <c r="BJ46" s="330">
        <f t="shared" si="243"/>
        <v>0</v>
      </c>
      <c r="BK46" s="330">
        <f t="shared" si="243"/>
        <v>0</v>
      </c>
      <c r="BL46" s="330">
        <f t="shared" si="243"/>
        <v>0</v>
      </c>
      <c r="BM46" s="330">
        <f t="shared" si="243"/>
        <v>0</v>
      </c>
      <c r="BN46" s="330">
        <f t="shared" si="243"/>
        <v>0</v>
      </c>
      <c r="BO46" s="330">
        <f t="shared" si="243"/>
        <v>0</v>
      </c>
      <c r="BP46" s="330">
        <f t="shared" si="243"/>
        <v>0</v>
      </c>
      <c r="BQ46" s="330">
        <f t="shared" si="243"/>
        <v>0</v>
      </c>
      <c r="BR46" s="330">
        <f t="shared" si="243"/>
        <v>0</v>
      </c>
      <c r="BS46" s="326">
        <f t="shared" si="243"/>
        <v>0</v>
      </c>
      <c r="BT46" s="326">
        <f t="shared" si="243"/>
        <v>0</v>
      </c>
      <c r="BU46" s="330">
        <f t="shared" si="243"/>
        <v>0</v>
      </c>
      <c r="BV46" s="330">
        <f t="shared" si="243"/>
        <v>0</v>
      </c>
      <c r="BW46" s="330">
        <f t="shared" si="243"/>
        <v>0</v>
      </c>
      <c r="BX46" s="351">
        <f t="shared" si="7"/>
        <v>0</v>
      </c>
      <c r="BY46" s="378">
        <f t="shared" si="8"/>
        <v>0</v>
      </c>
      <c r="BZ46" s="378">
        <f t="shared" si="9"/>
        <v>0</v>
      </c>
    </row>
    <row r="47" spans="1:78" s="234" customFormat="1" ht="15" customHeight="1">
      <c r="A47" s="234" t="s">
        <v>128</v>
      </c>
      <c r="D47" s="328"/>
      <c r="E47" s="386">
        <v>56.92</v>
      </c>
      <c r="F47" s="328" t="s">
        <v>175</v>
      </c>
      <c r="G47" s="390"/>
      <c r="H47" s="390"/>
      <c r="I47" s="390"/>
      <c r="J47" s="390"/>
      <c r="K47" s="390">
        <v>0</v>
      </c>
      <c r="L47" s="390">
        <v>0</v>
      </c>
      <c r="M47" s="390">
        <v>0</v>
      </c>
      <c r="N47" s="390">
        <v>1</v>
      </c>
      <c r="O47" s="390"/>
      <c r="P47" s="390"/>
      <c r="Q47" s="390"/>
      <c r="R47" s="390"/>
      <c r="S47" s="390"/>
      <c r="T47" s="390"/>
      <c r="U47" s="329"/>
      <c r="V47" s="329"/>
      <c r="W47" s="329"/>
      <c r="X47" s="329"/>
      <c r="Y47" s="329"/>
      <c r="Z47" s="329"/>
      <c r="AA47" s="329"/>
      <c r="AB47" s="329"/>
      <c r="AC47" s="426">
        <f t="shared" si="10"/>
        <v>1</v>
      </c>
      <c r="AD47" s="328"/>
      <c r="AE47" s="330">
        <f t="shared" si="168"/>
        <v>0</v>
      </c>
      <c r="AF47" s="386">
        <f t="shared" si="169"/>
        <v>0</v>
      </c>
      <c r="AG47" s="386">
        <f t="shared" si="170"/>
        <v>0</v>
      </c>
      <c r="AH47" s="386">
        <f t="shared" si="171"/>
        <v>0</v>
      </c>
      <c r="AI47" s="386">
        <f t="shared" si="172"/>
        <v>0</v>
      </c>
      <c r="AJ47" s="386">
        <f t="shared" si="173"/>
        <v>0</v>
      </c>
      <c r="AK47" s="386">
        <f t="shared" si="174"/>
        <v>0</v>
      </c>
      <c r="AL47" s="386">
        <f t="shared" si="175"/>
        <v>56.92</v>
      </c>
      <c r="AM47" s="386">
        <f t="shared" si="176"/>
        <v>0</v>
      </c>
      <c r="AN47" s="330">
        <f t="shared" si="177"/>
        <v>0</v>
      </c>
      <c r="AO47" s="330">
        <f t="shared" si="178"/>
        <v>0</v>
      </c>
      <c r="AP47" s="330">
        <f t="shared" si="179"/>
        <v>0</v>
      </c>
      <c r="AQ47" s="330">
        <f t="shared" si="180"/>
        <v>0</v>
      </c>
      <c r="AR47" s="326">
        <f t="shared" si="181"/>
        <v>0</v>
      </c>
      <c r="AS47" s="326">
        <f t="shared" si="182"/>
        <v>0</v>
      </c>
      <c r="AT47" s="326">
        <f t="shared" si="183"/>
        <v>0</v>
      </c>
      <c r="AU47" s="326">
        <f t="shared" si="184"/>
        <v>0</v>
      </c>
      <c r="AV47" s="326">
        <f t="shared" si="185"/>
        <v>0</v>
      </c>
      <c r="AW47" s="330">
        <f t="shared" si="186"/>
        <v>0</v>
      </c>
      <c r="AX47" s="330">
        <f t="shared" si="187"/>
        <v>0</v>
      </c>
      <c r="AY47" s="330">
        <f t="shared" si="188"/>
        <v>0</v>
      </c>
      <c r="AZ47" s="330">
        <f t="shared" si="189"/>
        <v>0</v>
      </c>
      <c r="BA47" s="330"/>
      <c r="BB47" s="330">
        <f t="shared" si="242"/>
        <v>0</v>
      </c>
      <c r="BC47" s="330">
        <f t="shared" si="242"/>
        <v>0</v>
      </c>
      <c r="BD47" s="330">
        <f t="shared" si="242"/>
        <v>0</v>
      </c>
      <c r="BE47" s="330">
        <f t="shared" si="242"/>
        <v>0</v>
      </c>
      <c r="BF47" s="330">
        <v>0</v>
      </c>
      <c r="BG47" s="330">
        <v>0</v>
      </c>
      <c r="BH47" s="330">
        <f t="shared" si="243"/>
        <v>56.92</v>
      </c>
      <c r="BI47" s="386">
        <f t="shared" si="243"/>
        <v>0</v>
      </c>
      <c r="BJ47" s="330">
        <f t="shared" si="243"/>
        <v>0</v>
      </c>
      <c r="BK47" s="330">
        <f t="shared" si="243"/>
        <v>0</v>
      </c>
      <c r="BL47" s="330">
        <f t="shared" si="243"/>
        <v>0</v>
      </c>
      <c r="BM47" s="330">
        <f t="shared" si="243"/>
        <v>0</v>
      </c>
      <c r="BN47" s="330">
        <f t="shared" si="243"/>
        <v>0</v>
      </c>
      <c r="BO47" s="330">
        <f t="shared" si="243"/>
        <v>0</v>
      </c>
      <c r="BP47" s="330">
        <f t="shared" si="243"/>
        <v>0</v>
      </c>
      <c r="BQ47" s="330">
        <f t="shared" si="243"/>
        <v>0</v>
      </c>
      <c r="BR47" s="330">
        <f t="shared" si="243"/>
        <v>0</v>
      </c>
      <c r="BS47" s="326">
        <f t="shared" si="243"/>
        <v>0</v>
      </c>
      <c r="BT47" s="326">
        <f t="shared" si="243"/>
        <v>0</v>
      </c>
      <c r="BU47" s="330">
        <f t="shared" si="243"/>
        <v>0</v>
      </c>
      <c r="BV47" s="330">
        <f t="shared" si="243"/>
        <v>0</v>
      </c>
      <c r="BW47" s="330">
        <f t="shared" si="243"/>
        <v>0</v>
      </c>
      <c r="BX47" s="351">
        <f t="shared" si="7"/>
        <v>0</v>
      </c>
      <c r="BY47" s="378">
        <f t="shared" si="8"/>
        <v>0</v>
      </c>
      <c r="BZ47" s="378">
        <f t="shared" si="9"/>
        <v>0</v>
      </c>
    </row>
    <row r="48" spans="1:78" s="234" customFormat="1" ht="15" customHeight="1">
      <c r="A48" s="234" t="s">
        <v>128</v>
      </c>
      <c r="B48" s="234" t="s">
        <v>310</v>
      </c>
      <c r="D48" s="328"/>
      <c r="E48" s="386">
        <v>1843</v>
      </c>
      <c r="F48" s="328" t="s">
        <v>253</v>
      </c>
      <c r="G48" s="390"/>
      <c r="H48" s="390"/>
      <c r="I48" s="390"/>
      <c r="J48" s="390"/>
      <c r="K48" s="390">
        <v>0</v>
      </c>
      <c r="L48" s="390">
        <v>0</v>
      </c>
      <c r="M48" s="390">
        <v>0</v>
      </c>
      <c r="N48" s="390">
        <v>0</v>
      </c>
      <c r="O48" s="390"/>
      <c r="P48" s="390"/>
      <c r="Q48" s="390"/>
      <c r="R48" s="390"/>
      <c r="S48" s="390"/>
      <c r="T48" s="390"/>
      <c r="U48" s="329"/>
      <c r="V48" s="329"/>
      <c r="W48" s="329">
        <v>1</v>
      </c>
      <c r="X48" s="329">
        <v>0</v>
      </c>
      <c r="Y48" s="329"/>
      <c r="Z48" s="329"/>
      <c r="AA48" s="329"/>
      <c r="AB48" s="329"/>
      <c r="AC48" s="426">
        <f t="shared" si="10"/>
        <v>1</v>
      </c>
      <c r="AD48" s="328"/>
      <c r="AE48" s="330">
        <f t="shared" si="168"/>
        <v>0</v>
      </c>
      <c r="AF48" s="386">
        <f t="shared" si="169"/>
        <v>0</v>
      </c>
      <c r="AG48" s="386">
        <f t="shared" si="170"/>
        <v>0</v>
      </c>
      <c r="AH48" s="386">
        <f t="shared" si="171"/>
        <v>0</v>
      </c>
      <c r="AI48" s="386">
        <f t="shared" si="172"/>
        <v>0</v>
      </c>
      <c r="AJ48" s="386">
        <f t="shared" si="173"/>
        <v>0</v>
      </c>
      <c r="AK48" s="386">
        <f t="shared" si="174"/>
        <v>0</v>
      </c>
      <c r="AL48" s="386">
        <f t="shared" si="175"/>
        <v>0</v>
      </c>
      <c r="AM48" s="386">
        <f t="shared" si="176"/>
        <v>0</v>
      </c>
      <c r="AN48" s="330">
        <f t="shared" si="177"/>
        <v>0</v>
      </c>
      <c r="AO48" s="330">
        <f t="shared" si="178"/>
        <v>0</v>
      </c>
      <c r="AP48" s="330">
        <f t="shared" si="179"/>
        <v>0</v>
      </c>
      <c r="AQ48" s="330">
        <f t="shared" si="180"/>
        <v>0</v>
      </c>
      <c r="AR48" s="326">
        <f t="shared" si="181"/>
        <v>0</v>
      </c>
      <c r="AS48" s="326">
        <f t="shared" si="182"/>
        <v>0</v>
      </c>
      <c r="AT48" s="326">
        <f t="shared" si="183"/>
        <v>0</v>
      </c>
      <c r="AU48" s="326">
        <f t="shared" si="184"/>
        <v>1843</v>
      </c>
      <c r="AV48" s="326">
        <f t="shared" si="185"/>
        <v>0</v>
      </c>
      <c r="AW48" s="330">
        <f t="shared" si="186"/>
        <v>0</v>
      </c>
      <c r="AX48" s="330">
        <f t="shared" si="187"/>
        <v>0</v>
      </c>
      <c r="AY48" s="330">
        <f t="shared" si="188"/>
        <v>0</v>
      </c>
      <c r="AZ48" s="330">
        <f t="shared" si="189"/>
        <v>0</v>
      </c>
      <c r="BA48" s="330"/>
      <c r="BB48" s="330">
        <f t="shared" si="242"/>
        <v>0</v>
      </c>
      <c r="BC48" s="330">
        <f t="shared" si="242"/>
        <v>0</v>
      </c>
      <c r="BD48" s="330">
        <f t="shared" si="242"/>
        <v>0</v>
      </c>
      <c r="BE48" s="330">
        <f t="shared" si="242"/>
        <v>0</v>
      </c>
      <c r="BF48" s="330">
        <v>0</v>
      </c>
      <c r="BG48" s="330">
        <v>0</v>
      </c>
      <c r="BH48" s="330">
        <f t="shared" si="243"/>
        <v>0</v>
      </c>
      <c r="BI48" s="386">
        <f t="shared" si="243"/>
        <v>0</v>
      </c>
      <c r="BJ48" s="330">
        <f t="shared" si="243"/>
        <v>0</v>
      </c>
      <c r="BK48" s="330">
        <f t="shared" si="243"/>
        <v>0</v>
      </c>
      <c r="BL48" s="330">
        <f t="shared" si="243"/>
        <v>0</v>
      </c>
      <c r="BM48" s="330">
        <f t="shared" si="243"/>
        <v>0</v>
      </c>
      <c r="BN48" s="330">
        <f t="shared" si="243"/>
        <v>0</v>
      </c>
      <c r="BO48" s="330">
        <f t="shared" si="243"/>
        <v>0</v>
      </c>
      <c r="BP48" s="330">
        <f t="shared" si="243"/>
        <v>0</v>
      </c>
      <c r="BQ48" s="330">
        <f t="shared" si="243"/>
        <v>1843</v>
      </c>
      <c r="BR48" s="330">
        <f t="shared" si="243"/>
        <v>0</v>
      </c>
      <c r="BS48" s="326">
        <f t="shared" si="243"/>
        <v>0</v>
      </c>
      <c r="BT48" s="326">
        <f t="shared" si="243"/>
        <v>0</v>
      </c>
      <c r="BU48" s="330">
        <f t="shared" si="243"/>
        <v>0</v>
      </c>
      <c r="BV48" s="330">
        <f t="shared" si="243"/>
        <v>0</v>
      </c>
      <c r="BW48" s="330">
        <f t="shared" si="243"/>
        <v>0</v>
      </c>
      <c r="BX48" s="351">
        <f t="shared" si="7"/>
        <v>0</v>
      </c>
      <c r="BY48" s="378">
        <f t="shared" si="8"/>
        <v>0</v>
      </c>
      <c r="BZ48" s="378">
        <f t="shared" si="9"/>
        <v>0</v>
      </c>
    </row>
    <row r="49" spans="1:78" s="234" customFormat="1" ht="15" customHeight="1">
      <c r="A49" s="234" t="s">
        <v>128</v>
      </c>
      <c r="D49" s="328"/>
      <c r="E49" s="386">
        <v>15960</v>
      </c>
      <c r="F49" s="328" t="s">
        <v>266</v>
      </c>
      <c r="G49" s="390"/>
      <c r="H49" s="390"/>
      <c r="I49" s="390"/>
      <c r="J49" s="390"/>
      <c r="K49" s="390">
        <v>0</v>
      </c>
      <c r="L49" s="390">
        <v>0</v>
      </c>
      <c r="M49" s="390">
        <v>0</v>
      </c>
      <c r="N49" s="390">
        <v>0</v>
      </c>
      <c r="O49" s="390"/>
      <c r="P49" s="390"/>
      <c r="Q49" s="390"/>
      <c r="R49" s="390"/>
      <c r="S49" s="390"/>
      <c r="T49" s="390"/>
      <c r="U49" s="329"/>
      <c r="V49" s="329"/>
      <c r="W49" s="329">
        <v>0</v>
      </c>
      <c r="X49" s="329">
        <v>0</v>
      </c>
      <c r="Y49" s="329"/>
      <c r="Z49" s="329">
        <v>0.15538847117794485</v>
      </c>
      <c r="AA49" s="329">
        <v>0.50125313283208017</v>
      </c>
      <c r="AB49" s="329">
        <v>0.34335839598997492</v>
      </c>
      <c r="AC49" s="426">
        <f t="shared" ref="AC49" si="244">SUM(G49:AB49)</f>
        <v>1</v>
      </c>
      <c r="AD49" s="328"/>
      <c r="AE49" s="330">
        <f t="shared" ref="AE49" si="245">G49*$E49</f>
        <v>0</v>
      </c>
      <c r="AF49" s="386">
        <f t="shared" ref="AF49" si="246">H49*$E49</f>
        <v>0</v>
      </c>
      <c r="AG49" s="386">
        <f t="shared" ref="AG49" si="247">I49*$E49</f>
        <v>0</v>
      </c>
      <c r="AH49" s="386">
        <f t="shared" ref="AH49" si="248">J49*$E49</f>
        <v>0</v>
      </c>
      <c r="AI49" s="386">
        <f t="shared" ref="AI49" si="249">K49*$E49</f>
        <v>0</v>
      </c>
      <c r="AJ49" s="386">
        <f t="shared" ref="AJ49" si="250">L49*$E49</f>
        <v>0</v>
      </c>
      <c r="AK49" s="386">
        <f t="shared" ref="AK49" si="251">M49*$E49</f>
        <v>0</v>
      </c>
      <c r="AL49" s="386">
        <f t="shared" ref="AL49" si="252">N49*$E49</f>
        <v>0</v>
      </c>
      <c r="AM49" s="386">
        <f t="shared" ref="AM49" si="253">O49*$E49</f>
        <v>0</v>
      </c>
      <c r="AN49" s="330">
        <f t="shared" ref="AN49" si="254">P49*$E49</f>
        <v>0</v>
      </c>
      <c r="AO49" s="330">
        <f t="shared" ref="AO49" si="255">Q49*$E49</f>
        <v>0</v>
      </c>
      <c r="AP49" s="330">
        <f t="shared" ref="AP49" si="256">R49*$E49</f>
        <v>0</v>
      </c>
      <c r="AQ49" s="330">
        <f t="shared" ref="AQ49" si="257">S49*$E49</f>
        <v>0</v>
      </c>
      <c r="AR49" s="326">
        <f t="shared" ref="AR49" si="258">T49*$E49</f>
        <v>0</v>
      </c>
      <c r="AS49" s="326">
        <f t="shared" ref="AS49" si="259">U49*$E49</f>
        <v>0</v>
      </c>
      <c r="AT49" s="326">
        <f t="shared" ref="AT49" si="260">V49*$E49</f>
        <v>0</v>
      </c>
      <c r="AU49" s="326">
        <f t="shared" ref="AU49" si="261">W49*$E49</f>
        <v>0</v>
      </c>
      <c r="AV49" s="326">
        <f t="shared" ref="AV49" si="262">X49*$E49</f>
        <v>0</v>
      </c>
      <c r="AW49" s="330">
        <f t="shared" ref="AW49" si="263">Y49*$E49</f>
        <v>0</v>
      </c>
      <c r="AX49" s="330">
        <f t="shared" ref="AX49" si="264">Z49*$E49</f>
        <v>2480</v>
      </c>
      <c r="AY49" s="330">
        <f t="shared" ref="AY49" si="265">AA49*$E49</f>
        <v>8000</v>
      </c>
      <c r="AZ49" s="330">
        <f t="shared" ref="AZ49" si="266">AB49*$E49</f>
        <v>5480</v>
      </c>
      <c r="BA49" s="330"/>
      <c r="BB49" s="330">
        <f t="shared" si="242"/>
        <v>0</v>
      </c>
      <c r="BC49" s="330">
        <f t="shared" si="242"/>
        <v>0</v>
      </c>
      <c r="BD49" s="330">
        <f t="shared" si="242"/>
        <v>0</v>
      </c>
      <c r="BE49" s="330">
        <f t="shared" si="242"/>
        <v>0</v>
      </c>
      <c r="BF49" s="330">
        <v>0</v>
      </c>
      <c r="BG49" s="330">
        <v>0</v>
      </c>
      <c r="BH49" s="330">
        <f t="shared" si="243"/>
        <v>0</v>
      </c>
      <c r="BI49" s="386">
        <f t="shared" si="243"/>
        <v>0</v>
      </c>
      <c r="BJ49" s="330">
        <f t="shared" si="243"/>
        <v>0</v>
      </c>
      <c r="BK49" s="330">
        <f t="shared" si="243"/>
        <v>0</v>
      </c>
      <c r="BL49" s="330">
        <f t="shared" si="243"/>
        <v>0</v>
      </c>
      <c r="BM49" s="330">
        <f t="shared" si="243"/>
        <v>0</v>
      </c>
      <c r="BN49" s="330">
        <f t="shared" si="243"/>
        <v>0</v>
      </c>
      <c r="BO49" s="330">
        <f t="shared" si="243"/>
        <v>0</v>
      </c>
      <c r="BP49" s="330">
        <f t="shared" si="243"/>
        <v>0</v>
      </c>
      <c r="BQ49" s="330">
        <f t="shared" si="243"/>
        <v>0</v>
      </c>
      <c r="BR49" s="330">
        <f t="shared" si="243"/>
        <v>0</v>
      </c>
      <c r="BS49" s="326">
        <f t="shared" si="243"/>
        <v>0</v>
      </c>
      <c r="BT49" s="326">
        <f t="shared" si="243"/>
        <v>0</v>
      </c>
      <c r="BU49" s="330">
        <f t="shared" si="243"/>
        <v>15960</v>
      </c>
      <c r="BV49" s="330">
        <f t="shared" si="243"/>
        <v>0</v>
      </c>
      <c r="BW49" s="330">
        <f t="shared" si="243"/>
        <v>0</v>
      </c>
      <c r="BX49" s="351">
        <f t="shared" ref="BX49" si="267">SUM(AE49:AZ49)-SUM(BB49:BW49)</f>
        <v>0</v>
      </c>
      <c r="BY49" s="378">
        <f t="shared" ref="BY49" si="268">E49-SUM(BB49:BW49)</f>
        <v>0</v>
      </c>
      <c r="BZ49" s="378">
        <f t="shared" ref="BZ49" si="269">+E49-SUM(AE49:AZ49)</f>
        <v>0</v>
      </c>
    </row>
    <row r="50" spans="1:78" s="234" customFormat="1" ht="15" customHeight="1">
      <c r="A50" s="234" t="s">
        <v>129</v>
      </c>
      <c r="C50" s="306"/>
      <c r="D50" s="328"/>
      <c r="E50" s="386">
        <v>36998.879999999997</v>
      </c>
      <c r="F50" s="328" t="s">
        <v>161</v>
      </c>
      <c r="G50" s="329"/>
      <c r="H50" s="329"/>
      <c r="I50" s="329"/>
      <c r="J50" s="329">
        <v>0.24325060650484556</v>
      </c>
      <c r="K50" s="329">
        <v>0.26195171313293808</v>
      </c>
      <c r="L50" s="329">
        <v>0.23700393092980113</v>
      </c>
      <c r="M50" s="329">
        <v>0.25779374943241529</v>
      </c>
      <c r="N50" s="329">
        <v>0</v>
      </c>
      <c r="O50" s="329"/>
      <c r="P50" s="329"/>
      <c r="Q50" s="329"/>
      <c r="R50" s="329"/>
      <c r="S50" s="388"/>
      <c r="T50" s="388"/>
      <c r="U50" s="388"/>
      <c r="V50" s="388"/>
      <c r="W50" s="388"/>
      <c r="X50" s="388"/>
      <c r="Y50" s="388"/>
      <c r="Z50" s="388"/>
      <c r="AA50" s="388"/>
      <c r="AB50" s="388"/>
      <c r="AC50" s="426">
        <f t="shared" si="10"/>
        <v>1</v>
      </c>
      <c r="AD50" s="328"/>
      <c r="AE50" s="330">
        <f t="shared" si="168"/>
        <v>0</v>
      </c>
      <c r="AF50" s="330">
        <f t="shared" si="169"/>
        <v>0</v>
      </c>
      <c r="AG50" s="330">
        <f t="shared" si="170"/>
        <v>0</v>
      </c>
      <c r="AH50" s="330">
        <f t="shared" si="171"/>
        <v>9000</v>
      </c>
      <c r="AI50" s="386">
        <f t="shared" si="172"/>
        <v>9691.92</v>
      </c>
      <c r="AJ50" s="386">
        <f t="shared" si="173"/>
        <v>8768.8799999999992</v>
      </c>
      <c r="AK50" s="386">
        <f t="shared" si="174"/>
        <v>9538.08</v>
      </c>
      <c r="AL50" s="386">
        <f t="shared" si="175"/>
        <v>0</v>
      </c>
      <c r="AM50" s="386">
        <f t="shared" si="176"/>
        <v>0</v>
      </c>
      <c r="AN50" s="386">
        <f t="shared" si="177"/>
        <v>0</v>
      </c>
      <c r="AO50" s="386">
        <f t="shared" si="178"/>
        <v>0</v>
      </c>
      <c r="AP50" s="386">
        <f t="shared" si="179"/>
        <v>0</v>
      </c>
      <c r="AQ50" s="386">
        <f t="shared" si="180"/>
        <v>0</v>
      </c>
      <c r="AR50" s="326">
        <f t="shared" si="181"/>
        <v>0</v>
      </c>
      <c r="AS50" s="326">
        <f t="shared" si="182"/>
        <v>0</v>
      </c>
      <c r="AT50" s="326">
        <f t="shared" si="183"/>
        <v>0</v>
      </c>
      <c r="AU50" s="326">
        <f t="shared" si="184"/>
        <v>0</v>
      </c>
      <c r="AV50" s="326">
        <f t="shared" si="185"/>
        <v>0</v>
      </c>
      <c r="AW50" s="330">
        <f t="shared" si="186"/>
        <v>0</v>
      </c>
      <c r="AX50" s="330">
        <f t="shared" ref="AX50:AX92" si="270">Z50*$E50</f>
        <v>0</v>
      </c>
      <c r="AY50" s="330">
        <f t="shared" ref="AY50:AY92" si="271">AA50*$E50</f>
        <v>0</v>
      </c>
      <c r="AZ50" s="330">
        <f t="shared" ref="AZ50:AZ92" si="272">AB50*$E50</f>
        <v>0</v>
      </c>
      <c r="BA50" s="330"/>
      <c r="BB50" s="330">
        <f t="shared" si="5"/>
        <v>0</v>
      </c>
      <c r="BC50" s="330">
        <f t="shared" si="5"/>
        <v>0</v>
      </c>
      <c r="BD50" s="386">
        <f t="shared" ref="BD50:BE113" si="273">IF(BD$3=$F50,$E50,0)</f>
        <v>36998.879999999997</v>
      </c>
      <c r="BE50" s="330">
        <f t="shared" si="273"/>
        <v>0</v>
      </c>
      <c r="BF50" s="330">
        <f t="shared" si="5"/>
        <v>0</v>
      </c>
      <c r="BG50" s="330">
        <f t="shared" si="5"/>
        <v>0</v>
      </c>
      <c r="BH50" s="330">
        <f t="shared" si="5"/>
        <v>0</v>
      </c>
      <c r="BI50" s="330">
        <f t="shared" si="5"/>
        <v>0</v>
      </c>
      <c r="BJ50" s="330">
        <f t="shared" si="5"/>
        <v>0</v>
      </c>
      <c r="BK50" s="330">
        <f t="shared" si="5"/>
        <v>0</v>
      </c>
      <c r="BL50" s="330">
        <f t="shared" si="5"/>
        <v>0</v>
      </c>
      <c r="BM50" s="330">
        <f t="shared" si="5"/>
        <v>0</v>
      </c>
      <c r="BN50" s="330">
        <f t="shared" si="5"/>
        <v>0</v>
      </c>
      <c r="BO50" s="330">
        <f t="shared" si="5"/>
        <v>0</v>
      </c>
      <c r="BP50" s="330">
        <f t="shared" si="5"/>
        <v>0</v>
      </c>
      <c r="BQ50" s="330">
        <f t="shared" si="240"/>
        <v>0</v>
      </c>
      <c r="BR50" s="330">
        <f t="shared" si="241"/>
        <v>0</v>
      </c>
      <c r="BS50" s="330">
        <f t="shared" si="241"/>
        <v>0</v>
      </c>
      <c r="BT50" s="330">
        <f t="shared" si="241"/>
        <v>0</v>
      </c>
      <c r="BU50" s="330">
        <f t="shared" si="241"/>
        <v>0</v>
      </c>
      <c r="BV50" s="330">
        <f t="shared" si="194"/>
        <v>0</v>
      </c>
      <c r="BW50" s="330">
        <f t="shared" si="194"/>
        <v>0</v>
      </c>
      <c r="BX50" s="351">
        <f t="shared" ref="BX50:BX92" si="274">SUM(AE50:AZ50)-SUM(BB50:BW50)</f>
        <v>0</v>
      </c>
      <c r="BY50" s="378">
        <f t="shared" ref="BY50:BY92" si="275">E50-SUM(BB50:BW50)</f>
        <v>0</v>
      </c>
      <c r="BZ50" s="378">
        <f t="shared" ref="BZ50:BZ92" si="276">+E50-SUM(AE50:AZ50)</f>
        <v>0</v>
      </c>
    </row>
    <row r="51" spans="1:78" s="234" customFormat="1" ht="15" customHeight="1">
      <c r="A51" s="234" t="s">
        <v>129</v>
      </c>
      <c r="C51" s="306"/>
      <c r="D51" s="328"/>
      <c r="E51" s="386">
        <f>99000+851.16</f>
        <v>99851.16</v>
      </c>
      <c r="F51" s="328" t="s">
        <v>161</v>
      </c>
      <c r="G51" s="329"/>
      <c r="H51" s="329"/>
      <c r="I51" s="390">
        <v>0</v>
      </c>
      <c r="J51" s="390">
        <v>0.33049190415013707</v>
      </c>
      <c r="K51" s="390">
        <v>0.27120045475686017</v>
      </c>
      <c r="L51" s="390">
        <v>0.26270741371457274</v>
      </c>
      <c r="M51" s="329">
        <v>0.13560022737843005</v>
      </c>
      <c r="N51" s="329"/>
      <c r="O51" s="329"/>
      <c r="P51" s="388"/>
      <c r="Q51" s="388"/>
      <c r="R51" s="329"/>
      <c r="S51" s="329"/>
      <c r="T51" s="329"/>
      <c r="U51" s="329"/>
      <c r="V51" s="329"/>
      <c r="W51" s="329"/>
      <c r="X51" s="329"/>
      <c r="Y51" s="329"/>
      <c r="Z51" s="329"/>
      <c r="AA51" s="329"/>
      <c r="AB51" s="329"/>
      <c r="AC51" s="426">
        <f t="shared" si="10"/>
        <v>1</v>
      </c>
      <c r="AD51" s="328"/>
      <c r="AE51" s="330">
        <f t="shared" si="168"/>
        <v>0</v>
      </c>
      <c r="AF51" s="330">
        <f t="shared" si="169"/>
        <v>0</v>
      </c>
      <c r="AG51" s="330">
        <f t="shared" si="170"/>
        <v>0</v>
      </c>
      <c r="AH51" s="330">
        <f t="shared" si="171"/>
        <v>33000</v>
      </c>
      <c r="AI51" s="330">
        <f t="shared" si="172"/>
        <v>27079.680000000008</v>
      </c>
      <c r="AJ51" s="330">
        <f t="shared" si="173"/>
        <v>26231.639999999996</v>
      </c>
      <c r="AK51" s="386">
        <f t="shared" si="174"/>
        <v>13539.84</v>
      </c>
      <c r="AL51" s="386">
        <f t="shared" si="175"/>
        <v>0</v>
      </c>
      <c r="AM51" s="386">
        <f t="shared" si="176"/>
        <v>0</v>
      </c>
      <c r="AN51" s="386">
        <f t="shared" si="177"/>
        <v>0</v>
      </c>
      <c r="AO51" s="386">
        <f t="shared" si="178"/>
        <v>0</v>
      </c>
      <c r="AP51" s="386">
        <f t="shared" si="179"/>
        <v>0</v>
      </c>
      <c r="AQ51" s="386">
        <f t="shared" si="180"/>
        <v>0</v>
      </c>
      <c r="AR51" s="326">
        <f t="shared" si="181"/>
        <v>0</v>
      </c>
      <c r="AS51" s="326">
        <f t="shared" si="182"/>
        <v>0</v>
      </c>
      <c r="AT51" s="326">
        <f t="shared" si="183"/>
        <v>0</v>
      </c>
      <c r="AU51" s="326">
        <f t="shared" si="184"/>
        <v>0</v>
      </c>
      <c r="AV51" s="326">
        <f t="shared" si="185"/>
        <v>0</v>
      </c>
      <c r="AW51" s="330">
        <f t="shared" si="186"/>
        <v>0</v>
      </c>
      <c r="AX51" s="330">
        <f t="shared" si="270"/>
        <v>0</v>
      </c>
      <c r="AY51" s="330">
        <f t="shared" si="271"/>
        <v>0</v>
      </c>
      <c r="AZ51" s="330">
        <f t="shared" si="272"/>
        <v>0</v>
      </c>
      <c r="BA51" s="330"/>
      <c r="BB51" s="330">
        <f t="shared" ref="BB51:BK51" si="277">IF(BB$3=$F51,$E51,0)</f>
        <v>0</v>
      </c>
      <c r="BC51" s="330">
        <f t="shared" si="277"/>
        <v>0</v>
      </c>
      <c r="BD51" s="386">
        <f t="shared" si="277"/>
        <v>99851.16</v>
      </c>
      <c r="BE51" s="330">
        <f t="shared" si="277"/>
        <v>0</v>
      </c>
      <c r="BF51" s="330">
        <f t="shared" si="277"/>
        <v>0</v>
      </c>
      <c r="BG51" s="330">
        <f t="shared" si="277"/>
        <v>0</v>
      </c>
      <c r="BH51" s="330">
        <f t="shared" si="277"/>
        <v>0</v>
      </c>
      <c r="BI51" s="330">
        <f t="shared" si="277"/>
        <v>0</v>
      </c>
      <c r="BJ51" s="330">
        <f t="shared" si="277"/>
        <v>0</v>
      </c>
      <c r="BK51" s="330">
        <f t="shared" si="277"/>
        <v>0</v>
      </c>
      <c r="BL51" s="330">
        <f t="shared" si="5"/>
        <v>0</v>
      </c>
      <c r="BM51" s="330">
        <f t="shared" si="5"/>
        <v>0</v>
      </c>
      <c r="BN51" s="330">
        <f t="shared" si="5"/>
        <v>0</v>
      </c>
      <c r="BO51" s="330">
        <f t="shared" si="5"/>
        <v>0</v>
      </c>
      <c r="BP51" s="330">
        <f t="shared" si="5"/>
        <v>0</v>
      </c>
      <c r="BQ51" s="330">
        <f t="shared" si="5"/>
        <v>0</v>
      </c>
      <c r="BR51" s="330">
        <f t="shared" si="5"/>
        <v>0</v>
      </c>
      <c r="BS51" s="330">
        <f t="shared" si="241"/>
        <v>0</v>
      </c>
      <c r="BT51" s="330">
        <f t="shared" si="241"/>
        <v>0</v>
      </c>
      <c r="BU51" s="330">
        <f t="shared" si="241"/>
        <v>0</v>
      </c>
      <c r="BV51" s="330">
        <f t="shared" si="194"/>
        <v>0</v>
      </c>
      <c r="BW51" s="330">
        <f t="shared" si="194"/>
        <v>0</v>
      </c>
      <c r="BX51" s="351">
        <f t="shared" si="274"/>
        <v>0</v>
      </c>
      <c r="BY51" s="378">
        <f t="shared" si="275"/>
        <v>0</v>
      </c>
      <c r="BZ51" s="378">
        <f t="shared" si="276"/>
        <v>0</v>
      </c>
    </row>
    <row r="52" spans="1:78" s="234" customFormat="1" ht="15" customHeight="1">
      <c r="A52" s="234" t="s">
        <v>129</v>
      </c>
      <c r="B52" s="234" t="s">
        <v>301</v>
      </c>
      <c r="C52" s="306"/>
      <c r="D52" s="328"/>
      <c r="E52" s="386">
        <v>4000</v>
      </c>
      <c r="F52" s="328" t="s">
        <v>161</v>
      </c>
      <c r="G52" s="329"/>
      <c r="H52" s="329"/>
      <c r="I52" s="329">
        <v>1</v>
      </c>
      <c r="J52" s="329"/>
      <c r="K52" s="329"/>
      <c r="L52" s="329"/>
      <c r="M52" s="329"/>
      <c r="N52" s="329"/>
      <c r="O52" s="329"/>
      <c r="P52" s="388"/>
      <c r="Q52" s="388"/>
      <c r="R52" s="329"/>
      <c r="S52" s="329"/>
      <c r="T52" s="329"/>
      <c r="U52" s="329"/>
      <c r="V52" s="329"/>
      <c r="W52" s="329"/>
      <c r="X52" s="329"/>
      <c r="Y52" s="329"/>
      <c r="Z52" s="329"/>
      <c r="AA52" s="329"/>
      <c r="AB52" s="329"/>
      <c r="AC52" s="426">
        <f t="shared" si="10"/>
        <v>1</v>
      </c>
      <c r="AD52" s="328"/>
      <c r="AE52" s="330">
        <f t="shared" si="168"/>
        <v>0</v>
      </c>
      <c r="AF52" s="330">
        <f t="shared" si="169"/>
        <v>0</v>
      </c>
      <c r="AG52" s="330">
        <f t="shared" si="170"/>
        <v>4000</v>
      </c>
      <c r="AH52" s="330">
        <f t="shared" si="171"/>
        <v>0</v>
      </c>
      <c r="AI52" s="330">
        <f t="shared" si="172"/>
        <v>0</v>
      </c>
      <c r="AJ52" s="330">
        <f t="shared" si="173"/>
        <v>0</v>
      </c>
      <c r="AK52" s="386">
        <f t="shared" si="174"/>
        <v>0</v>
      </c>
      <c r="AL52" s="386">
        <f t="shared" si="175"/>
        <v>0</v>
      </c>
      <c r="AM52" s="386">
        <f t="shared" si="176"/>
        <v>0</v>
      </c>
      <c r="AN52" s="386">
        <f t="shared" si="177"/>
        <v>0</v>
      </c>
      <c r="AO52" s="386">
        <f t="shared" si="178"/>
        <v>0</v>
      </c>
      <c r="AP52" s="386">
        <f t="shared" si="179"/>
        <v>0</v>
      </c>
      <c r="AQ52" s="386">
        <f t="shared" si="180"/>
        <v>0</v>
      </c>
      <c r="AR52" s="326">
        <f t="shared" si="181"/>
        <v>0</v>
      </c>
      <c r="AS52" s="326">
        <f t="shared" si="182"/>
        <v>0</v>
      </c>
      <c r="AT52" s="326">
        <f t="shared" si="183"/>
        <v>0</v>
      </c>
      <c r="AU52" s="326">
        <f t="shared" si="184"/>
        <v>0</v>
      </c>
      <c r="AV52" s="326">
        <f t="shared" si="185"/>
        <v>0</v>
      </c>
      <c r="AW52" s="330">
        <f t="shared" si="186"/>
        <v>0</v>
      </c>
      <c r="AX52" s="330">
        <f t="shared" si="270"/>
        <v>0</v>
      </c>
      <c r="AY52" s="330">
        <f t="shared" si="271"/>
        <v>0</v>
      </c>
      <c r="AZ52" s="330">
        <f t="shared" si="272"/>
        <v>0</v>
      </c>
      <c r="BA52" s="330"/>
      <c r="BB52" s="330">
        <f t="shared" si="241"/>
        <v>0</v>
      </c>
      <c r="BC52" s="330">
        <f t="shared" si="241"/>
        <v>0</v>
      </c>
      <c r="BD52" s="386">
        <f t="shared" si="241"/>
        <v>4000</v>
      </c>
      <c r="BE52" s="330">
        <f t="shared" si="241"/>
        <v>0</v>
      </c>
      <c r="BF52" s="330">
        <f t="shared" si="241"/>
        <v>0</v>
      </c>
      <c r="BG52" s="330">
        <f t="shared" si="241"/>
        <v>0</v>
      </c>
      <c r="BH52" s="330">
        <f t="shared" si="241"/>
        <v>0</v>
      </c>
      <c r="BI52" s="330">
        <f t="shared" si="241"/>
        <v>0</v>
      </c>
      <c r="BJ52" s="330">
        <f t="shared" si="241"/>
        <v>0</v>
      </c>
      <c r="BK52" s="330">
        <f t="shared" si="241"/>
        <v>0</v>
      </c>
      <c r="BL52" s="330">
        <f t="shared" si="241"/>
        <v>0</v>
      </c>
      <c r="BM52" s="330">
        <f t="shared" si="241"/>
        <v>0</v>
      </c>
      <c r="BN52" s="330">
        <f t="shared" si="241"/>
        <v>0</v>
      </c>
      <c r="BO52" s="330">
        <f t="shared" si="241"/>
        <v>0</v>
      </c>
      <c r="BP52" s="330">
        <f t="shared" si="241"/>
        <v>0</v>
      </c>
      <c r="BQ52" s="330">
        <f t="shared" si="241"/>
        <v>0</v>
      </c>
      <c r="BR52" s="330">
        <f t="shared" si="241"/>
        <v>0</v>
      </c>
      <c r="BS52" s="330">
        <f t="shared" si="241"/>
        <v>0</v>
      </c>
      <c r="BT52" s="330">
        <f t="shared" si="241"/>
        <v>0</v>
      </c>
      <c r="BU52" s="330">
        <f t="shared" ref="BU52:BW67" si="278">IF(BU$3=$F52,$E52,0)</f>
        <v>0</v>
      </c>
      <c r="BV52" s="330">
        <f t="shared" si="278"/>
        <v>0</v>
      </c>
      <c r="BW52" s="330">
        <f t="shared" si="278"/>
        <v>0</v>
      </c>
      <c r="BX52" s="351">
        <f t="shared" si="274"/>
        <v>0</v>
      </c>
      <c r="BY52" s="378">
        <f t="shared" si="275"/>
        <v>0</v>
      </c>
      <c r="BZ52" s="378">
        <f t="shared" si="276"/>
        <v>0</v>
      </c>
    </row>
    <row r="53" spans="1:78" s="234" customFormat="1" ht="15" customHeight="1">
      <c r="A53" s="234" t="s">
        <v>129</v>
      </c>
      <c r="B53" s="234" t="s">
        <v>302</v>
      </c>
      <c r="C53" s="306"/>
      <c r="D53" s="328"/>
      <c r="E53" s="386">
        <v>1500</v>
      </c>
      <c r="F53" s="328" t="s">
        <v>193</v>
      </c>
      <c r="G53" s="329"/>
      <c r="H53" s="329"/>
      <c r="I53" s="329"/>
      <c r="J53" s="329">
        <v>1</v>
      </c>
      <c r="K53" s="329"/>
      <c r="L53" s="329">
        <v>0</v>
      </c>
      <c r="M53" s="329"/>
      <c r="N53" s="329"/>
      <c r="O53" s="329"/>
      <c r="P53" s="329"/>
      <c r="Q53" s="329"/>
      <c r="R53" s="329"/>
      <c r="S53" s="388"/>
      <c r="T53" s="388"/>
      <c r="U53" s="388"/>
      <c r="V53" s="388"/>
      <c r="W53" s="388"/>
      <c r="X53" s="388"/>
      <c r="Y53" s="388"/>
      <c r="Z53" s="388"/>
      <c r="AA53" s="388"/>
      <c r="AB53" s="388"/>
      <c r="AC53" s="426">
        <f t="shared" si="10"/>
        <v>1</v>
      </c>
      <c r="AD53" s="328"/>
      <c r="AE53" s="330">
        <f t="shared" si="168"/>
        <v>0</v>
      </c>
      <c r="AF53" s="330">
        <f t="shared" si="169"/>
        <v>0</v>
      </c>
      <c r="AG53" s="330">
        <f t="shared" si="170"/>
        <v>0</v>
      </c>
      <c r="AH53" s="330">
        <f t="shared" si="171"/>
        <v>1500</v>
      </c>
      <c r="AI53" s="330">
        <f t="shared" si="172"/>
        <v>0</v>
      </c>
      <c r="AJ53" s="330">
        <f t="shared" si="173"/>
        <v>0</v>
      </c>
      <c r="AK53" s="386">
        <f t="shared" si="174"/>
        <v>0</v>
      </c>
      <c r="AL53" s="386">
        <f t="shared" si="175"/>
        <v>0</v>
      </c>
      <c r="AM53" s="386">
        <f t="shared" si="176"/>
        <v>0</v>
      </c>
      <c r="AN53" s="386">
        <f t="shared" si="177"/>
        <v>0</v>
      </c>
      <c r="AO53" s="386">
        <f t="shared" si="178"/>
        <v>0</v>
      </c>
      <c r="AP53" s="386">
        <f t="shared" si="179"/>
        <v>0</v>
      </c>
      <c r="AQ53" s="386">
        <f t="shared" si="180"/>
        <v>0</v>
      </c>
      <c r="AR53" s="326">
        <f t="shared" si="181"/>
        <v>0</v>
      </c>
      <c r="AS53" s="326">
        <f t="shared" si="182"/>
        <v>0</v>
      </c>
      <c r="AT53" s="326">
        <f t="shared" si="183"/>
        <v>0</v>
      </c>
      <c r="AU53" s="326">
        <f t="shared" si="184"/>
        <v>0</v>
      </c>
      <c r="AV53" s="326">
        <f t="shared" si="185"/>
        <v>0</v>
      </c>
      <c r="AW53" s="330">
        <f t="shared" si="186"/>
        <v>0</v>
      </c>
      <c r="AX53" s="330">
        <f t="shared" si="270"/>
        <v>0</v>
      </c>
      <c r="AY53" s="330">
        <f t="shared" si="271"/>
        <v>0</v>
      </c>
      <c r="AZ53" s="330">
        <f t="shared" si="272"/>
        <v>0</v>
      </c>
      <c r="BA53" s="330"/>
      <c r="BB53" s="330">
        <f t="shared" si="241"/>
        <v>0</v>
      </c>
      <c r="BC53" s="330">
        <f t="shared" si="241"/>
        <v>0</v>
      </c>
      <c r="BD53" s="386">
        <f t="shared" si="241"/>
        <v>0</v>
      </c>
      <c r="BE53" s="386">
        <f t="shared" si="241"/>
        <v>1500</v>
      </c>
      <c r="BF53" s="330">
        <f t="shared" si="241"/>
        <v>0</v>
      </c>
      <c r="BG53" s="330">
        <f t="shared" si="241"/>
        <v>0</v>
      </c>
      <c r="BH53" s="330">
        <f t="shared" si="241"/>
        <v>0</v>
      </c>
      <c r="BI53" s="330">
        <f t="shared" si="241"/>
        <v>0</v>
      </c>
      <c r="BJ53" s="330">
        <f t="shared" si="241"/>
        <v>0</v>
      </c>
      <c r="BK53" s="330">
        <f t="shared" si="241"/>
        <v>0</v>
      </c>
      <c r="BL53" s="330">
        <f t="shared" si="241"/>
        <v>0</v>
      </c>
      <c r="BM53" s="330">
        <f t="shared" si="241"/>
        <v>0</v>
      </c>
      <c r="BN53" s="330">
        <f t="shared" si="241"/>
        <v>0</v>
      </c>
      <c r="BO53" s="330">
        <f t="shared" si="241"/>
        <v>0</v>
      </c>
      <c r="BP53" s="330">
        <f t="shared" si="241"/>
        <v>0</v>
      </c>
      <c r="BQ53" s="330">
        <f t="shared" si="241"/>
        <v>0</v>
      </c>
      <c r="BR53" s="330">
        <f t="shared" si="241"/>
        <v>0</v>
      </c>
      <c r="BS53" s="330">
        <f t="shared" si="241"/>
        <v>0</v>
      </c>
      <c r="BT53" s="330">
        <f t="shared" si="241"/>
        <v>0</v>
      </c>
      <c r="BU53" s="330">
        <f t="shared" si="278"/>
        <v>0</v>
      </c>
      <c r="BV53" s="330">
        <f t="shared" si="278"/>
        <v>0</v>
      </c>
      <c r="BW53" s="330">
        <f t="shared" si="278"/>
        <v>0</v>
      </c>
      <c r="BX53" s="351">
        <f t="shared" si="274"/>
        <v>0</v>
      </c>
      <c r="BY53" s="378">
        <f t="shared" si="275"/>
        <v>0</v>
      </c>
      <c r="BZ53" s="378">
        <f t="shared" si="276"/>
        <v>0</v>
      </c>
    </row>
    <row r="54" spans="1:78" s="234" customFormat="1" ht="15" customHeight="1">
      <c r="A54" s="234" t="s">
        <v>129</v>
      </c>
      <c r="C54" s="306"/>
      <c r="D54" s="328"/>
      <c r="E54" s="386">
        <v>43134</v>
      </c>
      <c r="F54" s="328" t="s">
        <v>175</v>
      </c>
      <c r="G54" s="329"/>
      <c r="H54" s="329"/>
      <c r="I54" s="329"/>
      <c r="J54" s="329"/>
      <c r="K54" s="329"/>
      <c r="L54" s="329"/>
      <c r="M54" s="329">
        <v>0</v>
      </c>
      <c r="N54" s="329">
        <v>0.24615384615384611</v>
      </c>
      <c r="O54" s="329">
        <v>0.26256410256410251</v>
      </c>
      <c r="P54" s="329">
        <v>0.25435897435897437</v>
      </c>
      <c r="Q54" s="329">
        <f>1-(P54+O54+N54)</f>
        <v>0.23692307692307701</v>
      </c>
      <c r="R54" s="329"/>
      <c r="S54" s="329"/>
      <c r="T54" s="329"/>
      <c r="U54" s="329"/>
      <c r="V54" s="329"/>
      <c r="W54" s="329"/>
      <c r="X54" s="329"/>
      <c r="Y54" s="329"/>
      <c r="Z54" s="329"/>
      <c r="AA54" s="329"/>
      <c r="AB54" s="329"/>
      <c r="AC54" s="426">
        <f t="shared" si="10"/>
        <v>1</v>
      </c>
      <c r="AD54" s="328"/>
      <c r="AE54" s="330">
        <f t="shared" si="168"/>
        <v>0</v>
      </c>
      <c r="AF54" s="330">
        <f t="shared" si="169"/>
        <v>0</v>
      </c>
      <c r="AG54" s="330">
        <f t="shared" si="170"/>
        <v>0</v>
      </c>
      <c r="AH54" s="330">
        <f t="shared" si="171"/>
        <v>0</v>
      </c>
      <c r="AI54" s="330">
        <f t="shared" si="172"/>
        <v>0</v>
      </c>
      <c r="AJ54" s="330">
        <f t="shared" si="173"/>
        <v>0</v>
      </c>
      <c r="AK54" s="386">
        <f t="shared" si="174"/>
        <v>0</v>
      </c>
      <c r="AL54" s="386">
        <f t="shared" si="175"/>
        <v>10617.599999999999</v>
      </c>
      <c r="AM54" s="386">
        <f t="shared" si="176"/>
        <v>11325.439999999997</v>
      </c>
      <c r="AN54" s="386">
        <f t="shared" si="177"/>
        <v>10971.52</v>
      </c>
      <c r="AO54" s="386">
        <f t="shared" si="178"/>
        <v>10219.440000000004</v>
      </c>
      <c r="AP54" s="386">
        <f t="shared" si="179"/>
        <v>0</v>
      </c>
      <c r="AQ54" s="386">
        <f t="shared" si="180"/>
        <v>0</v>
      </c>
      <c r="AR54" s="326">
        <f t="shared" si="181"/>
        <v>0</v>
      </c>
      <c r="AS54" s="326">
        <f t="shared" si="182"/>
        <v>0</v>
      </c>
      <c r="AT54" s="326">
        <f t="shared" si="183"/>
        <v>0</v>
      </c>
      <c r="AU54" s="326">
        <f t="shared" si="184"/>
        <v>0</v>
      </c>
      <c r="AV54" s="326">
        <f t="shared" si="185"/>
        <v>0</v>
      </c>
      <c r="AW54" s="330">
        <f t="shared" si="186"/>
        <v>0</v>
      </c>
      <c r="AX54" s="330">
        <f t="shared" si="270"/>
        <v>0</v>
      </c>
      <c r="AY54" s="330">
        <f t="shared" si="271"/>
        <v>0</v>
      </c>
      <c r="AZ54" s="330">
        <f t="shared" si="272"/>
        <v>0</v>
      </c>
      <c r="BA54" s="330"/>
      <c r="BB54" s="330">
        <f t="shared" si="5"/>
        <v>0</v>
      </c>
      <c r="BC54" s="330">
        <f t="shared" si="5"/>
        <v>0</v>
      </c>
      <c r="BD54" s="386">
        <f t="shared" si="5"/>
        <v>0</v>
      </c>
      <c r="BE54" s="330">
        <f t="shared" si="273"/>
        <v>0</v>
      </c>
      <c r="BF54" s="330">
        <f t="shared" si="5"/>
        <v>0</v>
      </c>
      <c r="BG54" s="330">
        <f t="shared" si="5"/>
        <v>0</v>
      </c>
      <c r="BH54" s="330">
        <f t="shared" ref="BH54:BO61" si="279">IF(BH$3=$F54,$E54,0)</f>
        <v>43134</v>
      </c>
      <c r="BI54" s="330">
        <f t="shared" si="5"/>
        <v>0</v>
      </c>
      <c r="BJ54" s="330">
        <f t="shared" si="5"/>
        <v>0</v>
      </c>
      <c r="BK54" s="330">
        <f t="shared" si="5"/>
        <v>0</v>
      </c>
      <c r="BL54" s="330">
        <f t="shared" si="5"/>
        <v>0</v>
      </c>
      <c r="BM54" s="330">
        <f t="shared" si="5"/>
        <v>0</v>
      </c>
      <c r="BN54" s="330">
        <f t="shared" si="5"/>
        <v>0</v>
      </c>
      <c r="BO54" s="330">
        <f t="shared" si="5"/>
        <v>0</v>
      </c>
      <c r="BP54" s="330">
        <f t="shared" si="5"/>
        <v>0</v>
      </c>
      <c r="BQ54" s="330">
        <f t="shared" si="240"/>
        <v>0</v>
      </c>
      <c r="BR54" s="330">
        <f t="shared" si="241"/>
        <v>0</v>
      </c>
      <c r="BS54" s="330">
        <f t="shared" si="241"/>
        <v>0</v>
      </c>
      <c r="BT54" s="330">
        <f t="shared" si="241"/>
        <v>0</v>
      </c>
      <c r="BU54" s="330">
        <f t="shared" si="278"/>
        <v>0</v>
      </c>
      <c r="BV54" s="330">
        <f t="shared" si="278"/>
        <v>0</v>
      </c>
      <c r="BW54" s="330">
        <f t="shared" si="278"/>
        <v>0</v>
      </c>
      <c r="BX54" s="351">
        <f t="shared" si="274"/>
        <v>0</v>
      </c>
      <c r="BY54" s="378">
        <f t="shared" si="275"/>
        <v>0</v>
      </c>
      <c r="BZ54" s="378">
        <f t="shared" si="276"/>
        <v>0</v>
      </c>
    </row>
    <row r="55" spans="1:78" s="234" customFormat="1" ht="15" customHeight="1">
      <c r="A55" s="234" t="s">
        <v>129</v>
      </c>
      <c r="C55" s="306"/>
      <c r="D55" s="328"/>
      <c r="E55" s="386">
        <v>18489.64</v>
      </c>
      <c r="F55" s="328" t="s">
        <v>175</v>
      </c>
      <c r="G55" s="329"/>
      <c r="H55" s="329"/>
      <c r="I55" s="329"/>
      <c r="J55" s="329"/>
      <c r="K55" s="329"/>
      <c r="L55" s="329"/>
      <c r="M55" s="329">
        <v>0.17481789802289285</v>
      </c>
      <c r="N55" s="329">
        <v>0.2434963579604579</v>
      </c>
      <c r="O55" s="329">
        <v>0.27055150884495321</v>
      </c>
      <c r="P55" s="329">
        <v>0.25702393340270557</v>
      </c>
      <c r="Q55" s="329">
        <v>5.4110301768990648E-2</v>
      </c>
      <c r="R55" s="329"/>
      <c r="S55" s="329"/>
      <c r="T55" s="329"/>
      <c r="U55" s="329"/>
      <c r="V55" s="329"/>
      <c r="W55" s="329"/>
      <c r="X55" s="329"/>
      <c r="Y55" s="329"/>
      <c r="Z55" s="329"/>
      <c r="AA55" s="329"/>
      <c r="AB55" s="329"/>
      <c r="AC55" s="426">
        <f t="shared" si="10"/>
        <v>1.0000000000000002</v>
      </c>
      <c r="AD55" s="328"/>
      <c r="AE55" s="330">
        <f t="shared" si="168"/>
        <v>0</v>
      </c>
      <c r="AF55" s="330">
        <f t="shared" si="169"/>
        <v>0</v>
      </c>
      <c r="AG55" s="330">
        <f t="shared" si="170"/>
        <v>0</v>
      </c>
      <c r="AH55" s="330">
        <f t="shared" si="171"/>
        <v>0</v>
      </c>
      <c r="AI55" s="330">
        <f t="shared" si="172"/>
        <v>0</v>
      </c>
      <c r="AJ55" s="330">
        <f t="shared" si="173"/>
        <v>0</v>
      </c>
      <c r="AK55" s="386">
        <f t="shared" si="174"/>
        <v>3232.3200000000006</v>
      </c>
      <c r="AL55" s="386">
        <f t="shared" si="175"/>
        <v>4502.1600000000008</v>
      </c>
      <c r="AM55" s="386">
        <f t="shared" si="176"/>
        <v>5002.4000000000005</v>
      </c>
      <c r="AN55" s="386">
        <f t="shared" si="177"/>
        <v>4752.2800000000007</v>
      </c>
      <c r="AO55" s="386">
        <f t="shared" si="178"/>
        <v>1000.4800000000002</v>
      </c>
      <c r="AP55" s="386">
        <f t="shared" si="179"/>
        <v>0</v>
      </c>
      <c r="AQ55" s="386">
        <f t="shared" si="180"/>
        <v>0</v>
      </c>
      <c r="AR55" s="326">
        <f t="shared" si="181"/>
        <v>0</v>
      </c>
      <c r="AS55" s="326">
        <f t="shared" si="182"/>
        <v>0</v>
      </c>
      <c r="AT55" s="326">
        <f t="shared" si="183"/>
        <v>0</v>
      </c>
      <c r="AU55" s="326">
        <f t="shared" si="184"/>
        <v>0</v>
      </c>
      <c r="AV55" s="326">
        <f t="shared" si="185"/>
        <v>0</v>
      </c>
      <c r="AW55" s="330">
        <f t="shared" si="186"/>
        <v>0</v>
      </c>
      <c r="AX55" s="330">
        <f t="shared" si="270"/>
        <v>0</v>
      </c>
      <c r="AY55" s="330">
        <f t="shared" si="271"/>
        <v>0</v>
      </c>
      <c r="AZ55" s="330">
        <f t="shared" si="272"/>
        <v>0</v>
      </c>
      <c r="BA55" s="330"/>
      <c r="BB55" s="330">
        <f t="shared" ref="BB55:BK55" si="280">IF(BB$3=$F55,$E55,0)</f>
        <v>0</v>
      </c>
      <c r="BC55" s="330">
        <f t="shared" si="280"/>
        <v>0</v>
      </c>
      <c r="BD55" s="386">
        <f t="shared" si="280"/>
        <v>0</v>
      </c>
      <c r="BE55" s="330">
        <f t="shared" si="280"/>
        <v>0</v>
      </c>
      <c r="BF55" s="330">
        <f t="shared" si="280"/>
        <v>0</v>
      </c>
      <c r="BG55" s="330">
        <f t="shared" si="280"/>
        <v>0</v>
      </c>
      <c r="BH55" s="330">
        <f t="shared" si="280"/>
        <v>18489.64</v>
      </c>
      <c r="BI55" s="330">
        <f t="shared" si="280"/>
        <v>0</v>
      </c>
      <c r="BJ55" s="330">
        <f t="shared" si="280"/>
        <v>0</v>
      </c>
      <c r="BK55" s="330">
        <f t="shared" si="280"/>
        <v>0</v>
      </c>
      <c r="BL55" s="330">
        <f t="shared" si="5"/>
        <v>0</v>
      </c>
      <c r="BM55" s="330">
        <f t="shared" si="5"/>
        <v>0</v>
      </c>
      <c r="BN55" s="330">
        <f t="shared" si="5"/>
        <v>0</v>
      </c>
      <c r="BO55" s="330">
        <f t="shared" si="5"/>
        <v>0</v>
      </c>
      <c r="BP55" s="330">
        <f t="shared" si="5"/>
        <v>0</v>
      </c>
      <c r="BQ55" s="330">
        <f t="shared" si="5"/>
        <v>0</v>
      </c>
      <c r="BR55" s="330">
        <f t="shared" si="5"/>
        <v>0</v>
      </c>
      <c r="BS55" s="330">
        <f t="shared" si="241"/>
        <v>0</v>
      </c>
      <c r="BT55" s="330">
        <f t="shared" si="241"/>
        <v>0</v>
      </c>
      <c r="BU55" s="330">
        <f t="shared" si="278"/>
        <v>0</v>
      </c>
      <c r="BV55" s="330">
        <f t="shared" si="278"/>
        <v>0</v>
      </c>
      <c r="BW55" s="330">
        <f t="shared" si="278"/>
        <v>0</v>
      </c>
      <c r="BX55" s="351">
        <f t="shared" si="274"/>
        <v>0</v>
      </c>
      <c r="BY55" s="378">
        <f t="shared" si="275"/>
        <v>0</v>
      </c>
      <c r="BZ55" s="378">
        <f t="shared" si="276"/>
        <v>0</v>
      </c>
    </row>
    <row r="56" spans="1:78" s="234" customFormat="1" ht="15" customHeight="1">
      <c r="A56" s="234" t="s">
        <v>129</v>
      </c>
      <c r="B56" s="234" t="s">
        <v>304</v>
      </c>
      <c r="C56" s="306"/>
      <c r="D56" s="328"/>
      <c r="E56" s="386">
        <v>1800</v>
      </c>
      <c r="F56" s="328" t="s">
        <v>175</v>
      </c>
      <c r="G56" s="329"/>
      <c r="H56" s="329"/>
      <c r="I56" s="329">
        <v>0</v>
      </c>
      <c r="J56" s="329"/>
      <c r="K56" s="329"/>
      <c r="L56" s="329"/>
      <c r="M56" s="329">
        <v>1</v>
      </c>
      <c r="N56" s="329">
        <v>0</v>
      </c>
      <c r="O56" s="329"/>
      <c r="P56" s="388"/>
      <c r="Q56" s="388"/>
      <c r="R56" s="329"/>
      <c r="S56" s="329"/>
      <c r="T56" s="329"/>
      <c r="U56" s="329"/>
      <c r="V56" s="329"/>
      <c r="W56" s="329"/>
      <c r="X56" s="329"/>
      <c r="Y56" s="329"/>
      <c r="Z56" s="329"/>
      <c r="AA56" s="329"/>
      <c r="AB56" s="329"/>
      <c r="AC56" s="426">
        <f t="shared" si="10"/>
        <v>1</v>
      </c>
      <c r="AD56" s="328"/>
      <c r="AE56" s="330">
        <f t="shared" si="168"/>
        <v>0</v>
      </c>
      <c r="AF56" s="330">
        <f t="shared" si="169"/>
        <v>0</v>
      </c>
      <c r="AG56" s="330">
        <f t="shared" si="170"/>
        <v>0</v>
      </c>
      <c r="AH56" s="330">
        <f t="shared" si="171"/>
        <v>0</v>
      </c>
      <c r="AI56" s="330">
        <f t="shared" si="172"/>
        <v>0</v>
      </c>
      <c r="AJ56" s="330">
        <f t="shared" si="173"/>
        <v>0</v>
      </c>
      <c r="AK56" s="386">
        <f t="shared" si="174"/>
        <v>1800</v>
      </c>
      <c r="AL56" s="386">
        <f t="shared" si="175"/>
        <v>0</v>
      </c>
      <c r="AM56" s="386">
        <f t="shared" si="176"/>
        <v>0</v>
      </c>
      <c r="AN56" s="386">
        <f t="shared" si="177"/>
        <v>0</v>
      </c>
      <c r="AO56" s="386">
        <f t="shared" si="178"/>
        <v>0</v>
      </c>
      <c r="AP56" s="386">
        <f t="shared" si="179"/>
        <v>0</v>
      </c>
      <c r="AQ56" s="386">
        <f t="shared" si="180"/>
        <v>0</v>
      </c>
      <c r="AR56" s="326">
        <f t="shared" si="181"/>
        <v>0</v>
      </c>
      <c r="AS56" s="326">
        <f t="shared" si="182"/>
        <v>0</v>
      </c>
      <c r="AT56" s="326">
        <f t="shared" si="183"/>
        <v>0</v>
      </c>
      <c r="AU56" s="326">
        <f t="shared" si="184"/>
        <v>0</v>
      </c>
      <c r="AV56" s="326">
        <f t="shared" si="185"/>
        <v>0</v>
      </c>
      <c r="AW56" s="330">
        <f t="shared" si="186"/>
        <v>0</v>
      </c>
      <c r="AX56" s="330">
        <f t="shared" si="270"/>
        <v>0</v>
      </c>
      <c r="AY56" s="330">
        <f t="shared" si="271"/>
        <v>0</v>
      </c>
      <c r="AZ56" s="330">
        <f t="shared" si="272"/>
        <v>0</v>
      </c>
      <c r="BA56" s="330"/>
      <c r="BB56" s="330">
        <f t="shared" si="241"/>
        <v>0</v>
      </c>
      <c r="BC56" s="330">
        <f t="shared" si="241"/>
        <v>0</v>
      </c>
      <c r="BD56" s="386">
        <f t="shared" si="241"/>
        <v>0</v>
      </c>
      <c r="BE56" s="330">
        <f t="shared" si="241"/>
        <v>0</v>
      </c>
      <c r="BF56" s="330">
        <f t="shared" si="241"/>
        <v>0</v>
      </c>
      <c r="BG56" s="330">
        <f t="shared" si="241"/>
        <v>0</v>
      </c>
      <c r="BH56" s="330">
        <f t="shared" si="241"/>
        <v>1800</v>
      </c>
      <c r="BI56" s="330">
        <f t="shared" si="241"/>
        <v>0</v>
      </c>
      <c r="BJ56" s="330">
        <f t="shared" si="241"/>
        <v>0</v>
      </c>
      <c r="BK56" s="330">
        <f t="shared" si="241"/>
        <v>0</v>
      </c>
      <c r="BL56" s="330">
        <f t="shared" si="241"/>
        <v>0</v>
      </c>
      <c r="BM56" s="330">
        <f t="shared" si="241"/>
        <v>0</v>
      </c>
      <c r="BN56" s="330">
        <f t="shared" si="241"/>
        <v>0</v>
      </c>
      <c r="BO56" s="330">
        <f t="shared" si="241"/>
        <v>0</v>
      </c>
      <c r="BP56" s="330">
        <f t="shared" si="241"/>
        <v>0</v>
      </c>
      <c r="BQ56" s="330">
        <f t="shared" si="241"/>
        <v>0</v>
      </c>
      <c r="BR56" s="330">
        <f t="shared" si="241"/>
        <v>0</v>
      </c>
      <c r="BS56" s="330">
        <f t="shared" si="241"/>
        <v>0</v>
      </c>
      <c r="BT56" s="330">
        <f t="shared" si="241"/>
        <v>0</v>
      </c>
      <c r="BU56" s="330">
        <f t="shared" si="278"/>
        <v>0</v>
      </c>
      <c r="BV56" s="330">
        <f t="shared" si="278"/>
        <v>0</v>
      </c>
      <c r="BW56" s="330">
        <f t="shared" si="278"/>
        <v>0</v>
      </c>
      <c r="BX56" s="351">
        <f t="shared" si="274"/>
        <v>0</v>
      </c>
      <c r="BY56" s="378">
        <f t="shared" si="275"/>
        <v>0</v>
      </c>
      <c r="BZ56" s="378">
        <f t="shared" si="276"/>
        <v>0</v>
      </c>
    </row>
    <row r="57" spans="1:78" s="234" customFormat="1" ht="15" customHeight="1">
      <c r="A57" s="234" t="s">
        <v>129</v>
      </c>
      <c r="C57" s="306"/>
      <c r="D57" s="328"/>
      <c r="E57" s="386">
        <v>111566.08</v>
      </c>
      <c r="F57" s="328" t="s">
        <v>175</v>
      </c>
      <c r="G57" s="329"/>
      <c r="H57" s="329"/>
      <c r="I57" s="390"/>
      <c r="J57" s="390"/>
      <c r="K57" s="390"/>
      <c r="L57" s="390"/>
      <c r="M57" s="329">
        <v>8.430232558139536E-2</v>
      </c>
      <c r="N57" s="391">
        <v>0.26744186046511637</v>
      </c>
      <c r="O57" s="329">
        <v>0.27616279069767452</v>
      </c>
      <c r="P57" s="329">
        <v>0.27034883720930242</v>
      </c>
      <c r="Q57" s="329">
        <v>0.10174418604651164</v>
      </c>
      <c r="R57" s="329"/>
      <c r="S57" s="329"/>
      <c r="T57" s="329"/>
      <c r="U57" s="329"/>
      <c r="V57" s="329"/>
      <c r="W57" s="329"/>
      <c r="X57" s="329"/>
      <c r="Y57" s="329"/>
      <c r="Z57" s="329"/>
      <c r="AA57" s="329"/>
      <c r="AB57" s="329"/>
      <c r="AC57" s="426">
        <f t="shared" si="10"/>
        <v>1.0000000000000002</v>
      </c>
      <c r="AD57" s="328"/>
      <c r="AE57" s="330">
        <f t="shared" ref="AE57:AE88" si="281">G57*$E57</f>
        <v>0</v>
      </c>
      <c r="AF57" s="330">
        <f t="shared" ref="AF57:AF88" si="282">H57*$E57</f>
        <v>0</v>
      </c>
      <c r="AG57" s="330">
        <f t="shared" ref="AG57:AG88" si="283">I57*$E57</f>
        <v>0</v>
      </c>
      <c r="AH57" s="330">
        <f t="shared" ref="AH57:AH88" si="284">J57*$E57</f>
        <v>0</v>
      </c>
      <c r="AI57" s="330">
        <f t="shared" ref="AI57:AI88" si="285">K57*$E57</f>
        <v>0</v>
      </c>
      <c r="AJ57" s="330">
        <f t="shared" ref="AJ57:AJ88" si="286">L57*$E57</f>
        <v>0</v>
      </c>
      <c r="AK57" s="386">
        <f t="shared" ref="AK57:AK88" si="287">M57*$E57</f>
        <v>9405.2800000000007</v>
      </c>
      <c r="AL57" s="386">
        <f t="shared" ref="AL57:AL88" si="288">N57*$E57</f>
        <v>29837.44000000001</v>
      </c>
      <c r="AM57" s="386">
        <f t="shared" ref="AM57:AM88" si="289">O57*$E57</f>
        <v>30810.400000000012</v>
      </c>
      <c r="AN57" s="386">
        <f t="shared" ref="AN57:AN88" si="290">P57*$E57</f>
        <v>30161.760000000009</v>
      </c>
      <c r="AO57" s="386">
        <f t="shared" ref="AO57:AO88" si="291">Q57*$E57</f>
        <v>11351.200000000003</v>
      </c>
      <c r="AP57" s="386">
        <f t="shared" ref="AP57:AP88" si="292">R57*$E57</f>
        <v>0</v>
      </c>
      <c r="AQ57" s="386">
        <f t="shared" ref="AQ57:AQ88" si="293">S57*$E57</f>
        <v>0</v>
      </c>
      <c r="AR57" s="326">
        <f t="shared" ref="AR57:AR88" si="294">T57*$E57</f>
        <v>0</v>
      </c>
      <c r="AS57" s="326">
        <f t="shared" ref="AS57:AS88" si="295">U57*$E57</f>
        <v>0</v>
      </c>
      <c r="AT57" s="326">
        <f t="shared" ref="AT57:AT88" si="296">V57*$E57</f>
        <v>0</v>
      </c>
      <c r="AU57" s="326">
        <f t="shared" ref="AU57:AU88" si="297">W57*$E57</f>
        <v>0</v>
      </c>
      <c r="AV57" s="326">
        <f t="shared" ref="AV57:AV88" si="298">X57*$E57</f>
        <v>0</v>
      </c>
      <c r="AW57" s="330">
        <f t="shared" ref="AW57:AW88" si="299">Y57*$E57</f>
        <v>0</v>
      </c>
      <c r="AX57" s="330">
        <f t="shared" si="270"/>
        <v>0</v>
      </c>
      <c r="AY57" s="330">
        <f t="shared" si="271"/>
        <v>0</v>
      </c>
      <c r="AZ57" s="330">
        <f t="shared" si="272"/>
        <v>0</v>
      </c>
      <c r="BA57" s="330"/>
      <c r="BB57" s="330">
        <f t="shared" si="241"/>
        <v>0</v>
      </c>
      <c r="BC57" s="330">
        <f t="shared" si="241"/>
        <v>0</v>
      </c>
      <c r="BD57" s="386">
        <f t="shared" si="241"/>
        <v>0</v>
      </c>
      <c r="BE57" s="330">
        <f t="shared" si="241"/>
        <v>0</v>
      </c>
      <c r="BF57" s="330">
        <f t="shared" si="241"/>
        <v>0</v>
      </c>
      <c r="BG57" s="330">
        <f t="shared" si="241"/>
        <v>0</v>
      </c>
      <c r="BH57" s="330">
        <f t="shared" si="241"/>
        <v>111566.08</v>
      </c>
      <c r="BI57" s="330">
        <f t="shared" si="241"/>
        <v>0</v>
      </c>
      <c r="BJ57" s="330">
        <f t="shared" si="241"/>
        <v>0</v>
      </c>
      <c r="BK57" s="330">
        <f t="shared" si="241"/>
        <v>0</v>
      </c>
      <c r="BL57" s="330">
        <f t="shared" si="241"/>
        <v>0</v>
      </c>
      <c r="BM57" s="330">
        <f t="shared" si="241"/>
        <v>0</v>
      </c>
      <c r="BN57" s="330">
        <f t="shared" si="241"/>
        <v>0</v>
      </c>
      <c r="BO57" s="330">
        <f t="shared" si="241"/>
        <v>0</v>
      </c>
      <c r="BP57" s="330">
        <f t="shared" si="241"/>
        <v>0</v>
      </c>
      <c r="BQ57" s="330">
        <f t="shared" si="241"/>
        <v>0</v>
      </c>
      <c r="BR57" s="330">
        <f t="shared" si="241"/>
        <v>0</v>
      </c>
      <c r="BS57" s="330">
        <f t="shared" si="241"/>
        <v>0</v>
      </c>
      <c r="BT57" s="330">
        <f t="shared" si="241"/>
        <v>0</v>
      </c>
      <c r="BU57" s="330">
        <f t="shared" si="278"/>
        <v>0</v>
      </c>
      <c r="BV57" s="330">
        <f t="shared" si="278"/>
        <v>0</v>
      </c>
      <c r="BW57" s="330">
        <f t="shared" si="278"/>
        <v>0</v>
      </c>
      <c r="BX57" s="351">
        <f t="shared" si="274"/>
        <v>0</v>
      </c>
      <c r="BY57" s="378">
        <f t="shared" si="275"/>
        <v>0</v>
      </c>
      <c r="BZ57" s="378">
        <f t="shared" si="276"/>
        <v>0</v>
      </c>
    </row>
    <row r="58" spans="1:78" s="234" customFormat="1" ht="15" customHeight="1">
      <c r="A58" s="234" t="s">
        <v>129</v>
      </c>
      <c r="C58" s="306"/>
      <c r="D58" s="328"/>
      <c r="E58" s="386">
        <v>7725.48</v>
      </c>
      <c r="F58" s="328" t="s">
        <v>175</v>
      </c>
      <c r="G58" s="329"/>
      <c r="H58" s="329"/>
      <c r="I58" s="329"/>
      <c r="J58" s="329"/>
      <c r="K58" s="329"/>
      <c r="L58" s="329">
        <v>0</v>
      </c>
      <c r="M58" s="329">
        <v>1</v>
      </c>
      <c r="N58" s="329">
        <v>0</v>
      </c>
      <c r="O58" s="329">
        <v>0</v>
      </c>
      <c r="P58" s="329">
        <v>0</v>
      </c>
      <c r="Q58" s="329">
        <v>0</v>
      </c>
      <c r="R58" s="329">
        <v>0</v>
      </c>
      <c r="S58" s="329">
        <v>0</v>
      </c>
      <c r="T58" s="329"/>
      <c r="U58" s="329"/>
      <c r="V58" s="329"/>
      <c r="W58" s="329"/>
      <c r="X58" s="329"/>
      <c r="Y58" s="329"/>
      <c r="Z58" s="329"/>
      <c r="AA58" s="329"/>
      <c r="AB58" s="329"/>
      <c r="AC58" s="426">
        <f t="shared" si="10"/>
        <v>1</v>
      </c>
      <c r="AD58" s="328"/>
      <c r="AE58" s="330">
        <f t="shared" si="281"/>
        <v>0</v>
      </c>
      <c r="AF58" s="330">
        <f t="shared" si="282"/>
        <v>0</v>
      </c>
      <c r="AG58" s="330">
        <f t="shared" si="283"/>
        <v>0</v>
      </c>
      <c r="AH58" s="330">
        <f t="shared" si="284"/>
        <v>0</v>
      </c>
      <c r="AI58" s="330">
        <f t="shared" si="285"/>
        <v>0</v>
      </c>
      <c r="AJ58" s="330">
        <f t="shared" si="286"/>
        <v>0</v>
      </c>
      <c r="AK58" s="386">
        <f t="shared" si="287"/>
        <v>7725.48</v>
      </c>
      <c r="AL58" s="386">
        <f t="shared" si="288"/>
        <v>0</v>
      </c>
      <c r="AM58" s="386">
        <f t="shared" si="289"/>
        <v>0</v>
      </c>
      <c r="AN58" s="386">
        <f t="shared" si="290"/>
        <v>0</v>
      </c>
      <c r="AO58" s="386">
        <f t="shared" si="291"/>
        <v>0</v>
      </c>
      <c r="AP58" s="386">
        <f t="shared" si="292"/>
        <v>0</v>
      </c>
      <c r="AQ58" s="386">
        <f t="shared" si="293"/>
        <v>0</v>
      </c>
      <c r="AR58" s="326">
        <f t="shared" si="294"/>
        <v>0</v>
      </c>
      <c r="AS58" s="326">
        <f t="shared" si="295"/>
        <v>0</v>
      </c>
      <c r="AT58" s="326">
        <f t="shared" si="296"/>
        <v>0</v>
      </c>
      <c r="AU58" s="326">
        <f t="shared" si="297"/>
        <v>0</v>
      </c>
      <c r="AV58" s="326">
        <f t="shared" si="298"/>
        <v>0</v>
      </c>
      <c r="AW58" s="330">
        <f t="shared" si="299"/>
        <v>0</v>
      </c>
      <c r="AX58" s="330">
        <f t="shared" si="270"/>
        <v>0</v>
      </c>
      <c r="AY58" s="330">
        <f t="shared" si="271"/>
        <v>0</v>
      </c>
      <c r="AZ58" s="330">
        <f t="shared" si="272"/>
        <v>0</v>
      </c>
      <c r="BA58" s="330"/>
      <c r="BB58" s="330">
        <f t="shared" si="241"/>
        <v>0</v>
      </c>
      <c r="BC58" s="330">
        <f t="shared" si="241"/>
        <v>0</v>
      </c>
      <c r="BD58" s="386">
        <f t="shared" si="241"/>
        <v>0</v>
      </c>
      <c r="BE58" s="330">
        <f t="shared" si="241"/>
        <v>0</v>
      </c>
      <c r="BF58" s="330">
        <f t="shared" si="241"/>
        <v>0</v>
      </c>
      <c r="BG58" s="330">
        <f t="shared" si="241"/>
        <v>0</v>
      </c>
      <c r="BH58" s="330">
        <f t="shared" si="241"/>
        <v>7725.48</v>
      </c>
      <c r="BI58" s="330">
        <f t="shared" si="241"/>
        <v>0</v>
      </c>
      <c r="BJ58" s="330">
        <f t="shared" si="241"/>
        <v>0</v>
      </c>
      <c r="BK58" s="330">
        <f t="shared" si="241"/>
        <v>0</v>
      </c>
      <c r="BL58" s="330">
        <f t="shared" si="241"/>
        <v>0</v>
      </c>
      <c r="BM58" s="330">
        <f t="shared" si="241"/>
        <v>0</v>
      </c>
      <c r="BN58" s="330">
        <f t="shared" si="241"/>
        <v>0</v>
      </c>
      <c r="BO58" s="330">
        <f t="shared" si="241"/>
        <v>0</v>
      </c>
      <c r="BP58" s="330">
        <f t="shared" si="241"/>
        <v>0</v>
      </c>
      <c r="BQ58" s="330">
        <f t="shared" si="241"/>
        <v>0</v>
      </c>
      <c r="BR58" s="330">
        <f t="shared" si="241"/>
        <v>0</v>
      </c>
      <c r="BS58" s="330">
        <f t="shared" si="241"/>
        <v>0</v>
      </c>
      <c r="BT58" s="330">
        <f t="shared" si="241"/>
        <v>0</v>
      </c>
      <c r="BU58" s="330">
        <f t="shared" si="278"/>
        <v>0</v>
      </c>
      <c r="BV58" s="330">
        <f t="shared" si="278"/>
        <v>0</v>
      </c>
      <c r="BW58" s="330">
        <f t="shared" si="278"/>
        <v>0</v>
      </c>
      <c r="BX58" s="351">
        <f t="shared" si="274"/>
        <v>0</v>
      </c>
      <c r="BY58" s="378">
        <f t="shared" si="275"/>
        <v>0</v>
      </c>
      <c r="BZ58" s="378">
        <f t="shared" si="276"/>
        <v>0</v>
      </c>
    </row>
    <row r="59" spans="1:78" s="234" customFormat="1" ht="15" customHeight="1">
      <c r="A59" s="234" t="s">
        <v>129</v>
      </c>
      <c r="B59" s="234" t="s">
        <v>303</v>
      </c>
      <c r="C59" s="306"/>
      <c r="D59" s="328"/>
      <c r="E59" s="386">
        <v>1241.07</v>
      </c>
      <c r="F59" s="328" t="s">
        <v>209</v>
      </c>
      <c r="G59" s="329"/>
      <c r="H59" s="329"/>
      <c r="I59" s="329"/>
      <c r="J59" s="329"/>
      <c r="K59" s="329"/>
      <c r="L59" s="329">
        <v>0</v>
      </c>
      <c r="M59" s="329">
        <v>0</v>
      </c>
      <c r="N59" s="329">
        <v>1</v>
      </c>
      <c r="O59" s="329">
        <v>0</v>
      </c>
      <c r="P59" s="329">
        <v>0</v>
      </c>
      <c r="Q59" s="329">
        <v>0</v>
      </c>
      <c r="R59" s="329">
        <v>0</v>
      </c>
      <c r="S59" s="329">
        <v>0</v>
      </c>
      <c r="T59" s="329"/>
      <c r="U59" s="329"/>
      <c r="V59" s="329"/>
      <c r="W59" s="329"/>
      <c r="X59" s="329"/>
      <c r="Y59" s="329"/>
      <c r="Z59" s="329"/>
      <c r="AA59" s="329"/>
      <c r="AB59" s="329"/>
      <c r="AC59" s="426">
        <f t="shared" si="10"/>
        <v>1</v>
      </c>
      <c r="AD59" s="328"/>
      <c r="AE59" s="330">
        <f t="shared" si="281"/>
        <v>0</v>
      </c>
      <c r="AF59" s="330">
        <f t="shared" si="282"/>
        <v>0</v>
      </c>
      <c r="AG59" s="330">
        <f t="shared" si="283"/>
        <v>0</v>
      </c>
      <c r="AH59" s="330">
        <f t="shared" si="284"/>
        <v>0</v>
      </c>
      <c r="AI59" s="330">
        <f t="shared" si="285"/>
        <v>0</v>
      </c>
      <c r="AJ59" s="330">
        <f t="shared" si="286"/>
        <v>0</v>
      </c>
      <c r="AK59" s="386">
        <f t="shared" si="287"/>
        <v>0</v>
      </c>
      <c r="AL59" s="386">
        <f t="shared" si="288"/>
        <v>1241.07</v>
      </c>
      <c r="AM59" s="386">
        <f t="shared" si="289"/>
        <v>0</v>
      </c>
      <c r="AN59" s="386">
        <f t="shared" si="290"/>
        <v>0</v>
      </c>
      <c r="AO59" s="386">
        <f t="shared" si="291"/>
        <v>0</v>
      </c>
      <c r="AP59" s="386">
        <f t="shared" si="292"/>
        <v>0</v>
      </c>
      <c r="AQ59" s="386">
        <f t="shared" si="293"/>
        <v>0</v>
      </c>
      <c r="AR59" s="326">
        <f t="shared" si="294"/>
        <v>0</v>
      </c>
      <c r="AS59" s="326">
        <f t="shared" si="295"/>
        <v>0</v>
      </c>
      <c r="AT59" s="326">
        <f t="shared" si="296"/>
        <v>0</v>
      </c>
      <c r="AU59" s="326">
        <f t="shared" si="297"/>
        <v>0</v>
      </c>
      <c r="AV59" s="326">
        <f t="shared" si="298"/>
        <v>0</v>
      </c>
      <c r="AW59" s="330">
        <f t="shared" si="299"/>
        <v>0</v>
      </c>
      <c r="AX59" s="330">
        <f t="shared" si="270"/>
        <v>0</v>
      </c>
      <c r="AY59" s="330">
        <f t="shared" si="271"/>
        <v>0</v>
      </c>
      <c r="AZ59" s="330">
        <f t="shared" si="272"/>
        <v>0</v>
      </c>
      <c r="BA59" s="330"/>
      <c r="BB59" s="330">
        <f t="shared" si="241"/>
        <v>0</v>
      </c>
      <c r="BC59" s="330">
        <f t="shared" si="241"/>
        <v>0</v>
      </c>
      <c r="BD59" s="386">
        <f t="shared" si="241"/>
        <v>0</v>
      </c>
      <c r="BE59" s="330">
        <f t="shared" si="241"/>
        <v>0</v>
      </c>
      <c r="BF59" s="330">
        <f t="shared" si="241"/>
        <v>0</v>
      </c>
      <c r="BG59" s="330">
        <f t="shared" si="241"/>
        <v>0</v>
      </c>
      <c r="BH59" s="330">
        <f t="shared" si="241"/>
        <v>0</v>
      </c>
      <c r="BI59" s="330">
        <f t="shared" si="241"/>
        <v>1241.07</v>
      </c>
      <c r="BJ59" s="330">
        <f t="shared" si="241"/>
        <v>0</v>
      </c>
      <c r="BK59" s="330">
        <f t="shared" si="241"/>
        <v>0</v>
      </c>
      <c r="BL59" s="330">
        <f t="shared" si="241"/>
        <v>0</v>
      </c>
      <c r="BM59" s="330">
        <f t="shared" si="241"/>
        <v>0</v>
      </c>
      <c r="BN59" s="330">
        <f t="shared" si="241"/>
        <v>0</v>
      </c>
      <c r="BO59" s="330">
        <f t="shared" si="241"/>
        <v>0</v>
      </c>
      <c r="BP59" s="330">
        <f t="shared" si="241"/>
        <v>0</v>
      </c>
      <c r="BQ59" s="330">
        <f t="shared" si="241"/>
        <v>0</v>
      </c>
      <c r="BR59" s="330">
        <f t="shared" si="241"/>
        <v>0</v>
      </c>
      <c r="BS59" s="330">
        <f t="shared" si="241"/>
        <v>0</v>
      </c>
      <c r="BT59" s="330">
        <f t="shared" si="241"/>
        <v>0</v>
      </c>
      <c r="BU59" s="330">
        <f t="shared" si="278"/>
        <v>0</v>
      </c>
      <c r="BV59" s="330">
        <f t="shared" si="278"/>
        <v>0</v>
      </c>
      <c r="BW59" s="330">
        <f t="shared" si="278"/>
        <v>0</v>
      </c>
      <c r="BX59" s="351">
        <f t="shared" si="274"/>
        <v>0</v>
      </c>
      <c r="BY59" s="378">
        <f t="shared" si="275"/>
        <v>0</v>
      </c>
      <c r="BZ59" s="378">
        <f t="shared" si="276"/>
        <v>0</v>
      </c>
    </row>
    <row r="60" spans="1:78" s="234" customFormat="1" ht="15" customHeight="1">
      <c r="A60" s="234" t="s">
        <v>129</v>
      </c>
      <c r="C60" s="306"/>
      <c r="D60" s="328"/>
      <c r="E60" s="386">
        <v>167.23</v>
      </c>
      <c r="F60" s="328" t="s">
        <v>230</v>
      </c>
      <c r="G60" s="329"/>
      <c r="H60" s="329"/>
      <c r="I60" s="329"/>
      <c r="J60" s="329"/>
      <c r="K60" s="329"/>
      <c r="L60" s="329">
        <v>0</v>
      </c>
      <c r="M60" s="329">
        <v>0</v>
      </c>
      <c r="N60" s="329">
        <v>0</v>
      </c>
      <c r="O60" s="329">
        <v>1</v>
      </c>
      <c r="P60" s="329">
        <v>0</v>
      </c>
      <c r="Q60" s="329">
        <v>0</v>
      </c>
      <c r="R60" s="329">
        <v>0</v>
      </c>
      <c r="S60" s="329">
        <v>0</v>
      </c>
      <c r="T60" s="329"/>
      <c r="U60" s="329"/>
      <c r="V60" s="329"/>
      <c r="W60" s="329"/>
      <c r="X60" s="329"/>
      <c r="Y60" s="329"/>
      <c r="Z60" s="329"/>
      <c r="AA60" s="329"/>
      <c r="AB60" s="329"/>
      <c r="AC60" s="426">
        <f t="shared" si="10"/>
        <v>1</v>
      </c>
      <c r="AD60" s="328"/>
      <c r="AE60" s="330">
        <f t="shared" si="281"/>
        <v>0</v>
      </c>
      <c r="AF60" s="330">
        <f t="shared" si="282"/>
        <v>0</v>
      </c>
      <c r="AG60" s="330">
        <f t="shared" si="283"/>
        <v>0</v>
      </c>
      <c r="AH60" s="330">
        <f t="shared" si="284"/>
        <v>0</v>
      </c>
      <c r="AI60" s="330">
        <f t="shared" si="285"/>
        <v>0</v>
      </c>
      <c r="AJ60" s="330">
        <f t="shared" si="286"/>
        <v>0</v>
      </c>
      <c r="AK60" s="386">
        <f t="shared" si="287"/>
        <v>0</v>
      </c>
      <c r="AL60" s="386">
        <f t="shared" si="288"/>
        <v>0</v>
      </c>
      <c r="AM60" s="386">
        <f t="shared" si="289"/>
        <v>167.23</v>
      </c>
      <c r="AN60" s="386">
        <f t="shared" si="290"/>
        <v>0</v>
      </c>
      <c r="AO60" s="386">
        <f t="shared" si="291"/>
        <v>0</v>
      </c>
      <c r="AP60" s="386">
        <f t="shared" si="292"/>
        <v>0</v>
      </c>
      <c r="AQ60" s="386">
        <f t="shared" si="293"/>
        <v>0</v>
      </c>
      <c r="AR60" s="326">
        <f t="shared" si="294"/>
        <v>0</v>
      </c>
      <c r="AS60" s="326">
        <f t="shared" si="295"/>
        <v>0</v>
      </c>
      <c r="AT60" s="326">
        <f t="shared" si="296"/>
        <v>0</v>
      </c>
      <c r="AU60" s="326">
        <f t="shared" si="297"/>
        <v>0</v>
      </c>
      <c r="AV60" s="326">
        <f t="shared" si="298"/>
        <v>0</v>
      </c>
      <c r="AW60" s="330">
        <f t="shared" si="299"/>
        <v>0</v>
      </c>
      <c r="AX60" s="330">
        <f t="shared" si="270"/>
        <v>0</v>
      </c>
      <c r="AY60" s="330">
        <f t="shared" si="271"/>
        <v>0</v>
      </c>
      <c r="AZ60" s="330">
        <f t="shared" si="272"/>
        <v>0</v>
      </c>
      <c r="BA60" s="330"/>
      <c r="BB60" s="330">
        <f t="shared" si="241"/>
        <v>0</v>
      </c>
      <c r="BC60" s="330">
        <f t="shared" si="241"/>
        <v>0</v>
      </c>
      <c r="BD60" s="386">
        <f t="shared" si="241"/>
        <v>0</v>
      </c>
      <c r="BE60" s="330">
        <f t="shared" si="241"/>
        <v>0</v>
      </c>
      <c r="BF60" s="330">
        <f t="shared" si="241"/>
        <v>0</v>
      </c>
      <c r="BG60" s="330">
        <f t="shared" si="241"/>
        <v>0</v>
      </c>
      <c r="BH60" s="330">
        <f t="shared" si="241"/>
        <v>0</v>
      </c>
      <c r="BI60" s="330">
        <f t="shared" si="241"/>
        <v>0</v>
      </c>
      <c r="BJ60" s="330">
        <f t="shared" si="241"/>
        <v>167.23</v>
      </c>
      <c r="BK60" s="330">
        <f t="shared" si="241"/>
        <v>0</v>
      </c>
      <c r="BL60" s="330">
        <f t="shared" si="241"/>
        <v>0</v>
      </c>
      <c r="BM60" s="330">
        <f t="shared" si="241"/>
        <v>0</v>
      </c>
      <c r="BN60" s="330">
        <f t="shared" si="241"/>
        <v>0</v>
      </c>
      <c r="BO60" s="330">
        <f t="shared" si="241"/>
        <v>0</v>
      </c>
      <c r="BP60" s="330">
        <f t="shared" si="241"/>
        <v>0</v>
      </c>
      <c r="BQ60" s="330">
        <f t="shared" si="241"/>
        <v>0</v>
      </c>
      <c r="BR60" s="330">
        <f t="shared" si="241"/>
        <v>0</v>
      </c>
      <c r="BS60" s="330">
        <f t="shared" si="241"/>
        <v>0</v>
      </c>
      <c r="BT60" s="330">
        <f t="shared" si="241"/>
        <v>0</v>
      </c>
      <c r="BU60" s="330">
        <f t="shared" si="278"/>
        <v>0</v>
      </c>
      <c r="BV60" s="330">
        <f t="shared" si="278"/>
        <v>0</v>
      </c>
      <c r="BW60" s="330">
        <f t="shared" si="278"/>
        <v>0</v>
      </c>
      <c r="BX60" s="351">
        <f t="shared" si="274"/>
        <v>0</v>
      </c>
      <c r="BY60" s="378">
        <f t="shared" si="275"/>
        <v>0</v>
      </c>
      <c r="BZ60" s="378">
        <f t="shared" si="276"/>
        <v>0</v>
      </c>
    </row>
    <row r="61" spans="1:78" s="234" customFormat="1" ht="15" customHeight="1">
      <c r="A61" s="234" t="s">
        <v>129</v>
      </c>
      <c r="C61" s="306"/>
      <c r="D61" s="328"/>
      <c r="E61" s="386">
        <v>35745.919999999998</v>
      </c>
      <c r="F61" s="328" t="s">
        <v>239</v>
      </c>
      <c r="G61" s="329">
        <v>0</v>
      </c>
      <c r="H61" s="329"/>
      <c r="I61" s="329"/>
      <c r="J61" s="329"/>
      <c r="K61" s="329"/>
      <c r="L61" s="329"/>
      <c r="M61" s="329">
        <v>0</v>
      </c>
      <c r="N61" s="329">
        <v>0</v>
      </c>
      <c r="O61" s="329">
        <v>0</v>
      </c>
      <c r="P61" s="329">
        <v>0</v>
      </c>
      <c r="Q61" s="329">
        <v>0</v>
      </c>
      <c r="R61" s="329">
        <v>0.29207920792079206</v>
      </c>
      <c r="S61" s="329">
        <v>0.30693069306930698</v>
      </c>
      <c r="T61" s="329">
        <v>0.31188118811881188</v>
      </c>
      <c r="U61" s="329">
        <v>8.9108910891089119E-2</v>
      </c>
      <c r="V61" s="329"/>
      <c r="W61" s="329"/>
      <c r="X61" s="329"/>
      <c r="Y61" s="329"/>
      <c r="Z61" s="329"/>
      <c r="AA61" s="329"/>
      <c r="AB61" s="329"/>
      <c r="AC61" s="426">
        <f t="shared" si="10"/>
        <v>1.0000000000000002</v>
      </c>
      <c r="AD61" s="328"/>
      <c r="AE61" s="330">
        <f t="shared" si="281"/>
        <v>0</v>
      </c>
      <c r="AF61" s="330">
        <f t="shared" si="282"/>
        <v>0</v>
      </c>
      <c r="AG61" s="330">
        <f t="shared" si="283"/>
        <v>0</v>
      </c>
      <c r="AH61" s="330">
        <f t="shared" si="284"/>
        <v>0</v>
      </c>
      <c r="AI61" s="330">
        <f t="shared" si="285"/>
        <v>0</v>
      </c>
      <c r="AJ61" s="330">
        <f t="shared" si="286"/>
        <v>0</v>
      </c>
      <c r="AK61" s="386">
        <f t="shared" si="287"/>
        <v>0</v>
      </c>
      <c r="AL61" s="386">
        <f t="shared" si="288"/>
        <v>0</v>
      </c>
      <c r="AM61" s="386">
        <f t="shared" si="289"/>
        <v>0</v>
      </c>
      <c r="AN61" s="386">
        <f t="shared" si="290"/>
        <v>0</v>
      </c>
      <c r="AO61" s="386">
        <f t="shared" si="291"/>
        <v>0</v>
      </c>
      <c r="AP61" s="386">
        <f t="shared" si="292"/>
        <v>10440.64</v>
      </c>
      <c r="AQ61" s="386">
        <f t="shared" si="293"/>
        <v>10971.52</v>
      </c>
      <c r="AR61" s="326">
        <f t="shared" si="294"/>
        <v>11148.48</v>
      </c>
      <c r="AS61" s="326">
        <f t="shared" si="295"/>
        <v>3185.28</v>
      </c>
      <c r="AT61" s="326">
        <f t="shared" si="296"/>
        <v>0</v>
      </c>
      <c r="AU61" s="326">
        <f t="shared" si="297"/>
        <v>0</v>
      </c>
      <c r="AV61" s="326">
        <f t="shared" si="298"/>
        <v>0</v>
      </c>
      <c r="AW61" s="330">
        <f t="shared" si="299"/>
        <v>0</v>
      </c>
      <c r="AX61" s="330">
        <f t="shared" si="270"/>
        <v>0</v>
      </c>
      <c r="AY61" s="330">
        <f t="shared" si="271"/>
        <v>0</v>
      </c>
      <c r="AZ61" s="330">
        <f t="shared" si="272"/>
        <v>0</v>
      </c>
      <c r="BA61" s="330"/>
      <c r="BB61" s="330">
        <f t="shared" si="5"/>
        <v>0</v>
      </c>
      <c r="BC61" s="330">
        <f t="shared" si="5"/>
        <v>0</v>
      </c>
      <c r="BD61" s="386">
        <f t="shared" si="5"/>
        <v>0</v>
      </c>
      <c r="BE61" s="330">
        <f t="shared" si="273"/>
        <v>0</v>
      </c>
      <c r="BF61" s="330">
        <f t="shared" si="5"/>
        <v>0</v>
      </c>
      <c r="BG61" s="330">
        <f t="shared" si="5"/>
        <v>0</v>
      </c>
      <c r="BH61" s="330">
        <f t="shared" si="279"/>
        <v>0</v>
      </c>
      <c r="BI61" s="330">
        <f t="shared" si="279"/>
        <v>0</v>
      </c>
      <c r="BJ61" s="330">
        <f t="shared" si="279"/>
        <v>0</v>
      </c>
      <c r="BK61" s="330">
        <f t="shared" si="279"/>
        <v>0</v>
      </c>
      <c r="BL61" s="326">
        <v>35945</v>
      </c>
      <c r="BM61" s="330">
        <f t="shared" si="279"/>
        <v>0</v>
      </c>
      <c r="BN61" s="330">
        <f t="shared" si="279"/>
        <v>0</v>
      </c>
      <c r="BO61" s="330">
        <f t="shared" si="279"/>
        <v>0</v>
      </c>
      <c r="BP61" s="330">
        <v>-199.08</v>
      </c>
      <c r="BQ61" s="330">
        <f t="shared" si="240"/>
        <v>0</v>
      </c>
      <c r="BR61" s="330">
        <f t="shared" si="241"/>
        <v>0</v>
      </c>
      <c r="BS61" s="330">
        <f t="shared" si="241"/>
        <v>0</v>
      </c>
      <c r="BT61" s="330">
        <f t="shared" si="241"/>
        <v>0</v>
      </c>
      <c r="BU61" s="330">
        <f t="shared" si="278"/>
        <v>0</v>
      </c>
      <c r="BV61" s="330">
        <f t="shared" si="278"/>
        <v>0</v>
      </c>
      <c r="BW61" s="330">
        <f t="shared" si="278"/>
        <v>0</v>
      </c>
      <c r="BX61" s="351">
        <f t="shared" si="274"/>
        <v>0</v>
      </c>
      <c r="BY61" s="378">
        <f t="shared" si="275"/>
        <v>0</v>
      </c>
      <c r="BZ61" s="378">
        <f t="shared" si="276"/>
        <v>0</v>
      </c>
    </row>
    <row r="62" spans="1:78" s="234" customFormat="1" ht="15" customHeight="1">
      <c r="A62" s="234" t="s">
        <v>129</v>
      </c>
      <c r="C62" s="306"/>
      <c r="D62" s="328"/>
      <c r="E62" s="386">
        <v>18662.8</v>
      </c>
      <c r="F62" s="328" t="s">
        <v>239</v>
      </c>
      <c r="G62" s="329"/>
      <c r="H62" s="329"/>
      <c r="I62" s="329"/>
      <c r="J62" s="329"/>
      <c r="K62" s="329"/>
      <c r="L62" s="329"/>
      <c r="M62" s="329">
        <v>0</v>
      </c>
      <c r="N62" s="329">
        <v>0</v>
      </c>
      <c r="O62" s="329">
        <v>0</v>
      </c>
      <c r="P62" s="329">
        <v>0</v>
      </c>
      <c r="Q62" s="329">
        <v>0.17319587628865979</v>
      </c>
      <c r="R62" s="329">
        <v>0.24948453608247423</v>
      </c>
      <c r="S62" s="329">
        <v>0.25567010309278349</v>
      </c>
      <c r="T62" s="329">
        <v>0.25979381443298966</v>
      </c>
      <c r="U62" s="329">
        <v>6.1855670103092793E-2</v>
      </c>
      <c r="V62" s="329"/>
      <c r="W62" s="329"/>
      <c r="X62" s="329"/>
      <c r="Y62" s="329"/>
      <c r="Z62" s="329"/>
      <c r="AA62" s="329"/>
      <c r="AB62" s="329"/>
      <c r="AC62" s="426">
        <f t="shared" si="10"/>
        <v>1</v>
      </c>
      <c r="AD62" s="328"/>
      <c r="AE62" s="330">
        <f t="shared" si="281"/>
        <v>0</v>
      </c>
      <c r="AF62" s="330">
        <f t="shared" si="282"/>
        <v>0</v>
      </c>
      <c r="AG62" s="330">
        <f t="shared" si="283"/>
        <v>0</v>
      </c>
      <c r="AH62" s="330">
        <f t="shared" si="284"/>
        <v>0</v>
      </c>
      <c r="AI62" s="330">
        <f t="shared" si="285"/>
        <v>0</v>
      </c>
      <c r="AJ62" s="330">
        <f t="shared" si="286"/>
        <v>0</v>
      </c>
      <c r="AK62" s="386">
        <f t="shared" si="287"/>
        <v>0</v>
      </c>
      <c r="AL62" s="386">
        <f t="shared" si="288"/>
        <v>0</v>
      </c>
      <c r="AM62" s="386">
        <f t="shared" si="289"/>
        <v>0</v>
      </c>
      <c r="AN62" s="386">
        <f t="shared" si="290"/>
        <v>0</v>
      </c>
      <c r="AO62" s="386">
        <f t="shared" si="291"/>
        <v>3232.3199999999997</v>
      </c>
      <c r="AP62" s="386">
        <f t="shared" si="292"/>
        <v>4656.08</v>
      </c>
      <c r="AQ62" s="386">
        <f t="shared" si="293"/>
        <v>4771.5199999999995</v>
      </c>
      <c r="AR62" s="326">
        <f t="shared" si="294"/>
        <v>4848.4799999999996</v>
      </c>
      <c r="AS62" s="326">
        <f t="shared" si="295"/>
        <v>1154.4000000000001</v>
      </c>
      <c r="AT62" s="326">
        <f t="shared" si="296"/>
        <v>0</v>
      </c>
      <c r="AU62" s="326">
        <f t="shared" si="297"/>
        <v>0</v>
      </c>
      <c r="AV62" s="326">
        <f t="shared" si="298"/>
        <v>0</v>
      </c>
      <c r="AW62" s="330">
        <f t="shared" si="299"/>
        <v>0</v>
      </c>
      <c r="AX62" s="330">
        <f t="shared" si="270"/>
        <v>0</v>
      </c>
      <c r="AY62" s="330">
        <f t="shared" si="271"/>
        <v>0</v>
      </c>
      <c r="AZ62" s="330">
        <f t="shared" si="272"/>
        <v>0</v>
      </c>
      <c r="BA62" s="330"/>
      <c r="BB62" s="330">
        <f t="shared" ref="BB62:BP62" si="300">IF(BB$3=$F62,$E62,0)</f>
        <v>0</v>
      </c>
      <c r="BC62" s="330">
        <f t="shared" si="300"/>
        <v>0</v>
      </c>
      <c r="BD62" s="386">
        <f t="shared" si="300"/>
        <v>0</v>
      </c>
      <c r="BE62" s="330">
        <f t="shared" si="273"/>
        <v>0</v>
      </c>
      <c r="BF62" s="330">
        <f t="shared" si="300"/>
        <v>0</v>
      </c>
      <c r="BG62" s="330">
        <f t="shared" si="300"/>
        <v>0</v>
      </c>
      <c r="BH62" s="330">
        <f t="shared" si="300"/>
        <v>0</v>
      </c>
      <c r="BI62" s="330">
        <f t="shared" si="300"/>
        <v>0</v>
      </c>
      <c r="BJ62" s="330">
        <f t="shared" si="300"/>
        <v>0</v>
      </c>
      <c r="BK62" s="330">
        <f t="shared" si="300"/>
        <v>0</v>
      </c>
      <c r="BL62" s="326">
        <v>18759</v>
      </c>
      <c r="BM62" s="326">
        <f t="shared" si="300"/>
        <v>0</v>
      </c>
      <c r="BN62" s="326">
        <f t="shared" si="300"/>
        <v>0</v>
      </c>
      <c r="BO62" s="326">
        <v>-96.2</v>
      </c>
      <c r="BP62" s="330">
        <f t="shared" si="300"/>
        <v>0</v>
      </c>
      <c r="BQ62" s="330">
        <f t="shared" si="240"/>
        <v>0</v>
      </c>
      <c r="BR62" s="330">
        <f t="shared" si="241"/>
        <v>0</v>
      </c>
      <c r="BS62" s="330">
        <f t="shared" si="241"/>
        <v>0</v>
      </c>
      <c r="BT62" s="330">
        <f t="shared" si="241"/>
        <v>0</v>
      </c>
      <c r="BU62" s="330">
        <f t="shared" si="278"/>
        <v>0</v>
      </c>
      <c r="BV62" s="330">
        <f t="shared" si="278"/>
        <v>0</v>
      </c>
      <c r="BW62" s="330">
        <f t="shared" si="278"/>
        <v>0</v>
      </c>
      <c r="BX62" s="351">
        <f t="shared" si="274"/>
        <v>0</v>
      </c>
      <c r="BY62" s="378">
        <f t="shared" si="275"/>
        <v>0</v>
      </c>
      <c r="BZ62" s="378">
        <f t="shared" si="276"/>
        <v>0</v>
      </c>
    </row>
    <row r="63" spans="1:78" s="234" customFormat="1" ht="15" customHeight="1">
      <c r="A63" s="234" t="s">
        <v>129</v>
      </c>
      <c r="B63" s="234" t="s">
        <v>283</v>
      </c>
      <c r="C63" s="306"/>
      <c r="D63" s="328"/>
      <c r="E63" s="386">
        <v>9982.7999999999993</v>
      </c>
      <c r="F63" s="328" t="s">
        <v>239</v>
      </c>
      <c r="G63" s="329"/>
      <c r="H63" s="329"/>
      <c r="I63" s="329"/>
      <c r="J63" s="329"/>
      <c r="K63" s="329"/>
      <c r="L63" s="329">
        <v>0</v>
      </c>
      <c r="M63" s="329">
        <v>0</v>
      </c>
      <c r="N63" s="329">
        <v>0</v>
      </c>
      <c r="O63" s="329">
        <v>0</v>
      </c>
      <c r="P63" s="329">
        <v>0</v>
      </c>
      <c r="Q63" s="329">
        <v>0</v>
      </c>
      <c r="R63" s="329">
        <v>1</v>
      </c>
      <c r="S63" s="329">
        <v>0</v>
      </c>
      <c r="T63" s="329">
        <v>0</v>
      </c>
      <c r="U63" s="329">
        <v>0</v>
      </c>
      <c r="V63" s="329"/>
      <c r="W63" s="329"/>
      <c r="X63" s="329"/>
      <c r="Y63" s="329"/>
      <c r="Z63" s="329"/>
      <c r="AA63" s="329"/>
      <c r="AB63" s="329"/>
      <c r="AC63" s="426">
        <f t="shared" si="10"/>
        <v>1</v>
      </c>
      <c r="AD63" s="328"/>
      <c r="AE63" s="330">
        <f t="shared" si="281"/>
        <v>0</v>
      </c>
      <c r="AF63" s="330">
        <f t="shared" si="282"/>
        <v>0</v>
      </c>
      <c r="AG63" s="330">
        <f t="shared" si="283"/>
        <v>0</v>
      </c>
      <c r="AH63" s="330">
        <f t="shared" si="284"/>
        <v>0</v>
      </c>
      <c r="AI63" s="330">
        <f t="shared" si="285"/>
        <v>0</v>
      </c>
      <c r="AJ63" s="330">
        <f t="shared" si="286"/>
        <v>0</v>
      </c>
      <c r="AK63" s="386">
        <f t="shared" si="287"/>
        <v>0</v>
      </c>
      <c r="AL63" s="386">
        <f t="shared" si="288"/>
        <v>0</v>
      </c>
      <c r="AM63" s="386">
        <f t="shared" si="289"/>
        <v>0</v>
      </c>
      <c r="AN63" s="386">
        <f t="shared" si="290"/>
        <v>0</v>
      </c>
      <c r="AO63" s="386">
        <f t="shared" si="291"/>
        <v>0</v>
      </c>
      <c r="AP63" s="386">
        <f t="shared" si="292"/>
        <v>9982.7999999999993</v>
      </c>
      <c r="AQ63" s="386">
        <f t="shared" si="293"/>
        <v>0</v>
      </c>
      <c r="AR63" s="326">
        <f t="shared" si="294"/>
        <v>0</v>
      </c>
      <c r="AS63" s="326">
        <f t="shared" si="295"/>
        <v>0</v>
      </c>
      <c r="AT63" s="326">
        <f t="shared" si="296"/>
        <v>0</v>
      </c>
      <c r="AU63" s="326">
        <f t="shared" si="297"/>
        <v>0</v>
      </c>
      <c r="AV63" s="326">
        <f t="shared" si="298"/>
        <v>0</v>
      </c>
      <c r="AW63" s="330">
        <f t="shared" si="299"/>
        <v>0</v>
      </c>
      <c r="AX63" s="330">
        <f t="shared" si="270"/>
        <v>0</v>
      </c>
      <c r="AY63" s="330">
        <f t="shared" si="271"/>
        <v>0</v>
      </c>
      <c r="AZ63" s="330">
        <f t="shared" si="272"/>
        <v>0</v>
      </c>
      <c r="BA63" s="330"/>
      <c r="BB63" s="330">
        <f t="shared" ref="BB63:BV67" si="301">IF(BB$3=$F63,$E63,0)</f>
        <v>0</v>
      </c>
      <c r="BC63" s="330">
        <f t="shared" si="301"/>
        <v>0</v>
      </c>
      <c r="BD63" s="386">
        <f t="shared" si="301"/>
        <v>0</v>
      </c>
      <c r="BE63" s="330">
        <f t="shared" si="273"/>
        <v>0</v>
      </c>
      <c r="BF63" s="330">
        <f t="shared" si="301"/>
        <v>0</v>
      </c>
      <c r="BG63" s="330">
        <f t="shared" si="301"/>
        <v>0</v>
      </c>
      <c r="BH63" s="330">
        <f t="shared" si="301"/>
        <v>0</v>
      </c>
      <c r="BI63" s="330">
        <f t="shared" si="301"/>
        <v>0</v>
      </c>
      <c r="BJ63" s="330">
        <f t="shared" si="301"/>
        <v>0</v>
      </c>
      <c r="BK63" s="330">
        <f t="shared" si="301"/>
        <v>0</v>
      </c>
      <c r="BL63" s="326">
        <f t="shared" si="301"/>
        <v>9982.7999999999993</v>
      </c>
      <c r="BM63" s="330">
        <f t="shared" si="301"/>
        <v>0</v>
      </c>
      <c r="BN63" s="330">
        <f t="shared" si="301"/>
        <v>0</v>
      </c>
      <c r="BO63" s="330">
        <f t="shared" si="301"/>
        <v>0</v>
      </c>
      <c r="BP63" s="330">
        <f t="shared" si="301"/>
        <v>0</v>
      </c>
      <c r="BQ63" s="330">
        <f t="shared" si="301"/>
        <v>0</v>
      </c>
      <c r="BR63" s="330">
        <f t="shared" si="301"/>
        <v>0</v>
      </c>
      <c r="BS63" s="330">
        <f t="shared" si="301"/>
        <v>0</v>
      </c>
      <c r="BT63" s="330">
        <f t="shared" si="301"/>
        <v>0</v>
      </c>
      <c r="BU63" s="330">
        <f t="shared" si="301"/>
        <v>0</v>
      </c>
      <c r="BV63" s="330">
        <f t="shared" si="301"/>
        <v>0</v>
      </c>
      <c r="BW63" s="330">
        <f t="shared" si="278"/>
        <v>0</v>
      </c>
      <c r="BX63" s="351">
        <f t="shared" si="274"/>
        <v>0</v>
      </c>
      <c r="BY63" s="378">
        <f t="shared" si="275"/>
        <v>0</v>
      </c>
      <c r="BZ63" s="378">
        <f t="shared" si="276"/>
        <v>0</v>
      </c>
    </row>
    <row r="64" spans="1:78" s="234" customFormat="1" ht="15" customHeight="1">
      <c r="A64" s="234" t="s">
        <v>129</v>
      </c>
      <c r="C64" s="306"/>
      <c r="D64" s="328"/>
      <c r="E64" s="386">
        <v>22089.34</v>
      </c>
      <c r="F64" s="328" t="s">
        <v>253</v>
      </c>
      <c r="G64" s="329"/>
      <c r="H64" s="329"/>
      <c r="I64" s="329"/>
      <c r="J64" s="329"/>
      <c r="K64" s="329"/>
      <c r="L64" s="329">
        <v>0</v>
      </c>
      <c r="M64" s="329">
        <v>0</v>
      </c>
      <c r="N64" s="329">
        <v>0</v>
      </c>
      <c r="O64" s="329">
        <v>0</v>
      </c>
      <c r="P64" s="329">
        <v>0</v>
      </c>
      <c r="Q64" s="329">
        <v>0</v>
      </c>
      <c r="R64" s="329">
        <v>0</v>
      </c>
      <c r="S64" s="329">
        <v>0</v>
      </c>
      <c r="T64" s="329">
        <v>0</v>
      </c>
      <c r="U64" s="329">
        <v>0</v>
      </c>
      <c r="V64" s="329">
        <v>0.21044992743105953</v>
      </c>
      <c r="W64" s="329">
        <v>0.37155297532656023</v>
      </c>
      <c r="X64" s="329">
        <v>0.35994194484760522</v>
      </c>
      <c r="Y64" s="329">
        <v>5.8055152394775038E-2</v>
      </c>
      <c r="Z64" s="329"/>
      <c r="AA64" s="329"/>
      <c r="AB64" s="329"/>
      <c r="AC64" s="426">
        <f t="shared" si="10"/>
        <v>1</v>
      </c>
      <c r="AD64" s="328"/>
      <c r="AE64" s="330">
        <f t="shared" si="281"/>
        <v>0</v>
      </c>
      <c r="AF64" s="330">
        <f t="shared" si="282"/>
        <v>0</v>
      </c>
      <c r="AG64" s="330">
        <f t="shared" si="283"/>
        <v>0</v>
      </c>
      <c r="AH64" s="330">
        <f t="shared" si="284"/>
        <v>0</v>
      </c>
      <c r="AI64" s="330">
        <f t="shared" si="285"/>
        <v>0</v>
      </c>
      <c r="AJ64" s="330">
        <f t="shared" si="286"/>
        <v>0</v>
      </c>
      <c r="AK64" s="386">
        <f t="shared" si="287"/>
        <v>0</v>
      </c>
      <c r="AL64" s="386">
        <f t="shared" si="288"/>
        <v>0</v>
      </c>
      <c r="AM64" s="386">
        <f t="shared" si="289"/>
        <v>0</v>
      </c>
      <c r="AN64" s="386">
        <f t="shared" si="290"/>
        <v>0</v>
      </c>
      <c r="AO64" s="386">
        <f t="shared" si="291"/>
        <v>0</v>
      </c>
      <c r="AP64" s="386">
        <f t="shared" si="292"/>
        <v>0</v>
      </c>
      <c r="AQ64" s="386">
        <f t="shared" si="293"/>
        <v>0</v>
      </c>
      <c r="AR64" s="326">
        <f t="shared" si="294"/>
        <v>0</v>
      </c>
      <c r="AS64" s="326">
        <f t="shared" si="295"/>
        <v>0</v>
      </c>
      <c r="AT64" s="326">
        <f t="shared" si="296"/>
        <v>4648.7000000000007</v>
      </c>
      <c r="AU64" s="326">
        <f t="shared" si="297"/>
        <v>8207.36</v>
      </c>
      <c r="AV64" s="326">
        <f t="shared" si="298"/>
        <v>7950.88</v>
      </c>
      <c r="AW64" s="326">
        <f t="shared" si="299"/>
        <v>1282.4000000000001</v>
      </c>
      <c r="AX64" s="330">
        <f t="shared" si="270"/>
        <v>0</v>
      </c>
      <c r="AY64" s="330">
        <f t="shared" si="271"/>
        <v>0</v>
      </c>
      <c r="AZ64" s="330">
        <f t="shared" si="272"/>
        <v>0</v>
      </c>
      <c r="BA64" s="330"/>
      <c r="BB64" s="330">
        <f t="shared" si="301"/>
        <v>0</v>
      </c>
      <c r="BC64" s="330">
        <f t="shared" si="301"/>
        <v>0</v>
      </c>
      <c r="BD64" s="386">
        <f t="shared" si="301"/>
        <v>0</v>
      </c>
      <c r="BE64" s="330">
        <f t="shared" si="273"/>
        <v>0</v>
      </c>
      <c r="BF64" s="330">
        <f t="shared" si="301"/>
        <v>0</v>
      </c>
      <c r="BG64" s="330">
        <f t="shared" si="301"/>
        <v>0</v>
      </c>
      <c r="BH64" s="330">
        <f t="shared" si="301"/>
        <v>0</v>
      </c>
      <c r="BI64" s="330">
        <f t="shared" si="301"/>
        <v>0</v>
      </c>
      <c r="BJ64" s="330">
        <f t="shared" si="301"/>
        <v>0</v>
      </c>
      <c r="BK64" s="330">
        <f t="shared" si="301"/>
        <v>0</v>
      </c>
      <c r="BL64" s="330">
        <f t="shared" si="301"/>
        <v>0</v>
      </c>
      <c r="BM64" s="330">
        <f t="shared" si="301"/>
        <v>0</v>
      </c>
      <c r="BN64" s="330">
        <f t="shared" si="301"/>
        <v>0</v>
      </c>
      <c r="BO64" s="326">
        <f t="shared" si="301"/>
        <v>0</v>
      </c>
      <c r="BP64" s="330">
        <f t="shared" si="301"/>
        <v>0</v>
      </c>
      <c r="BQ64" s="326">
        <v>22746.57</v>
      </c>
      <c r="BR64" s="326">
        <v>0</v>
      </c>
      <c r="BS64" s="326">
        <v>-657.23</v>
      </c>
      <c r="BT64" s="330">
        <f t="shared" si="301"/>
        <v>0</v>
      </c>
      <c r="BU64" s="330">
        <f t="shared" si="301"/>
        <v>0</v>
      </c>
      <c r="BV64" s="330">
        <f t="shared" si="278"/>
        <v>0</v>
      </c>
      <c r="BW64" s="330">
        <f t="shared" si="278"/>
        <v>0</v>
      </c>
      <c r="BX64" s="351">
        <f t="shared" si="274"/>
        <v>0</v>
      </c>
      <c r="BY64" s="378">
        <f t="shared" si="275"/>
        <v>0</v>
      </c>
      <c r="BZ64" s="378">
        <f t="shared" si="276"/>
        <v>0</v>
      </c>
    </row>
    <row r="65" spans="1:78" s="234" customFormat="1" ht="15" customHeight="1">
      <c r="A65" s="234" t="s">
        <v>129</v>
      </c>
      <c r="C65" s="306"/>
      <c r="D65" s="328"/>
      <c r="E65" s="386">
        <f>22746.57-753.41</f>
        <v>21993.16</v>
      </c>
      <c r="F65" s="328" t="s">
        <v>253</v>
      </c>
      <c r="G65" s="329"/>
      <c r="H65" s="329"/>
      <c r="I65" s="329"/>
      <c r="J65" s="329"/>
      <c r="K65" s="329"/>
      <c r="L65" s="329">
        <v>0</v>
      </c>
      <c r="M65" s="329">
        <v>0</v>
      </c>
      <c r="N65" s="329">
        <v>0</v>
      </c>
      <c r="O65" s="329">
        <v>0</v>
      </c>
      <c r="P65" s="329">
        <v>0</v>
      </c>
      <c r="Q65" s="329">
        <v>0</v>
      </c>
      <c r="R65" s="329">
        <v>0</v>
      </c>
      <c r="S65" s="329">
        <v>0</v>
      </c>
      <c r="T65" s="329">
        <v>0</v>
      </c>
      <c r="U65" s="329">
        <v>0</v>
      </c>
      <c r="V65" s="329">
        <v>0.21137026239067058</v>
      </c>
      <c r="W65" s="329">
        <v>0.37317784256559772</v>
      </c>
      <c r="X65" s="329">
        <v>0.35568513119533529</v>
      </c>
      <c r="Y65" s="329">
        <v>5.9766763848396506E-2</v>
      </c>
      <c r="Z65" s="329"/>
      <c r="AA65" s="329"/>
      <c r="AB65" s="329"/>
      <c r="AC65" s="426">
        <f t="shared" si="10"/>
        <v>1</v>
      </c>
      <c r="AD65" s="328"/>
      <c r="AE65" s="330">
        <f t="shared" si="281"/>
        <v>0</v>
      </c>
      <c r="AF65" s="330">
        <f t="shared" si="282"/>
        <v>0</v>
      </c>
      <c r="AG65" s="330">
        <f t="shared" si="283"/>
        <v>0</v>
      </c>
      <c r="AH65" s="330">
        <f t="shared" si="284"/>
        <v>0</v>
      </c>
      <c r="AI65" s="330">
        <f t="shared" si="285"/>
        <v>0</v>
      </c>
      <c r="AJ65" s="330">
        <f t="shared" si="286"/>
        <v>0</v>
      </c>
      <c r="AK65" s="386">
        <f t="shared" si="287"/>
        <v>0</v>
      </c>
      <c r="AL65" s="386">
        <f t="shared" si="288"/>
        <v>0</v>
      </c>
      <c r="AM65" s="386">
        <f t="shared" si="289"/>
        <v>0</v>
      </c>
      <c r="AN65" s="386">
        <f t="shared" si="290"/>
        <v>0</v>
      </c>
      <c r="AO65" s="386">
        <f t="shared" si="291"/>
        <v>0</v>
      </c>
      <c r="AP65" s="386">
        <f t="shared" si="292"/>
        <v>0</v>
      </c>
      <c r="AQ65" s="386">
        <f t="shared" si="293"/>
        <v>0</v>
      </c>
      <c r="AR65" s="326">
        <f t="shared" si="294"/>
        <v>0</v>
      </c>
      <c r="AS65" s="326">
        <f t="shared" si="295"/>
        <v>0</v>
      </c>
      <c r="AT65" s="326">
        <f t="shared" si="296"/>
        <v>4648.7000000000007</v>
      </c>
      <c r="AU65" s="326">
        <f t="shared" si="297"/>
        <v>8207.36</v>
      </c>
      <c r="AV65" s="326">
        <f t="shared" si="298"/>
        <v>7822.64</v>
      </c>
      <c r="AW65" s="326">
        <f t="shared" si="299"/>
        <v>1314.46</v>
      </c>
      <c r="AX65" s="330">
        <f t="shared" si="270"/>
        <v>0</v>
      </c>
      <c r="AY65" s="330">
        <f t="shared" si="271"/>
        <v>0</v>
      </c>
      <c r="AZ65" s="330">
        <f t="shared" si="272"/>
        <v>0</v>
      </c>
      <c r="BA65" s="330"/>
      <c r="BB65" s="330">
        <f t="shared" si="301"/>
        <v>0</v>
      </c>
      <c r="BC65" s="330">
        <f t="shared" si="301"/>
        <v>0</v>
      </c>
      <c r="BD65" s="386">
        <f t="shared" si="301"/>
        <v>0</v>
      </c>
      <c r="BE65" s="330">
        <f t="shared" si="273"/>
        <v>0</v>
      </c>
      <c r="BF65" s="330">
        <f t="shared" si="301"/>
        <v>0</v>
      </c>
      <c r="BG65" s="330">
        <f t="shared" si="301"/>
        <v>0</v>
      </c>
      <c r="BH65" s="330">
        <f t="shared" si="301"/>
        <v>0</v>
      </c>
      <c r="BI65" s="330">
        <f t="shared" si="301"/>
        <v>0</v>
      </c>
      <c r="BJ65" s="330">
        <f t="shared" si="301"/>
        <v>0</v>
      </c>
      <c r="BK65" s="330">
        <f t="shared" si="301"/>
        <v>0</v>
      </c>
      <c r="BL65" s="330">
        <f t="shared" si="301"/>
        <v>0</v>
      </c>
      <c r="BM65" s="330">
        <f t="shared" si="301"/>
        <v>0</v>
      </c>
      <c r="BN65" s="330">
        <f t="shared" si="301"/>
        <v>0</v>
      </c>
      <c r="BO65" s="326">
        <f t="shared" si="301"/>
        <v>0</v>
      </c>
      <c r="BP65" s="330">
        <f t="shared" si="301"/>
        <v>0</v>
      </c>
      <c r="BQ65" s="330">
        <v>22746.57</v>
      </c>
      <c r="BR65" s="326">
        <v>0</v>
      </c>
      <c r="BS65" s="326">
        <v>-753.41</v>
      </c>
      <c r="BT65" s="330">
        <f t="shared" si="301"/>
        <v>0</v>
      </c>
      <c r="BU65" s="330">
        <f t="shared" si="301"/>
        <v>0</v>
      </c>
      <c r="BV65" s="330">
        <f t="shared" si="278"/>
        <v>0</v>
      </c>
      <c r="BW65" s="330">
        <f t="shared" si="278"/>
        <v>0</v>
      </c>
      <c r="BX65" s="351">
        <f t="shared" si="274"/>
        <v>0</v>
      </c>
      <c r="BY65" s="378">
        <f t="shared" si="275"/>
        <v>0</v>
      </c>
      <c r="BZ65" s="378">
        <f t="shared" si="276"/>
        <v>0</v>
      </c>
    </row>
    <row r="66" spans="1:78" s="234" customFormat="1" ht="15" customHeight="1">
      <c r="A66" s="234" t="s">
        <v>129</v>
      </c>
      <c r="C66" s="306"/>
      <c r="D66" s="328"/>
      <c r="E66" s="386">
        <v>21544.32</v>
      </c>
      <c r="F66" s="328" t="s">
        <v>253</v>
      </c>
      <c r="G66" s="329"/>
      <c r="H66" s="329"/>
      <c r="I66" s="329"/>
      <c r="J66" s="329"/>
      <c r="K66" s="329"/>
      <c r="L66" s="329">
        <v>0</v>
      </c>
      <c r="M66" s="329">
        <v>0</v>
      </c>
      <c r="N66" s="329">
        <v>0</v>
      </c>
      <c r="O66" s="329">
        <v>0</v>
      </c>
      <c r="P66" s="329">
        <v>0</v>
      </c>
      <c r="Q66" s="329">
        <v>0</v>
      </c>
      <c r="R66" s="329">
        <v>0</v>
      </c>
      <c r="S66" s="329">
        <v>0</v>
      </c>
      <c r="T66" s="329">
        <v>0</v>
      </c>
      <c r="U66" s="329">
        <v>0</v>
      </c>
      <c r="V66" s="329">
        <v>0.19047619047619049</v>
      </c>
      <c r="W66" s="329">
        <v>0.38095238095238099</v>
      </c>
      <c r="X66" s="329">
        <v>0.36904761904761907</v>
      </c>
      <c r="Y66" s="329">
        <v>5.9523809523809527E-2</v>
      </c>
      <c r="Z66" s="329"/>
      <c r="AA66" s="329"/>
      <c r="AB66" s="329"/>
      <c r="AC66" s="426">
        <f t="shared" si="10"/>
        <v>1</v>
      </c>
      <c r="AD66" s="328"/>
      <c r="AE66" s="330">
        <f t="shared" si="281"/>
        <v>0</v>
      </c>
      <c r="AF66" s="330">
        <f t="shared" si="282"/>
        <v>0</v>
      </c>
      <c r="AG66" s="330">
        <f t="shared" si="283"/>
        <v>0</v>
      </c>
      <c r="AH66" s="330">
        <f t="shared" si="284"/>
        <v>0</v>
      </c>
      <c r="AI66" s="330">
        <f t="shared" si="285"/>
        <v>0</v>
      </c>
      <c r="AJ66" s="330">
        <f t="shared" si="286"/>
        <v>0</v>
      </c>
      <c r="AK66" s="386">
        <f t="shared" si="287"/>
        <v>0</v>
      </c>
      <c r="AL66" s="386">
        <f t="shared" si="288"/>
        <v>0</v>
      </c>
      <c r="AM66" s="386">
        <f t="shared" si="289"/>
        <v>0</v>
      </c>
      <c r="AN66" s="386">
        <f t="shared" si="290"/>
        <v>0</v>
      </c>
      <c r="AO66" s="386">
        <f t="shared" si="291"/>
        <v>0</v>
      </c>
      <c r="AP66" s="386">
        <f t="shared" si="292"/>
        <v>0</v>
      </c>
      <c r="AQ66" s="386">
        <f t="shared" si="293"/>
        <v>0</v>
      </c>
      <c r="AR66" s="326">
        <f t="shared" si="294"/>
        <v>0</v>
      </c>
      <c r="AS66" s="326">
        <f t="shared" si="295"/>
        <v>0</v>
      </c>
      <c r="AT66" s="326">
        <f t="shared" si="296"/>
        <v>4103.68</v>
      </c>
      <c r="AU66" s="326">
        <f t="shared" si="297"/>
        <v>8207.36</v>
      </c>
      <c r="AV66" s="326">
        <f t="shared" si="298"/>
        <v>7950.88</v>
      </c>
      <c r="AW66" s="326">
        <f t="shared" si="299"/>
        <v>1282.4000000000001</v>
      </c>
      <c r="AX66" s="330">
        <f t="shared" si="270"/>
        <v>0</v>
      </c>
      <c r="AY66" s="330">
        <f t="shared" si="271"/>
        <v>0</v>
      </c>
      <c r="AZ66" s="330">
        <f t="shared" si="272"/>
        <v>0</v>
      </c>
      <c r="BA66" s="330"/>
      <c r="BB66" s="330">
        <f t="shared" si="301"/>
        <v>0</v>
      </c>
      <c r="BC66" s="330">
        <f t="shared" si="301"/>
        <v>0</v>
      </c>
      <c r="BD66" s="386">
        <f t="shared" si="301"/>
        <v>0</v>
      </c>
      <c r="BE66" s="330">
        <f t="shared" si="273"/>
        <v>0</v>
      </c>
      <c r="BF66" s="330">
        <f t="shared" si="301"/>
        <v>0</v>
      </c>
      <c r="BG66" s="330">
        <f t="shared" si="301"/>
        <v>0</v>
      </c>
      <c r="BH66" s="330">
        <f t="shared" si="301"/>
        <v>0</v>
      </c>
      <c r="BI66" s="330">
        <f t="shared" si="301"/>
        <v>0</v>
      </c>
      <c r="BJ66" s="330">
        <f t="shared" si="301"/>
        <v>0</v>
      </c>
      <c r="BK66" s="330">
        <f t="shared" si="301"/>
        <v>0</v>
      </c>
      <c r="BL66" s="330">
        <f t="shared" si="301"/>
        <v>0</v>
      </c>
      <c r="BM66" s="330">
        <f t="shared" si="301"/>
        <v>0</v>
      </c>
      <c r="BN66" s="330">
        <f t="shared" si="301"/>
        <v>0</v>
      </c>
      <c r="BO66" s="326">
        <f t="shared" si="301"/>
        <v>0</v>
      </c>
      <c r="BP66" s="330">
        <f t="shared" si="301"/>
        <v>0</v>
      </c>
      <c r="BQ66" s="330">
        <v>22169.49</v>
      </c>
      <c r="BR66" s="330">
        <f t="shared" si="301"/>
        <v>0</v>
      </c>
      <c r="BS66" s="326">
        <v>-625.16999999999996</v>
      </c>
      <c r="BT66" s="330">
        <f t="shared" si="301"/>
        <v>0</v>
      </c>
      <c r="BU66" s="330">
        <f t="shared" si="301"/>
        <v>0</v>
      </c>
      <c r="BV66" s="330">
        <f t="shared" si="278"/>
        <v>0</v>
      </c>
      <c r="BW66" s="330">
        <f t="shared" si="278"/>
        <v>0</v>
      </c>
      <c r="BX66" s="351">
        <f t="shared" si="274"/>
        <v>0</v>
      </c>
      <c r="BY66" s="378">
        <f t="shared" si="275"/>
        <v>0</v>
      </c>
      <c r="BZ66" s="378">
        <f t="shared" si="276"/>
        <v>0</v>
      </c>
    </row>
    <row r="67" spans="1:78" s="234" customFormat="1" ht="15" customHeight="1">
      <c r="A67" s="234" t="s">
        <v>129</v>
      </c>
      <c r="C67" s="306"/>
      <c r="D67" s="328"/>
      <c r="E67" s="386">
        <v>16799.440000000002</v>
      </c>
      <c r="F67" s="328" t="s">
        <v>253</v>
      </c>
      <c r="G67" s="329"/>
      <c r="H67" s="329"/>
      <c r="I67" s="329"/>
      <c r="J67" s="329"/>
      <c r="K67" s="329"/>
      <c r="L67" s="329">
        <v>0</v>
      </c>
      <c r="M67" s="329">
        <v>0</v>
      </c>
      <c r="N67" s="329">
        <v>0</v>
      </c>
      <c r="O67" s="329">
        <v>0</v>
      </c>
      <c r="P67" s="329">
        <v>0</v>
      </c>
      <c r="Q67" s="329">
        <v>0</v>
      </c>
      <c r="R67" s="329">
        <v>0</v>
      </c>
      <c r="S67" s="329">
        <v>0</v>
      </c>
      <c r="T67" s="329">
        <v>0</v>
      </c>
      <c r="U67" s="329">
        <v>0</v>
      </c>
      <c r="V67" s="329">
        <v>0.24427480916030533</v>
      </c>
      <c r="W67" s="329">
        <v>0.48854961832061067</v>
      </c>
      <c r="X67" s="329">
        <v>0.26717557251908391</v>
      </c>
      <c r="Y67" s="329">
        <v>0</v>
      </c>
      <c r="Z67" s="329"/>
      <c r="AA67" s="329"/>
      <c r="AB67" s="329"/>
      <c r="AC67" s="426">
        <f t="shared" si="10"/>
        <v>1</v>
      </c>
      <c r="AD67" s="328"/>
      <c r="AE67" s="330">
        <f t="shared" si="281"/>
        <v>0</v>
      </c>
      <c r="AF67" s="330">
        <f t="shared" si="282"/>
        <v>0</v>
      </c>
      <c r="AG67" s="330">
        <f t="shared" si="283"/>
        <v>0</v>
      </c>
      <c r="AH67" s="330">
        <f t="shared" si="284"/>
        <v>0</v>
      </c>
      <c r="AI67" s="330">
        <f t="shared" si="285"/>
        <v>0</v>
      </c>
      <c r="AJ67" s="330">
        <f t="shared" si="286"/>
        <v>0</v>
      </c>
      <c r="AK67" s="386">
        <f t="shared" si="287"/>
        <v>0</v>
      </c>
      <c r="AL67" s="386">
        <f t="shared" si="288"/>
        <v>0</v>
      </c>
      <c r="AM67" s="386">
        <f t="shared" si="289"/>
        <v>0</v>
      </c>
      <c r="AN67" s="386">
        <f t="shared" si="290"/>
        <v>0</v>
      </c>
      <c r="AO67" s="386">
        <f t="shared" si="291"/>
        <v>0</v>
      </c>
      <c r="AP67" s="386">
        <f t="shared" si="292"/>
        <v>0</v>
      </c>
      <c r="AQ67" s="386">
        <f t="shared" si="293"/>
        <v>0</v>
      </c>
      <c r="AR67" s="326">
        <f t="shared" si="294"/>
        <v>0</v>
      </c>
      <c r="AS67" s="326">
        <f t="shared" si="295"/>
        <v>0</v>
      </c>
      <c r="AT67" s="326">
        <f t="shared" si="296"/>
        <v>4103.68</v>
      </c>
      <c r="AU67" s="326">
        <f t="shared" si="297"/>
        <v>8207.36</v>
      </c>
      <c r="AV67" s="326">
        <f t="shared" si="298"/>
        <v>4488.3999999999996</v>
      </c>
      <c r="AW67" s="326">
        <f t="shared" si="299"/>
        <v>0</v>
      </c>
      <c r="AX67" s="330">
        <f t="shared" si="270"/>
        <v>0</v>
      </c>
      <c r="AY67" s="330">
        <f t="shared" si="271"/>
        <v>0</v>
      </c>
      <c r="AZ67" s="330">
        <f t="shared" si="272"/>
        <v>0</v>
      </c>
      <c r="BA67" s="330"/>
      <c r="BB67" s="330">
        <f t="shared" si="301"/>
        <v>0</v>
      </c>
      <c r="BC67" s="330">
        <f t="shared" si="301"/>
        <v>0</v>
      </c>
      <c r="BD67" s="386">
        <f t="shared" si="301"/>
        <v>0</v>
      </c>
      <c r="BE67" s="330">
        <f t="shared" si="273"/>
        <v>0</v>
      </c>
      <c r="BF67" s="330">
        <f t="shared" si="301"/>
        <v>0</v>
      </c>
      <c r="BG67" s="330">
        <f t="shared" si="301"/>
        <v>0</v>
      </c>
      <c r="BH67" s="330">
        <f t="shared" si="301"/>
        <v>0</v>
      </c>
      <c r="BI67" s="330">
        <f t="shared" si="301"/>
        <v>0</v>
      </c>
      <c r="BJ67" s="330">
        <f t="shared" si="301"/>
        <v>0</v>
      </c>
      <c r="BK67" s="330">
        <f t="shared" si="301"/>
        <v>0</v>
      </c>
      <c r="BL67" s="330">
        <f t="shared" si="301"/>
        <v>0</v>
      </c>
      <c r="BM67" s="330">
        <f t="shared" si="301"/>
        <v>0</v>
      </c>
      <c r="BN67" s="330">
        <f t="shared" si="301"/>
        <v>0</v>
      </c>
      <c r="BO67" s="326">
        <f t="shared" si="301"/>
        <v>0</v>
      </c>
      <c r="BP67" s="330">
        <f t="shared" si="301"/>
        <v>0</v>
      </c>
      <c r="BQ67" s="330">
        <v>22169.49</v>
      </c>
      <c r="BR67" s="330">
        <f t="shared" si="301"/>
        <v>0</v>
      </c>
      <c r="BS67" s="330">
        <v>-5370.0499999999993</v>
      </c>
      <c r="BT67" s="330">
        <f t="shared" si="301"/>
        <v>0</v>
      </c>
      <c r="BU67" s="330">
        <f t="shared" si="301"/>
        <v>0</v>
      </c>
      <c r="BV67" s="330">
        <f t="shared" si="278"/>
        <v>0</v>
      </c>
      <c r="BW67" s="330">
        <f t="shared" si="278"/>
        <v>0</v>
      </c>
      <c r="BX67" s="351">
        <f t="shared" si="274"/>
        <v>0</v>
      </c>
      <c r="BY67" s="378">
        <f t="shared" si="275"/>
        <v>0</v>
      </c>
      <c r="BZ67" s="378">
        <f t="shared" si="276"/>
        <v>0</v>
      </c>
    </row>
    <row r="68" spans="1:78" s="234" customFormat="1" ht="15" customHeight="1">
      <c r="A68" s="234" t="s">
        <v>129</v>
      </c>
      <c r="C68" s="306"/>
      <c r="D68" s="328"/>
      <c r="E68" s="386">
        <v>29581.599999999999</v>
      </c>
      <c r="F68" s="328" t="s">
        <v>239</v>
      </c>
      <c r="G68" s="329"/>
      <c r="H68" s="329"/>
      <c r="I68" s="329"/>
      <c r="J68" s="329"/>
      <c r="K68" s="329"/>
      <c r="L68" s="329">
        <v>0</v>
      </c>
      <c r="M68" s="329">
        <v>0</v>
      </c>
      <c r="N68" s="329">
        <v>0</v>
      </c>
      <c r="O68" s="329">
        <v>0</v>
      </c>
      <c r="P68" s="329">
        <v>0</v>
      </c>
      <c r="Q68" s="329">
        <v>0</v>
      </c>
      <c r="R68" s="329">
        <v>0.3009708737864078</v>
      </c>
      <c r="S68" s="329">
        <v>0.30097087378640774</v>
      </c>
      <c r="T68" s="329">
        <v>0.30582524271844658</v>
      </c>
      <c r="U68" s="329">
        <v>9.2233009708737879E-2</v>
      </c>
      <c r="V68" s="329"/>
      <c r="W68" s="329"/>
      <c r="X68" s="329"/>
      <c r="Y68" s="329"/>
      <c r="Z68" s="329"/>
      <c r="AA68" s="329"/>
      <c r="AB68" s="329"/>
      <c r="AC68" s="426">
        <f t="shared" si="10"/>
        <v>1</v>
      </c>
      <c r="AD68" s="328"/>
      <c r="AE68" s="330">
        <f t="shared" si="281"/>
        <v>0</v>
      </c>
      <c r="AF68" s="330">
        <f t="shared" si="282"/>
        <v>0</v>
      </c>
      <c r="AG68" s="330">
        <f t="shared" si="283"/>
        <v>0</v>
      </c>
      <c r="AH68" s="330">
        <f t="shared" si="284"/>
        <v>0</v>
      </c>
      <c r="AI68" s="330">
        <f t="shared" si="285"/>
        <v>0</v>
      </c>
      <c r="AJ68" s="330">
        <f t="shared" si="286"/>
        <v>0</v>
      </c>
      <c r="AK68" s="386">
        <f t="shared" si="287"/>
        <v>0</v>
      </c>
      <c r="AL68" s="386">
        <f t="shared" si="288"/>
        <v>0</v>
      </c>
      <c r="AM68" s="386">
        <f t="shared" si="289"/>
        <v>0</v>
      </c>
      <c r="AN68" s="386">
        <f t="shared" si="290"/>
        <v>0</v>
      </c>
      <c r="AO68" s="386">
        <f t="shared" si="291"/>
        <v>0</v>
      </c>
      <c r="AP68" s="386">
        <f t="shared" si="292"/>
        <v>8903.2000000000007</v>
      </c>
      <c r="AQ68" s="386">
        <f t="shared" si="293"/>
        <v>8903.1999999999989</v>
      </c>
      <c r="AR68" s="386">
        <f t="shared" si="294"/>
        <v>9046.7999999999993</v>
      </c>
      <c r="AS68" s="326">
        <f t="shared" si="295"/>
        <v>2728.4</v>
      </c>
      <c r="AT68" s="330">
        <f t="shared" si="296"/>
        <v>0</v>
      </c>
      <c r="AU68" s="330">
        <f t="shared" si="297"/>
        <v>0</v>
      </c>
      <c r="AV68" s="330">
        <f t="shared" si="298"/>
        <v>0</v>
      </c>
      <c r="AW68" s="326">
        <f t="shared" si="299"/>
        <v>0</v>
      </c>
      <c r="AX68" s="330">
        <f t="shared" si="270"/>
        <v>0</v>
      </c>
      <c r="AY68" s="330">
        <f t="shared" si="271"/>
        <v>0</v>
      </c>
      <c r="AZ68" s="330">
        <f t="shared" si="272"/>
        <v>0</v>
      </c>
      <c r="BA68" s="330"/>
      <c r="BB68" s="330">
        <f t="shared" ref="BB68:BK69" si="302">IF(BB$3=$F68,$E68,0)</f>
        <v>0</v>
      </c>
      <c r="BC68" s="330">
        <f t="shared" si="302"/>
        <v>0</v>
      </c>
      <c r="BD68" s="386">
        <f t="shared" si="302"/>
        <v>0</v>
      </c>
      <c r="BE68" s="330">
        <f t="shared" si="302"/>
        <v>0</v>
      </c>
      <c r="BF68" s="330">
        <f t="shared" si="302"/>
        <v>0</v>
      </c>
      <c r="BG68" s="330">
        <f t="shared" si="302"/>
        <v>0</v>
      </c>
      <c r="BH68" s="330">
        <f t="shared" si="302"/>
        <v>0</v>
      </c>
      <c r="BI68" s="330">
        <f t="shared" si="302"/>
        <v>0</v>
      </c>
      <c r="BJ68" s="330">
        <f t="shared" si="302"/>
        <v>0</v>
      </c>
      <c r="BK68" s="330">
        <f t="shared" si="302"/>
        <v>0</v>
      </c>
      <c r="BL68" s="330">
        <v>35002.5</v>
      </c>
      <c r="BM68" s="330">
        <f t="shared" ref="BM68:BW69" si="303">IF(BM$3=$F68,$E68,0)</f>
        <v>0</v>
      </c>
      <c r="BN68" s="330">
        <f t="shared" si="303"/>
        <v>0</v>
      </c>
      <c r="BO68" s="330">
        <f t="shared" si="303"/>
        <v>0</v>
      </c>
      <c r="BP68" s="330">
        <v>-5420.9</v>
      </c>
      <c r="BQ68" s="330">
        <f t="shared" si="303"/>
        <v>0</v>
      </c>
      <c r="BR68" s="330">
        <f t="shared" si="303"/>
        <v>0</v>
      </c>
      <c r="BS68" s="330">
        <f t="shared" si="303"/>
        <v>0</v>
      </c>
      <c r="BT68" s="330">
        <f t="shared" si="303"/>
        <v>0</v>
      </c>
      <c r="BU68" s="330">
        <f t="shared" si="303"/>
        <v>0</v>
      </c>
      <c r="BV68" s="330">
        <f t="shared" si="303"/>
        <v>0</v>
      </c>
      <c r="BW68" s="330">
        <f t="shared" si="303"/>
        <v>0</v>
      </c>
      <c r="BX68" s="351">
        <f t="shared" si="274"/>
        <v>0</v>
      </c>
      <c r="BY68" s="378">
        <f t="shared" si="275"/>
        <v>0</v>
      </c>
      <c r="BZ68" s="378">
        <f t="shared" si="276"/>
        <v>0</v>
      </c>
    </row>
    <row r="69" spans="1:78" s="234" customFormat="1" ht="15" customHeight="1">
      <c r="A69" s="234" t="s">
        <v>129</v>
      </c>
      <c r="C69" s="306"/>
      <c r="D69" s="328"/>
      <c r="E69" s="386">
        <v>42293.440000000002</v>
      </c>
      <c r="F69" s="328" t="s">
        <v>202</v>
      </c>
      <c r="G69" s="329"/>
      <c r="H69" s="329"/>
      <c r="I69" s="329"/>
      <c r="J69" s="329"/>
      <c r="K69" s="329"/>
      <c r="L69" s="329"/>
      <c r="M69" s="329">
        <v>0</v>
      </c>
      <c r="N69" s="329">
        <v>0</v>
      </c>
      <c r="O69" s="329">
        <v>0</v>
      </c>
      <c r="P69" s="329">
        <v>0</v>
      </c>
      <c r="Q69" s="329">
        <v>0</v>
      </c>
      <c r="R69" s="329">
        <v>0</v>
      </c>
      <c r="S69" s="329">
        <v>0</v>
      </c>
      <c r="T69" s="329">
        <v>0</v>
      </c>
      <c r="U69" s="329">
        <v>0.17573221757322177</v>
      </c>
      <c r="V69" s="329">
        <v>0.25523012552301261</v>
      </c>
      <c r="W69" s="329">
        <v>0.26778242677824271</v>
      </c>
      <c r="X69" s="329">
        <v>0.25941422594142266</v>
      </c>
      <c r="Y69" s="329">
        <v>4.1841004184100423E-2</v>
      </c>
      <c r="Z69" s="329"/>
      <c r="AA69" s="329"/>
      <c r="AB69" s="329"/>
      <c r="AC69" s="426">
        <f t="shared" si="10"/>
        <v>1.0000000000000002</v>
      </c>
      <c r="AD69" s="328"/>
      <c r="AE69" s="330">
        <f t="shared" si="281"/>
        <v>0</v>
      </c>
      <c r="AF69" s="330">
        <f t="shared" si="282"/>
        <v>0</v>
      </c>
      <c r="AG69" s="330">
        <f t="shared" si="283"/>
        <v>0</v>
      </c>
      <c r="AH69" s="330">
        <f t="shared" si="284"/>
        <v>0</v>
      </c>
      <c r="AI69" s="330">
        <f t="shared" si="285"/>
        <v>0</v>
      </c>
      <c r="AJ69" s="330">
        <f t="shared" si="286"/>
        <v>0</v>
      </c>
      <c r="AK69" s="386">
        <f t="shared" si="287"/>
        <v>0</v>
      </c>
      <c r="AL69" s="386">
        <f t="shared" si="288"/>
        <v>0</v>
      </c>
      <c r="AM69" s="386">
        <f t="shared" si="289"/>
        <v>0</v>
      </c>
      <c r="AN69" s="386">
        <f t="shared" si="290"/>
        <v>0</v>
      </c>
      <c r="AO69" s="386">
        <f t="shared" si="291"/>
        <v>0</v>
      </c>
      <c r="AP69" s="386">
        <f t="shared" si="292"/>
        <v>0</v>
      </c>
      <c r="AQ69" s="386">
        <f t="shared" si="293"/>
        <v>0</v>
      </c>
      <c r="AR69" s="386">
        <f t="shared" si="294"/>
        <v>0</v>
      </c>
      <c r="AS69" s="326">
        <f t="shared" si="295"/>
        <v>7432.3200000000006</v>
      </c>
      <c r="AT69" s="326">
        <f t="shared" si="296"/>
        <v>10794.560000000003</v>
      </c>
      <c r="AU69" s="326">
        <f t="shared" si="297"/>
        <v>11325.440000000002</v>
      </c>
      <c r="AV69" s="326">
        <f t="shared" si="298"/>
        <v>10971.520000000004</v>
      </c>
      <c r="AW69" s="326">
        <f t="shared" si="299"/>
        <v>1769.6000000000004</v>
      </c>
      <c r="AX69" s="326">
        <f t="shared" si="270"/>
        <v>0</v>
      </c>
      <c r="AY69" s="326">
        <f t="shared" si="271"/>
        <v>0</v>
      </c>
      <c r="AZ69" s="326">
        <f t="shared" si="272"/>
        <v>0</v>
      </c>
      <c r="BA69" s="330"/>
      <c r="BB69" s="330">
        <f t="shared" si="5"/>
        <v>0</v>
      </c>
      <c r="BC69" s="330">
        <f t="shared" si="5"/>
        <v>0</v>
      </c>
      <c r="BD69" s="386">
        <f t="shared" si="5"/>
        <v>0</v>
      </c>
      <c r="BE69" s="330">
        <f t="shared" si="273"/>
        <v>0</v>
      </c>
      <c r="BF69" s="330">
        <f t="shared" si="5"/>
        <v>0</v>
      </c>
      <c r="BG69" s="330">
        <f t="shared" si="5"/>
        <v>0</v>
      </c>
      <c r="BH69" s="330">
        <f t="shared" si="302"/>
        <v>0</v>
      </c>
      <c r="BI69" s="330">
        <f t="shared" si="5"/>
        <v>0</v>
      </c>
      <c r="BJ69" s="330">
        <f t="shared" si="5"/>
        <v>0</v>
      </c>
      <c r="BK69" s="330">
        <f t="shared" si="5"/>
        <v>0</v>
      </c>
      <c r="BL69" s="330">
        <f t="shared" si="5"/>
        <v>0</v>
      </c>
      <c r="BM69" s="330">
        <f t="shared" si="5"/>
        <v>0</v>
      </c>
      <c r="BN69" s="330">
        <f t="shared" si="5"/>
        <v>0</v>
      </c>
      <c r="BO69" s="330">
        <f t="shared" si="5"/>
        <v>0</v>
      </c>
      <c r="BP69" s="330">
        <v>43134</v>
      </c>
      <c r="BQ69" s="330">
        <f t="shared" si="240"/>
        <v>0</v>
      </c>
      <c r="BR69" s="330">
        <f t="shared" si="303"/>
        <v>0</v>
      </c>
      <c r="BS69" s="330">
        <v>-840.56</v>
      </c>
      <c r="BT69" s="330">
        <f t="shared" si="303"/>
        <v>0</v>
      </c>
      <c r="BU69" s="330">
        <f t="shared" si="303"/>
        <v>0</v>
      </c>
      <c r="BV69" s="330">
        <f t="shared" si="303"/>
        <v>0</v>
      </c>
      <c r="BW69" s="330">
        <f t="shared" si="303"/>
        <v>0</v>
      </c>
      <c r="BX69" s="351">
        <f t="shared" si="274"/>
        <v>0</v>
      </c>
      <c r="BY69" s="378">
        <f t="shared" si="275"/>
        <v>0</v>
      </c>
      <c r="BZ69" s="378">
        <f t="shared" si="276"/>
        <v>0</v>
      </c>
    </row>
    <row r="70" spans="1:78" s="234" customFormat="1" ht="15" customHeight="1">
      <c r="A70" s="234" t="s">
        <v>129</v>
      </c>
      <c r="C70" s="306"/>
      <c r="D70" s="328"/>
      <c r="E70" s="386">
        <v>71999.039999999994</v>
      </c>
      <c r="F70" s="328" t="s">
        <v>239</v>
      </c>
      <c r="G70" s="329"/>
      <c r="H70" s="329"/>
      <c r="I70" s="329"/>
      <c r="J70" s="329"/>
      <c r="K70" s="329"/>
      <c r="L70" s="329">
        <v>0</v>
      </c>
      <c r="M70" s="329">
        <v>0</v>
      </c>
      <c r="N70" s="329">
        <v>0</v>
      </c>
      <c r="O70" s="329">
        <v>0</v>
      </c>
      <c r="P70" s="329">
        <v>0</v>
      </c>
      <c r="Q70" s="329">
        <v>9.00900900900901E-2</v>
      </c>
      <c r="R70" s="329">
        <v>0.27927927927927931</v>
      </c>
      <c r="S70" s="329">
        <v>0.27927927927927931</v>
      </c>
      <c r="T70" s="329">
        <v>0.28378378378378383</v>
      </c>
      <c r="U70" s="329">
        <v>6.7567567567567571E-2</v>
      </c>
      <c r="V70" s="329"/>
      <c r="W70" s="329"/>
      <c r="X70" s="329"/>
      <c r="Y70" s="329"/>
      <c r="Z70" s="329"/>
      <c r="AA70" s="329"/>
      <c r="AB70" s="329"/>
      <c r="AC70" s="426">
        <f t="shared" si="10"/>
        <v>1</v>
      </c>
      <c r="AD70" s="328"/>
      <c r="AE70" s="330">
        <f t="shared" si="281"/>
        <v>0</v>
      </c>
      <c r="AF70" s="330">
        <f t="shared" si="282"/>
        <v>0</v>
      </c>
      <c r="AG70" s="330">
        <f t="shared" si="283"/>
        <v>0</v>
      </c>
      <c r="AH70" s="330">
        <f t="shared" si="284"/>
        <v>0</v>
      </c>
      <c r="AI70" s="330">
        <f t="shared" si="285"/>
        <v>0</v>
      </c>
      <c r="AJ70" s="330">
        <f t="shared" si="286"/>
        <v>0</v>
      </c>
      <c r="AK70" s="386">
        <f t="shared" si="287"/>
        <v>0</v>
      </c>
      <c r="AL70" s="386">
        <f t="shared" si="288"/>
        <v>0</v>
      </c>
      <c r="AM70" s="386">
        <f t="shared" si="289"/>
        <v>0</v>
      </c>
      <c r="AN70" s="386">
        <f t="shared" si="290"/>
        <v>0</v>
      </c>
      <c r="AO70" s="386">
        <f t="shared" si="291"/>
        <v>6486.4000000000005</v>
      </c>
      <c r="AP70" s="386">
        <f t="shared" si="292"/>
        <v>20107.84</v>
      </c>
      <c r="AQ70" s="386">
        <f t="shared" si="293"/>
        <v>20107.84</v>
      </c>
      <c r="AR70" s="386">
        <f t="shared" si="294"/>
        <v>20432.16</v>
      </c>
      <c r="AS70" s="326">
        <f t="shared" si="295"/>
        <v>4864.8</v>
      </c>
      <c r="AT70" s="330">
        <f t="shared" si="296"/>
        <v>0</v>
      </c>
      <c r="AU70" s="330">
        <f t="shared" si="297"/>
        <v>0</v>
      </c>
      <c r="AV70" s="330">
        <f t="shared" si="298"/>
        <v>0</v>
      </c>
      <c r="AW70" s="326">
        <f t="shared" si="299"/>
        <v>0</v>
      </c>
      <c r="AX70" s="330">
        <f t="shared" si="270"/>
        <v>0</v>
      </c>
      <c r="AY70" s="330">
        <f t="shared" si="271"/>
        <v>0</v>
      </c>
      <c r="AZ70" s="330">
        <f t="shared" si="272"/>
        <v>0</v>
      </c>
      <c r="BA70" s="330"/>
      <c r="BB70" s="330">
        <f t="shared" si="5"/>
        <v>0</v>
      </c>
      <c r="BC70" s="330">
        <f t="shared" si="5"/>
        <v>0</v>
      </c>
      <c r="BD70" s="386">
        <f t="shared" si="5"/>
        <v>0</v>
      </c>
      <c r="BE70" s="330">
        <f t="shared" si="273"/>
        <v>0</v>
      </c>
      <c r="BF70" s="330">
        <f t="shared" si="5"/>
        <v>0</v>
      </c>
      <c r="BG70" s="330">
        <f t="shared" si="5"/>
        <v>0</v>
      </c>
      <c r="BH70" s="330">
        <f t="shared" si="5"/>
        <v>0</v>
      </c>
      <c r="BI70" s="330">
        <f t="shared" si="5"/>
        <v>0</v>
      </c>
      <c r="BJ70" s="330">
        <f t="shared" si="5"/>
        <v>0</v>
      </c>
      <c r="BK70" s="330">
        <f t="shared" si="5"/>
        <v>0</v>
      </c>
      <c r="BL70" s="330">
        <v>72465.259999999995</v>
      </c>
      <c r="BM70" s="330">
        <f t="shared" si="5"/>
        <v>0</v>
      </c>
      <c r="BN70" s="330">
        <f t="shared" si="5"/>
        <v>0</v>
      </c>
      <c r="BO70" s="330">
        <v>-466.22</v>
      </c>
      <c r="BP70" s="330">
        <f t="shared" si="5"/>
        <v>0</v>
      </c>
      <c r="BQ70" s="330">
        <f t="shared" si="240"/>
        <v>0</v>
      </c>
      <c r="BR70" s="330">
        <f t="shared" ref="BR70:BW70" si="304">IF(BR$3=$F70,$E70,0)</f>
        <v>0</v>
      </c>
      <c r="BS70" s="330">
        <f t="shared" si="304"/>
        <v>0</v>
      </c>
      <c r="BT70" s="330">
        <f t="shared" si="304"/>
        <v>0</v>
      </c>
      <c r="BU70" s="330">
        <f t="shared" si="304"/>
        <v>0</v>
      </c>
      <c r="BV70" s="330">
        <f t="shared" si="304"/>
        <v>0</v>
      </c>
      <c r="BW70" s="330">
        <f t="shared" si="304"/>
        <v>0</v>
      </c>
      <c r="BX70" s="351">
        <f t="shared" si="274"/>
        <v>0</v>
      </c>
      <c r="BY70" s="378">
        <f t="shared" si="275"/>
        <v>0</v>
      </c>
      <c r="BZ70" s="378">
        <f t="shared" si="276"/>
        <v>0</v>
      </c>
    </row>
    <row r="71" spans="1:78" s="234" customFormat="1" ht="15" customHeight="1">
      <c r="A71" s="234" t="s">
        <v>129</v>
      </c>
      <c r="C71" s="306"/>
      <c r="D71" s="328"/>
      <c r="E71" s="386">
        <v>39161.64</v>
      </c>
      <c r="F71" s="328" t="s">
        <v>202</v>
      </c>
      <c r="G71" s="329"/>
      <c r="H71" s="329"/>
      <c r="I71" s="329"/>
      <c r="J71" s="329"/>
      <c r="K71" s="329"/>
      <c r="L71" s="329">
        <v>0</v>
      </c>
      <c r="M71" s="329">
        <v>0</v>
      </c>
      <c r="N71" s="329">
        <v>0</v>
      </c>
      <c r="O71" s="329">
        <v>0</v>
      </c>
      <c r="P71" s="329">
        <v>0</v>
      </c>
      <c r="Q71" s="329">
        <v>0</v>
      </c>
      <c r="R71" s="329">
        <v>0</v>
      </c>
      <c r="S71" s="329">
        <v>0</v>
      </c>
      <c r="T71" s="329">
        <v>0</v>
      </c>
      <c r="U71" s="389">
        <v>0.12422360248447203</v>
      </c>
      <c r="V71" s="389">
        <v>0.26501035196687373</v>
      </c>
      <c r="W71" s="389">
        <v>0.26501035196687373</v>
      </c>
      <c r="X71" s="389">
        <v>0.2608695652173913</v>
      </c>
      <c r="Y71" s="389">
        <v>8.4886128364389246E-2</v>
      </c>
      <c r="Z71" s="329"/>
      <c r="AA71" s="329"/>
      <c r="AB71" s="329"/>
      <c r="AC71" s="426">
        <f t="shared" si="10"/>
        <v>1</v>
      </c>
      <c r="AD71" s="328"/>
      <c r="AE71" s="330">
        <f t="shared" si="281"/>
        <v>0</v>
      </c>
      <c r="AF71" s="330">
        <f t="shared" si="282"/>
        <v>0</v>
      </c>
      <c r="AG71" s="330">
        <f t="shared" si="283"/>
        <v>0</v>
      </c>
      <c r="AH71" s="330">
        <f t="shared" si="284"/>
        <v>0</v>
      </c>
      <c r="AI71" s="330">
        <f t="shared" si="285"/>
        <v>0</v>
      </c>
      <c r="AJ71" s="330">
        <f t="shared" si="286"/>
        <v>0</v>
      </c>
      <c r="AK71" s="386">
        <f t="shared" si="287"/>
        <v>0</v>
      </c>
      <c r="AL71" s="386">
        <f t="shared" si="288"/>
        <v>0</v>
      </c>
      <c r="AM71" s="386">
        <f t="shared" si="289"/>
        <v>0</v>
      </c>
      <c r="AN71" s="386">
        <f t="shared" si="290"/>
        <v>0</v>
      </c>
      <c r="AO71" s="386">
        <f t="shared" si="291"/>
        <v>0</v>
      </c>
      <c r="AP71" s="386">
        <f t="shared" si="292"/>
        <v>0</v>
      </c>
      <c r="AQ71" s="386">
        <f t="shared" si="293"/>
        <v>0</v>
      </c>
      <c r="AR71" s="386">
        <f t="shared" si="294"/>
        <v>0</v>
      </c>
      <c r="AS71" s="326">
        <f t="shared" si="295"/>
        <v>4864.7999999999993</v>
      </c>
      <c r="AT71" s="326">
        <f t="shared" si="296"/>
        <v>10378.24</v>
      </c>
      <c r="AU71" s="326">
        <f t="shared" si="297"/>
        <v>10378.24</v>
      </c>
      <c r="AV71" s="326">
        <f t="shared" si="298"/>
        <v>10216.08</v>
      </c>
      <c r="AW71" s="326">
        <f t="shared" si="299"/>
        <v>3324.2800000000007</v>
      </c>
      <c r="AX71" s="326">
        <f t="shared" si="270"/>
        <v>0</v>
      </c>
      <c r="AY71" s="326">
        <f t="shared" si="271"/>
        <v>0</v>
      </c>
      <c r="AZ71" s="326">
        <f t="shared" si="272"/>
        <v>0</v>
      </c>
      <c r="BA71" s="330"/>
      <c r="BB71" s="330">
        <f t="shared" si="5"/>
        <v>0</v>
      </c>
      <c r="BC71" s="330">
        <f t="shared" si="5"/>
        <v>0</v>
      </c>
      <c r="BD71" s="386">
        <f t="shared" si="5"/>
        <v>0</v>
      </c>
      <c r="BE71" s="330">
        <f t="shared" si="273"/>
        <v>0</v>
      </c>
      <c r="BF71" s="330">
        <f t="shared" si="5"/>
        <v>0</v>
      </c>
      <c r="BG71" s="330">
        <f t="shared" si="5"/>
        <v>0</v>
      </c>
      <c r="BH71" s="330">
        <f t="shared" si="5"/>
        <v>0</v>
      </c>
      <c r="BI71" s="330">
        <f t="shared" si="5"/>
        <v>0</v>
      </c>
      <c r="BJ71" s="330">
        <f t="shared" si="5"/>
        <v>0</v>
      </c>
      <c r="BK71" s="330">
        <f t="shared" si="5"/>
        <v>0</v>
      </c>
      <c r="BL71" s="330">
        <f t="shared" si="5"/>
        <v>0</v>
      </c>
      <c r="BM71" s="330">
        <f t="shared" si="5"/>
        <v>0</v>
      </c>
      <c r="BN71" s="330">
        <f t="shared" si="5"/>
        <v>0</v>
      </c>
      <c r="BO71" s="330">
        <f t="shared" si="5"/>
        <v>0</v>
      </c>
      <c r="BP71" s="330">
        <v>39526.5</v>
      </c>
      <c r="BQ71" s="330">
        <f t="shared" si="240"/>
        <v>0</v>
      </c>
      <c r="BR71" s="330">
        <f t="shared" ref="BR71:BS74" si="305">IF(BR$3=$F71,$E71,0)</f>
        <v>0</v>
      </c>
      <c r="BS71" s="330">
        <f t="shared" si="305"/>
        <v>0</v>
      </c>
      <c r="BT71" s="330">
        <v>-364.86</v>
      </c>
      <c r="BU71" s="330">
        <f t="shared" ref="BU71:BW93" si="306">IF(BU$3=$F71,$E71,0)</f>
        <v>0</v>
      </c>
      <c r="BV71" s="330">
        <f t="shared" si="306"/>
        <v>0</v>
      </c>
      <c r="BW71" s="330">
        <f t="shared" si="306"/>
        <v>0</v>
      </c>
      <c r="BX71" s="351">
        <f t="shared" si="274"/>
        <v>0</v>
      </c>
      <c r="BY71" s="378">
        <f t="shared" si="275"/>
        <v>0</v>
      </c>
      <c r="BZ71" s="378">
        <f t="shared" si="276"/>
        <v>0</v>
      </c>
    </row>
    <row r="72" spans="1:78" s="234" customFormat="1" ht="15" customHeight="1">
      <c r="A72" s="234" t="s">
        <v>129</v>
      </c>
      <c r="C72" s="306"/>
      <c r="D72" s="328"/>
      <c r="E72" s="386">
        <v>39485.96</v>
      </c>
      <c r="F72" s="328" t="s">
        <v>202</v>
      </c>
      <c r="G72" s="329"/>
      <c r="H72" s="329"/>
      <c r="I72" s="329"/>
      <c r="J72" s="329"/>
      <c r="K72" s="329"/>
      <c r="L72" s="329">
        <v>0</v>
      </c>
      <c r="M72" s="329">
        <v>0</v>
      </c>
      <c r="N72" s="329">
        <v>0</v>
      </c>
      <c r="O72" s="329">
        <v>0</v>
      </c>
      <c r="P72" s="329">
        <v>0</v>
      </c>
      <c r="Q72" s="329">
        <v>0</v>
      </c>
      <c r="R72" s="329">
        <v>0</v>
      </c>
      <c r="S72" s="329">
        <v>0</v>
      </c>
      <c r="T72" s="329">
        <v>0</v>
      </c>
      <c r="U72" s="389">
        <v>0.12320328542094454</v>
      </c>
      <c r="V72" s="389">
        <v>0.26283367556468173</v>
      </c>
      <c r="W72" s="389">
        <v>0.26283367556468173</v>
      </c>
      <c r="X72" s="389">
        <v>0.25872689938398358</v>
      </c>
      <c r="Y72" s="389">
        <v>9.2402464065708415E-2</v>
      </c>
      <c r="Z72" s="329"/>
      <c r="AA72" s="329"/>
      <c r="AB72" s="329"/>
      <c r="AC72" s="426">
        <f t="shared" si="10"/>
        <v>1</v>
      </c>
      <c r="AD72" s="328"/>
      <c r="AE72" s="330">
        <f t="shared" si="281"/>
        <v>0</v>
      </c>
      <c r="AF72" s="330">
        <f t="shared" si="282"/>
        <v>0</v>
      </c>
      <c r="AG72" s="330">
        <f t="shared" si="283"/>
        <v>0</v>
      </c>
      <c r="AH72" s="330">
        <f t="shared" si="284"/>
        <v>0</v>
      </c>
      <c r="AI72" s="330">
        <f t="shared" si="285"/>
        <v>0</v>
      </c>
      <c r="AJ72" s="330">
        <f t="shared" si="286"/>
        <v>0</v>
      </c>
      <c r="AK72" s="386">
        <f t="shared" si="287"/>
        <v>0</v>
      </c>
      <c r="AL72" s="386">
        <f t="shared" si="288"/>
        <v>0</v>
      </c>
      <c r="AM72" s="386">
        <f t="shared" si="289"/>
        <v>0</v>
      </c>
      <c r="AN72" s="386">
        <f t="shared" si="290"/>
        <v>0</v>
      </c>
      <c r="AO72" s="386">
        <f t="shared" si="291"/>
        <v>0</v>
      </c>
      <c r="AP72" s="386">
        <f t="shared" si="292"/>
        <v>0</v>
      </c>
      <c r="AQ72" s="386">
        <f t="shared" si="293"/>
        <v>0</v>
      </c>
      <c r="AR72" s="386">
        <f t="shared" si="294"/>
        <v>0</v>
      </c>
      <c r="AS72" s="326">
        <f t="shared" si="295"/>
        <v>4864.7999999999993</v>
      </c>
      <c r="AT72" s="326">
        <f t="shared" si="296"/>
        <v>10378.24</v>
      </c>
      <c r="AU72" s="326">
        <f t="shared" si="297"/>
        <v>10378.24</v>
      </c>
      <c r="AV72" s="326">
        <f t="shared" si="298"/>
        <v>10216.08</v>
      </c>
      <c r="AW72" s="326">
        <f t="shared" si="299"/>
        <v>3648.6</v>
      </c>
      <c r="AX72" s="326">
        <f t="shared" si="270"/>
        <v>0</v>
      </c>
      <c r="AY72" s="326">
        <f t="shared" si="271"/>
        <v>0</v>
      </c>
      <c r="AZ72" s="326">
        <f t="shared" si="272"/>
        <v>0</v>
      </c>
      <c r="BA72" s="330"/>
      <c r="BB72" s="330">
        <f t="shared" si="5"/>
        <v>0</v>
      </c>
      <c r="BC72" s="330">
        <f t="shared" si="5"/>
        <v>0</v>
      </c>
      <c r="BD72" s="386">
        <f t="shared" si="5"/>
        <v>0</v>
      </c>
      <c r="BE72" s="330">
        <f t="shared" si="273"/>
        <v>0</v>
      </c>
      <c r="BF72" s="330">
        <f t="shared" si="5"/>
        <v>0</v>
      </c>
      <c r="BG72" s="330">
        <f t="shared" si="5"/>
        <v>0</v>
      </c>
      <c r="BH72" s="330">
        <f t="shared" si="5"/>
        <v>0</v>
      </c>
      <c r="BI72" s="330">
        <f t="shared" si="5"/>
        <v>0</v>
      </c>
      <c r="BJ72" s="330">
        <f t="shared" si="5"/>
        <v>0</v>
      </c>
      <c r="BK72" s="330">
        <f t="shared" si="5"/>
        <v>0</v>
      </c>
      <c r="BL72" s="330">
        <f t="shared" si="5"/>
        <v>0</v>
      </c>
      <c r="BM72" s="330">
        <f t="shared" si="5"/>
        <v>0</v>
      </c>
      <c r="BN72" s="330">
        <f t="shared" si="5"/>
        <v>0</v>
      </c>
      <c r="BO72" s="330">
        <f t="shared" si="5"/>
        <v>0</v>
      </c>
      <c r="BP72" s="330">
        <v>39526.5</v>
      </c>
      <c r="BQ72" s="330">
        <f t="shared" si="240"/>
        <v>0</v>
      </c>
      <c r="BR72" s="330">
        <f t="shared" si="305"/>
        <v>0</v>
      </c>
      <c r="BS72" s="330">
        <f t="shared" si="305"/>
        <v>0</v>
      </c>
      <c r="BT72" s="330">
        <v>-40.54</v>
      </c>
      <c r="BU72" s="330">
        <f t="shared" si="306"/>
        <v>0</v>
      </c>
      <c r="BV72" s="330">
        <f t="shared" si="306"/>
        <v>0</v>
      </c>
      <c r="BW72" s="330">
        <f t="shared" si="306"/>
        <v>0</v>
      </c>
      <c r="BX72" s="351">
        <f t="shared" si="274"/>
        <v>0</v>
      </c>
      <c r="BY72" s="378">
        <f t="shared" si="275"/>
        <v>0</v>
      </c>
      <c r="BZ72" s="378">
        <f t="shared" si="276"/>
        <v>0</v>
      </c>
    </row>
    <row r="73" spans="1:78" s="536" customFormat="1" ht="15" customHeight="1">
      <c r="A73" s="548" t="s">
        <v>129</v>
      </c>
      <c r="B73" s="392" t="s">
        <v>312</v>
      </c>
      <c r="C73" s="537"/>
      <c r="D73" s="538"/>
      <c r="E73" s="539">
        <v>73708.800000000003</v>
      </c>
      <c r="F73" s="538" t="s">
        <v>202</v>
      </c>
      <c r="G73" s="540"/>
      <c r="H73" s="540"/>
      <c r="I73" s="540"/>
      <c r="J73" s="540"/>
      <c r="K73" s="540"/>
      <c r="L73" s="540">
        <v>0</v>
      </c>
      <c r="M73" s="540">
        <v>0</v>
      </c>
      <c r="N73" s="540">
        <v>0</v>
      </c>
      <c r="O73" s="540">
        <v>0</v>
      </c>
      <c r="P73" s="540">
        <v>0</v>
      </c>
      <c r="Q73" s="540">
        <v>0</v>
      </c>
      <c r="R73" s="540">
        <v>0</v>
      </c>
      <c r="S73" s="540">
        <v>0</v>
      </c>
      <c r="T73" s="540">
        <v>0</v>
      </c>
      <c r="U73" s="541">
        <v>0</v>
      </c>
      <c r="V73" s="541">
        <v>0.18181818181818185</v>
      </c>
      <c r="W73" s="541">
        <v>0.18181818181818185</v>
      </c>
      <c r="X73" s="541">
        <v>0.27272727272727276</v>
      </c>
      <c r="Y73" s="541">
        <v>0.27272727272727276</v>
      </c>
      <c r="Z73" s="540">
        <v>9.0909090909090912E-2</v>
      </c>
      <c r="AA73" s="540"/>
      <c r="AB73" s="540"/>
      <c r="AC73" s="543">
        <f t="shared" si="10"/>
        <v>1</v>
      </c>
      <c r="AD73" s="538"/>
      <c r="AE73" s="544">
        <f t="shared" si="281"/>
        <v>0</v>
      </c>
      <c r="AF73" s="544">
        <f t="shared" si="282"/>
        <v>0</v>
      </c>
      <c r="AG73" s="544">
        <f t="shared" si="283"/>
        <v>0</v>
      </c>
      <c r="AH73" s="544">
        <f t="shared" si="284"/>
        <v>0</v>
      </c>
      <c r="AI73" s="544">
        <f t="shared" si="285"/>
        <v>0</v>
      </c>
      <c r="AJ73" s="544">
        <f t="shared" si="286"/>
        <v>0</v>
      </c>
      <c r="AK73" s="539">
        <f t="shared" si="287"/>
        <v>0</v>
      </c>
      <c r="AL73" s="539">
        <f t="shared" si="288"/>
        <v>0</v>
      </c>
      <c r="AM73" s="539">
        <f t="shared" si="289"/>
        <v>0</v>
      </c>
      <c r="AN73" s="539">
        <f t="shared" si="290"/>
        <v>0</v>
      </c>
      <c r="AO73" s="539">
        <f t="shared" si="291"/>
        <v>0</v>
      </c>
      <c r="AP73" s="539">
        <f t="shared" si="292"/>
        <v>0</v>
      </c>
      <c r="AQ73" s="539">
        <f t="shared" si="293"/>
        <v>0</v>
      </c>
      <c r="AR73" s="539">
        <f t="shared" si="294"/>
        <v>0</v>
      </c>
      <c r="AS73" s="545">
        <f t="shared" si="295"/>
        <v>0</v>
      </c>
      <c r="AT73" s="545">
        <f t="shared" si="296"/>
        <v>13401.600000000002</v>
      </c>
      <c r="AU73" s="545">
        <f t="shared" si="297"/>
        <v>13401.600000000002</v>
      </c>
      <c r="AV73" s="545">
        <f t="shared" si="298"/>
        <v>20102.400000000005</v>
      </c>
      <c r="AW73" s="545">
        <f t="shared" si="299"/>
        <v>20102.400000000005</v>
      </c>
      <c r="AX73" s="545">
        <f t="shared" si="270"/>
        <v>6700.8</v>
      </c>
      <c r="AY73" s="545">
        <f t="shared" si="271"/>
        <v>0</v>
      </c>
      <c r="AZ73" s="545">
        <f t="shared" si="272"/>
        <v>0</v>
      </c>
      <c r="BA73" s="544"/>
      <c r="BB73" s="544">
        <f t="shared" ref="BB73:BQ82" si="307">IF(BB$3=$F73,$E73,0)</f>
        <v>0</v>
      </c>
      <c r="BC73" s="544">
        <f t="shared" si="307"/>
        <v>0</v>
      </c>
      <c r="BD73" s="539">
        <f t="shared" si="307"/>
        <v>0</v>
      </c>
      <c r="BE73" s="544">
        <f t="shared" si="273"/>
        <v>0</v>
      </c>
      <c r="BF73" s="544">
        <f t="shared" si="307"/>
        <v>0</v>
      </c>
      <c r="BG73" s="544">
        <f t="shared" si="307"/>
        <v>0</v>
      </c>
      <c r="BH73" s="544">
        <f t="shared" si="307"/>
        <v>0</v>
      </c>
      <c r="BI73" s="544">
        <f t="shared" si="307"/>
        <v>0</v>
      </c>
      <c r="BJ73" s="544">
        <f t="shared" si="307"/>
        <v>0</v>
      </c>
      <c r="BK73" s="544">
        <f t="shared" si="307"/>
        <v>0</v>
      </c>
      <c r="BL73" s="544">
        <f t="shared" si="307"/>
        <v>0</v>
      </c>
      <c r="BM73" s="544">
        <f t="shared" si="307"/>
        <v>0</v>
      </c>
      <c r="BN73" s="544">
        <f t="shared" si="307"/>
        <v>0</v>
      </c>
      <c r="BO73" s="544">
        <f t="shared" si="307"/>
        <v>0</v>
      </c>
      <c r="BP73" s="544">
        <v>93600</v>
      </c>
      <c r="BQ73" s="544">
        <f t="shared" si="307"/>
        <v>0</v>
      </c>
      <c r="BR73" s="544">
        <f t="shared" si="305"/>
        <v>0</v>
      </c>
      <c r="BS73" s="544">
        <f t="shared" si="305"/>
        <v>0</v>
      </c>
      <c r="BT73" s="544">
        <v>-19891.2</v>
      </c>
      <c r="BU73" s="544">
        <f t="shared" si="306"/>
        <v>0</v>
      </c>
      <c r="BV73" s="544">
        <f t="shared" si="306"/>
        <v>0</v>
      </c>
      <c r="BW73" s="544">
        <f t="shared" si="306"/>
        <v>0</v>
      </c>
      <c r="BX73" s="546">
        <f t="shared" si="274"/>
        <v>0</v>
      </c>
      <c r="BY73" s="547">
        <f t="shared" si="275"/>
        <v>0</v>
      </c>
      <c r="BZ73" s="547">
        <f t="shared" si="276"/>
        <v>0</v>
      </c>
    </row>
    <row r="74" spans="1:78" s="536" customFormat="1" ht="15" customHeight="1">
      <c r="A74" s="548" t="s">
        <v>129</v>
      </c>
      <c r="B74" s="392" t="s">
        <v>311</v>
      </c>
      <c r="C74" s="537"/>
      <c r="D74" s="538"/>
      <c r="E74" s="539">
        <v>51980.4</v>
      </c>
      <c r="F74" s="538" t="s">
        <v>202</v>
      </c>
      <c r="G74" s="540"/>
      <c r="H74" s="540"/>
      <c r="I74" s="540"/>
      <c r="J74" s="540"/>
      <c r="K74" s="540"/>
      <c r="L74" s="540">
        <v>0</v>
      </c>
      <c r="M74" s="540">
        <v>0</v>
      </c>
      <c r="N74" s="540">
        <v>0</v>
      </c>
      <c r="O74" s="540">
        <v>0</v>
      </c>
      <c r="P74" s="540">
        <v>0</v>
      </c>
      <c r="Q74" s="540">
        <v>0</v>
      </c>
      <c r="R74" s="540">
        <v>0</v>
      </c>
      <c r="S74" s="540">
        <v>0</v>
      </c>
      <c r="T74" s="540">
        <v>0</v>
      </c>
      <c r="U74" s="541">
        <v>0</v>
      </c>
      <c r="V74" s="541">
        <v>0.11111111111111109</v>
      </c>
      <c r="W74" s="541">
        <v>0.33333333333333337</v>
      </c>
      <c r="X74" s="541">
        <v>0.33333333333333337</v>
      </c>
      <c r="Y74" s="541">
        <v>0.11111111111111112</v>
      </c>
      <c r="Z74" s="540">
        <v>0.11111111111111112</v>
      </c>
      <c r="AA74" s="540"/>
      <c r="AB74" s="540"/>
      <c r="AC74" s="543">
        <f t="shared" si="10"/>
        <v>1.0000000000000002</v>
      </c>
      <c r="AD74" s="538"/>
      <c r="AE74" s="544">
        <f t="shared" si="281"/>
        <v>0</v>
      </c>
      <c r="AF74" s="544">
        <f t="shared" si="282"/>
        <v>0</v>
      </c>
      <c r="AG74" s="544">
        <f t="shared" si="283"/>
        <v>0</v>
      </c>
      <c r="AH74" s="544">
        <f t="shared" si="284"/>
        <v>0</v>
      </c>
      <c r="AI74" s="544">
        <f t="shared" si="285"/>
        <v>0</v>
      </c>
      <c r="AJ74" s="544">
        <f t="shared" si="286"/>
        <v>0</v>
      </c>
      <c r="AK74" s="539">
        <f t="shared" si="287"/>
        <v>0</v>
      </c>
      <c r="AL74" s="539">
        <f t="shared" si="288"/>
        <v>0</v>
      </c>
      <c r="AM74" s="539">
        <f t="shared" si="289"/>
        <v>0</v>
      </c>
      <c r="AN74" s="539">
        <f t="shared" si="290"/>
        <v>0</v>
      </c>
      <c r="AO74" s="539">
        <f t="shared" si="291"/>
        <v>0</v>
      </c>
      <c r="AP74" s="539">
        <f t="shared" si="292"/>
        <v>0</v>
      </c>
      <c r="AQ74" s="539">
        <f t="shared" si="293"/>
        <v>0</v>
      </c>
      <c r="AR74" s="539">
        <f t="shared" si="294"/>
        <v>0</v>
      </c>
      <c r="AS74" s="545">
        <f t="shared" si="295"/>
        <v>0</v>
      </c>
      <c r="AT74" s="545">
        <f t="shared" si="296"/>
        <v>5775.5999999999995</v>
      </c>
      <c r="AU74" s="545">
        <f t="shared" si="297"/>
        <v>17326.800000000003</v>
      </c>
      <c r="AV74" s="545">
        <f t="shared" si="298"/>
        <v>17326.800000000003</v>
      </c>
      <c r="AW74" s="545">
        <f t="shared" si="299"/>
        <v>5775.6</v>
      </c>
      <c r="AX74" s="545">
        <f t="shared" si="270"/>
        <v>5775.6</v>
      </c>
      <c r="AY74" s="545">
        <f t="shared" si="271"/>
        <v>0</v>
      </c>
      <c r="AZ74" s="545">
        <f t="shared" si="272"/>
        <v>0</v>
      </c>
      <c r="BA74" s="544"/>
      <c r="BB74" s="544">
        <f t="shared" si="307"/>
        <v>0</v>
      </c>
      <c r="BC74" s="544">
        <f t="shared" si="307"/>
        <v>0</v>
      </c>
      <c r="BD74" s="539">
        <f t="shared" si="307"/>
        <v>0</v>
      </c>
      <c r="BE74" s="544">
        <f t="shared" si="273"/>
        <v>0</v>
      </c>
      <c r="BF74" s="544">
        <f t="shared" si="307"/>
        <v>0</v>
      </c>
      <c r="BG74" s="544">
        <f t="shared" si="307"/>
        <v>0</v>
      </c>
      <c r="BH74" s="544">
        <f t="shared" si="307"/>
        <v>0</v>
      </c>
      <c r="BI74" s="544">
        <f t="shared" si="307"/>
        <v>0</v>
      </c>
      <c r="BJ74" s="544">
        <f t="shared" si="307"/>
        <v>0</v>
      </c>
      <c r="BK74" s="544">
        <f t="shared" si="307"/>
        <v>0</v>
      </c>
      <c r="BL74" s="544">
        <f t="shared" si="307"/>
        <v>0</v>
      </c>
      <c r="BM74" s="544">
        <f t="shared" si="307"/>
        <v>0</v>
      </c>
      <c r="BN74" s="544">
        <f t="shared" si="307"/>
        <v>0</v>
      </c>
      <c r="BO74" s="544">
        <f t="shared" si="307"/>
        <v>0</v>
      </c>
      <c r="BP74" s="545">
        <v>81000</v>
      </c>
      <c r="BQ74" s="545">
        <f t="shared" si="307"/>
        <v>0</v>
      </c>
      <c r="BR74" s="545">
        <f t="shared" si="305"/>
        <v>0</v>
      </c>
      <c r="BS74" s="545">
        <f t="shared" si="305"/>
        <v>0</v>
      </c>
      <c r="BT74" s="545">
        <v>-29019.599999999999</v>
      </c>
      <c r="BU74" s="544">
        <f t="shared" si="306"/>
        <v>0</v>
      </c>
      <c r="BV74" s="544">
        <f t="shared" si="306"/>
        <v>0</v>
      </c>
      <c r="BW74" s="544">
        <f t="shared" si="306"/>
        <v>0</v>
      </c>
      <c r="BX74" s="546">
        <f t="shared" si="274"/>
        <v>0</v>
      </c>
      <c r="BY74" s="547">
        <f t="shared" si="275"/>
        <v>0</v>
      </c>
      <c r="BZ74" s="547">
        <f t="shared" si="276"/>
        <v>0</v>
      </c>
    </row>
    <row r="75" spans="1:78" s="234" customFormat="1" ht="15" customHeight="1">
      <c r="A75" s="392" t="s">
        <v>129</v>
      </c>
      <c r="B75" s="392" t="s">
        <v>282</v>
      </c>
      <c r="C75" s="306"/>
      <c r="D75" s="501"/>
      <c r="E75" s="386">
        <v>20310.54</v>
      </c>
      <c r="F75" s="328" t="s">
        <v>253</v>
      </c>
      <c r="G75" s="329"/>
      <c r="H75" s="329"/>
      <c r="I75" s="329"/>
      <c r="J75" s="329"/>
      <c r="K75" s="329"/>
      <c r="L75" s="329">
        <v>0</v>
      </c>
      <c r="M75" s="329">
        <v>0</v>
      </c>
      <c r="N75" s="329">
        <v>0</v>
      </c>
      <c r="O75" s="329">
        <v>0</v>
      </c>
      <c r="P75" s="329">
        <v>0</v>
      </c>
      <c r="Q75" s="329">
        <v>0</v>
      </c>
      <c r="R75" s="329">
        <v>0</v>
      </c>
      <c r="S75" s="329">
        <v>0</v>
      </c>
      <c r="T75" s="329">
        <v>0</v>
      </c>
      <c r="U75" s="389">
        <v>0</v>
      </c>
      <c r="V75" s="389">
        <v>0</v>
      </c>
      <c r="W75" s="389">
        <v>0.40718562874251496</v>
      </c>
      <c r="X75" s="389">
        <v>0.50299401197604787</v>
      </c>
      <c r="Y75" s="389">
        <v>8.9820359281437126E-2</v>
      </c>
      <c r="Z75" s="329"/>
      <c r="AA75" s="329"/>
      <c r="AB75" s="329"/>
      <c r="AC75" s="426">
        <f t="shared" si="10"/>
        <v>1</v>
      </c>
      <c r="AD75" s="328"/>
      <c r="AE75" s="330">
        <f t="shared" si="281"/>
        <v>0</v>
      </c>
      <c r="AF75" s="330">
        <f t="shared" si="282"/>
        <v>0</v>
      </c>
      <c r="AG75" s="330">
        <f t="shared" si="283"/>
        <v>0</v>
      </c>
      <c r="AH75" s="330">
        <f t="shared" si="284"/>
        <v>0</v>
      </c>
      <c r="AI75" s="330">
        <f t="shared" si="285"/>
        <v>0</v>
      </c>
      <c r="AJ75" s="330">
        <f t="shared" si="286"/>
        <v>0</v>
      </c>
      <c r="AK75" s="386">
        <f t="shared" si="287"/>
        <v>0</v>
      </c>
      <c r="AL75" s="386">
        <f t="shared" si="288"/>
        <v>0</v>
      </c>
      <c r="AM75" s="386">
        <f t="shared" si="289"/>
        <v>0</v>
      </c>
      <c r="AN75" s="386">
        <f t="shared" si="290"/>
        <v>0</v>
      </c>
      <c r="AO75" s="386">
        <f t="shared" si="291"/>
        <v>0</v>
      </c>
      <c r="AP75" s="386">
        <f t="shared" si="292"/>
        <v>0</v>
      </c>
      <c r="AQ75" s="386">
        <f t="shared" si="293"/>
        <v>0</v>
      </c>
      <c r="AR75" s="386">
        <f t="shared" si="294"/>
        <v>0</v>
      </c>
      <c r="AS75" s="326">
        <f t="shared" si="295"/>
        <v>0</v>
      </c>
      <c r="AT75" s="326">
        <f t="shared" si="296"/>
        <v>0</v>
      </c>
      <c r="AU75" s="326">
        <f t="shared" si="297"/>
        <v>8270.16</v>
      </c>
      <c r="AV75" s="326">
        <f t="shared" si="298"/>
        <v>10216.08</v>
      </c>
      <c r="AW75" s="326">
        <f t="shared" si="299"/>
        <v>1824.3000000000002</v>
      </c>
      <c r="AX75" s="326">
        <f t="shared" si="270"/>
        <v>0</v>
      </c>
      <c r="AY75" s="326">
        <f t="shared" si="271"/>
        <v>0</v>
      </c>
      <c r="AZ75" s="326">
        <f t="shared" si="272"/>
        <v>0</v>
      </c>
      <c r="BA75" s="330"/>
      <c r="BB75" s="330">
        <f t="shared" si="307"/>
        <v>0</v>
      </c>
      <c r="BC75" s="330">
        <f t="shared" si="307"/>
        <v>0</v>
      </c>
      <c r="BD75" s="386">
        <f t="shared" si="307"/>
        <v>0</v>
      </c>
      <c r="BE75" s="330">
        <f t="shared" si="273"/>
        <v>0</v>
      </c>
      <c r="BF75" s="330">
        <f t="shared" si="307"/>
        <v>0</v>
      </c>
      <c r="BG75" s="330">
        <f t="shared" si="307"/>
        <v>0</v>
      </c>
      <c r="BH75" s="330">
        <f t="shared" si="307"/>
        <v>0</v>
      </c>
      <c r="BI75" s="330">
        <f t="shared" si="307"/>
        <v>0</v>
      </c>
      <c r="BJ75" s="330">
        <f t="shared" si="307"/>
        <v>0</v>
      </c>
      <c r="BK75" s="330">
        <f t="shared" si="307"/>
        <v>0</v>
      </c>
      <c r="BL75" s="330">
        <f t="shared" si="307"/>
        <v>0</v>
      </c>
      <c r="BM75" s="330">
        <f t="shared" si="307"/>
        <v>0</v>
      </c>
      <c r="BN75" s="330">
        <f t="shared" si="307"/>
        <v>0</v>
      </c>
      <c r="BO75" s="330">
        <f t="shared" si="307"/>
        <v>0</v>
      </c>
      <c r="BP75" s="330">
        <f t="shared" si="307"/>
        <v>0</v>
      </c>
      <c r="BQ75" s="330">
        <v>21060.53</v>
      </c>
      <c r="BR75" s="330">
        <f>IF(BR$3=$F75,$E75,0)</f>
        <v>0</v>
      </c>
      <c r="BS75" s="330">
        <v>-749.99</v>
      </c>
      <c r="BT75" s="330">
        <f>IF(BT$3=$F75,$E75,0)</f>
        <v>0</v>
      </c>
      <c r="BU75" s="330">
        <f t="shared" si="306"/>
        <v>0</v>
      </c>
      <c r="BV75" s="330">
        <f t="shared" si="306"/>
        <v>0</v>
      </c>
      <c r="BW75" s="330">
        <f t="shared" si="306"/>
        <v>0</v>
      </c>
      <c r="BX75" s="351">
        <f t="shared" si="274"/>
        <v>0</v>
      </c>
      <c r="BY75" s="378">
        <f t="shared" si="275"/>
        <v>0</v>
      </c>
      <c r="BZ75" s="378">
        <f t="shared" si="276"/>
        <v>0</v>
      </c>
    </row>
    <row r="76" spans="1:78" s="234" customFormat="1" ht="15" customHeight="1">
      <c r="A76" s="392" t="s">
        <v>129</v>
      </c>
      <c r="B76" s="392" t="s">
        <v>282</v>
      </c>
      <c r="C76" s="306"/>
      <c r="D76" s="501"/>
      <c r="E76" s="386">
        <v>10216.08</v>
      </c>
      <c r="F76" s="328" t="s">
        <v>253</v>
      </c>
      <c r="G76" s="329"/>
      <c r="H76" s="329"/>
      <c r="I76" s="329"/>
      <c r="J76" s="329"/>
      <c r="K76" s="329"/>
      <c r="L76" s="329">
        <v>0</v>
      </c>
      <c r="M76" s="329">
        <v>0</v>
      </c>
      <c r="N76" s="329">
        <v>0</v>
      </c>
      <c r="O76" s="329">
        <v>0</v>
      </c>
      <c r="P76" s="329">
        <v>0</v>
      </c>
      <c r="Q76" s="329">
        <v>0</v>
      </c>
      <c r="R76" s="329">
        <v>0</v>
      </c>
      <c r="S76" s="329">
        <v>0</v>
      </c>
      <c r="T76" s="329">
        <v>0</v>
      </c>
      <c r="U76" s="389">
        <v>0</v>
      </c>
      <c r="V76" s="389">
        <v>0</v>
      </c>
      <c r="W76" s="389">
        <v>0.80952283067477937</v>
      </c>
      <c r="X76" s="389">
        <v>0.19047716932522063</v>
      </c>
      <c r="Y76" s="389">
        <v>0</v>
      </c>
      <c r="Z76" s="329"/>
      <c r="AA76" s="329"/>
      <c r="AB76" s="329"/>
      <c r="AC76" s="426">
        <f t="shared" si="10"/>
        <v>1</v>
      </c>
      <c r="AD76" s="328"/>
      <c r="AE76" s="330">
        <f t="shared" si="281"/>
        <v>0</v>
      </c>
      <c r="AF76" s="330">
        <f t="shared" si="282"/>
        <v>0</v>
      </c>
      <c r="AG76" s="330">
        <f t="shared" si="283"/>
        <v>0</v>
      </c>
      <c r="AH76" s="330">
        <f t="shared" si="284"/>
        <v>0</v>
      </c>
      <c r="AI76" s="330">
        <f t="shared" si="285"/>
        <v>0</v>
      </c>
      <c r="AJ76" s="330">
        <f t="shared" si="286"/>
        <v>0</v>
      </c>
      <c r="AK76" s="386">
        <f t="shared" si="287"/>
        <v>0</v>
      </c>
      <c r="AL76" s="386">
        <f t="shared" si="288"/>
        <v>0</v>
      </c>
      <c r="AM76" s="386">
        <f t="shared" si="289"/>
        <v>0</v>
      </c>
      <c r="AN76" s="386">
        <f t="shared" si="290"/>
        <v>0</v>
      </c>
      <c r="AO76" s="386">
        <f t="shared" si="291"/>
        <v>0</v>
      </c>
      <c r="AP76" s="386">
        <f t="shared" si="292"/>
        <v>0</v>
      </c>
      <c r="AQ76" s="386">
        <f t="shared" si="293"/>
        <v>0</v>
      </c>
      <c r="AR76" s="386">
        <f t="shared" si="294"/>
        <v>0</v>
      </c>
      <c r="AS76" s="326">
        <f t="shared" si="295"/>
        <v>0</v>
      </c>
      <c r="AT76" s="326">
        <f t="shared" si="296"/>
        <v>0</v>
      </c>
      <c r="AU76" s="326">
        <f t="shared" si="297"/>
        <v>8270.15</v>
      </c>
      <c r="AV76" s="326">
        <f t="shared" si="298"/>
        <v>1945.93</v>
      </c>
      <c r="AW76" s="326">
        <f t="shared" si="299"/>
        <v>0</v>
      </c>
      <c r="AX76" s="326">
        <f t="shared" si="270"/>
        <v>0</v>
      </c>
      <c r="AY76" s="326">
        <f t="shared" si="271"/>
        <v>0</v>
      </c>
      <c r="AZ76" s="326">
        <f t="shared" si="272"/>
        <v>0</v>
      </c>
      <c r="BA76" s="330"/>
      <c r="BB76" s="330">
        <f t="shared" si="307"/>
        <v>0</v>
      </c>
      <c r="BC76" s="330">
        <f t="shared" si="307"/>
        <v>0</v>
      </c>
      <c r="BD76" s="386">
        <f t="shared" si="307"/>
        <v>0</v>
      </c>
      <c r="BE76" s="330">
        <f t="shared" si="273"/>
        <v>0</v>
      </c>
      <c r="BF76" s="330">
        <f t="shared" si="307"/>
        <v>0</v>
      </c>
      <c r="BG76" s="330">
        <f t="shared" si="307"/>
        <v>0</v>
      </c>
      <c r="BH76" s="330">
        <f t="shared" si="307"/>
        <v>0</v>
      </c>
      <c r="BI76" s="330">
        <f t="shared" si="307"/>
        <v>0</v>
      </c>
      <c r="BJ76" s="330">
        <f t="shared" si="307"/>
        <v>0</v>
      </c>
      <c r="BK76" s="330">
        <f t="shared" si="307"/>
        <v>0</v>
      </c>
      <c r="BL76" s="330">
        <f t="shared" si="307"/>
        <v>0</v>
      </c>
      <c r="BM76" s="330">
        <f t="shared" si="307"/>
        <v>0</v>
      </c>
      <c r="BN76" s="330">
        <f t="shared" si="307"/>
        <v>0</v>
      </c>
      <c r="BO76" s="330">
        <f t="shared" si="307"/>
        <v>0</v>
      </c>
      <c r="BP76" s="330">
        <f t="shared" si="307"/>
        <v>0</v>
      </c>
      <c r="BQ76" s="326">
        <v>21060.53</v>
      </c>
      <c r="BR76" s="326">
        <v>-10844.45</v>
      </c>
      <c r="BS76" s="330">
        <f>IF(BS$3=$F76,$E76,0)</f>
        <v>0</v>
      </c>
      <c r="BT76" s="330">
        <f>IF(BT$3=$F76,$E76,0)</f>
        <v>0</v>
      </c>
      <c r="BU76" s="330">
        <f t="shared" si="306"/>
        <v>0</v>
      </c>
      <c r="BV76" s="330">
        <f t="shared" si="306"/>
        <v>0</v>
      </c>
      <c r="BW76" s="330">
        <f t="shared" si="306"/>
        <v>0</v>
      </c>
      <c r="BX76" s="351">
        <f t="shared" si="274"/>
        <v>0</v>
      </c>
      <c r="BY76" s="378">
        <f t="shared" si="275"/>
        <v>0</v>
      </c>
      <c r="BZ76" s="378">
        <f t="shared" si="276"/>
        <v>0</v>
      </c>
    </row>
    <row r="77" spans="1:78" s="234" customFormat="1" ht="15" customHeight="1">
      <c r="A77" s="392" t="s">
        <v>129</v>
      </c>
      <c r="B77" s="392" t="s">
        <v>282</v>
      </c>
      <c r="C77" s="306"/>
      <c r="D77" s="328"/>
      <c r="E77" s="386">
        <v>4702.6400000000003</v>
      </c>
      <c r="F77" s="328" t="s">
        <v>244</v>
      </c>
      <c r="G77" s="329"/>
      <c r="H77" s="329"/>
      <c r="I77" s="329"/>
      <c r="J77" s="329"/>
      <c r="K77" s="329"/>
      <c r="L77" s="329">
        <v>0</v>
      </c>
      <c r="M77" s="329">
        <v>0</v>
      </c>
      <c r="N77" s="329">
        <v>0</v>
      </c>
      <c r="O77" s="329">
        <v>0</v>
      </c>
      <c r="P77" s="329">
        <v>0</v>
      </c>
      <c r="Q77" s="329">
        <v>0</v>
      </c>
      <c r="R77" s="329">
        <v>0</v>
      </c>
      <c r="S77" s="329">
        <v>0</v>
      </c>
      <c r="T77" s="329">
        <v>0</v>
      </c>
      <c r="U77" s="389">
        <v>0</v>
      </c>
      <c r="V77" s="389">
        <v>0</v>
      </c>
      <c r="W77" s="389">
        <v>0</v>
      </c>
      <c r="X77" s="389">
        <v>1</v>
      </c>
      <c r="Y77" s="389">
        <v>0</v>
      </c>
      <c r="Z77" s="329"/>
      <c r="AA77" s="329"/>
      <c r="AB77" s="329"/>
      <c r="AC77" s="426">
        <f t="shared" si="10"/>
        <v>1</v>
      </c>
      <c r="AD77" s="328"/>
      <c r="AE77" s="330">
        <f t="shared" si="281"/>
        <v>0</v>
      </c>
      <c r="AF77" s="330">
        <f t="shared" si="282"/>
        <v>0</v>
      </c>
      <c r="AG77" s="330">
        <f t="shared" si="283"/>
        <v>0</v>
      </c>
      <c r="AH77" s="330">
        <f t="shared" si="284"/>
        <v>0</v>
      </c>
      <c r="AI77" s="330">
        <f t="shared" si="285"/>
        <v>0</v>
      </c>
      <c r="AJ77" s="330">
        <f t="shared" si="286"/>
        <v>0</v>
      </c>
      <c r="AK77" s="386">
        <f t="shared" si="287"/>
        <v>0</v>
      </c>
      <c r="AL77" s="386">
        <f t="shared" si="288"/>
        <v>0</v>
      </c>
      <c r="AM77" s="386">
        <f t="shared" si="289"/>
        <v>0</v>
      </c>
      <c r="AN77" s="386">
        <f t="shared" si="290"/>
        <v>0</v>
      </c>
      <c r="AO77" s="386">
        <f t="shared" si="291"/>
        <v>0</v>
      </c>
      <c r="AP77" s="386">
        <f t="shared" si="292"/>
        <v>0</v>
      </c>
      <c r="AQ77" s="386">
        <f t="shared" si="293"/>
        <v>0</v>
      </c>
      <c r="AR77" s="386">
        <f t="shared" si="294"/>
        <v>0</v>
      </c>
      <c r="AS77" s="326">
        <f t="shared" si="295"/>
        <v>0</v>
      </c>
      <c r="AT77" s="326">
        <f t="shared" si="296"/>
        <v>0</v>
      </c>
      <c r="AU77" s="326">
        <f t="shared" si="297"/>
        <v>0</v>
      </c>
      <c r="AV77" s="326">
        <f t="shared" si="298"/>
        <v>4702.6400000000003</v>
      </c>
      <c r="AW77" s="326">
        <f t="shared" si="299"/>
        <v>0</v>
      </c>
      <c r="AX77" s="326">
        <f t="shared" si="270"/>
        <v>0</v>
      </c>
      <c r="AY77" s="326">
        <f t="shared" si="271"/>
        <v>0</v>
      </c>
      <c r="AZ77" s="326">
        <f t="shared" si="272"/>
        <v>0</v>
      </c>
      <c r="BA77" s="330"/>
      <c r="BB77" s="330">
        <f t="shared" si="307"/>
        <v>0</v>
      </c>
      <c r="BC77" s="330">
        <f t="shared" si="307"/>
        <v>0</v>
      </c>
      <c r="BD77" s="386">
        <f t="shared" si="307"/>
        <v>0</v>
      </c>
      <c r="BE77" s="330">
        <f t="shared" si="273"/>
        <v>0</v>
      </c>
      <c r="BF77" s="330">
        <f t="shared" si="307"/>
        <v>0</v>
      </c>
      <c r="BG77" s="330">
        <f t="shared" si="307"/>
        <v>0</v>
      </c>
      <c r="BH77" s="330">
        <f t="shared" si="307"/>
        <v>0</v>
      </c>
      <c r="BI77" s="330">
        <f t="shared" si="307"/>
        <v>0</v>
      </c>
      <c r="BJ77" s="330">
        <f t="shared" si="307"/>
        <v>0</v>
      </c>
      <c r="BK77" s="330">
        <f t="shared" si="307"/>
        <v>0</v>
      </c>
      <c r="BL77" s="330">
        <f t="shared" si="307"/>
        <v>0</v>
      </c>
      <c r="BM77" s="330">
        <f t="shared" si="307"/>
        <v>0</v>
      </c>
      <c r="BN77" s="330">
        <f t="shared" si="307"/>
        <v>0</v>
      </c>
      <c r="BO77" s="330">
        <f t="shared" si="307"/>
        <v>0</v>
      </c>
      <c r="BP77" s="330">
        <f t="shared" si="307"/>
        <v>0</v>
      </c>
      <c r="BQ77" s="330">
        <f t="shared" si="240"/>
        <v>0</v>
      </c>
      <c r="BR77" s="330">
        <f>IF(BR$3=$F77,$E77,0)</f>
        <v>4702.6400000000003</v>
      </c>
      <c r="BS77" s="330">
        <f>IF(BS$3=$F77,$E77,0)</f>
        <v>0</v>
      </c>
      <c r="BT77" s="330">
        <f>IF(BT$3=$F77,$E77,0)</f>
        <v>0</v>
      </c>
      <c r="BU77" s="330">
        <f t="shared" si="306"/>
        <v>0</v>
      </c>
      <c r="BV77" s="330">
        <f t="shared" si="306"/>
        <v>0</v>
      </c>
      <c r="BW77" s="330">
        <f t="shared" si="306"/>
        <v>0</v>
      </c>
      <c r="BX77" s="351">
        <f t="shared" si="274"/>
        <v>0</v>
      </c>
      <c r="BY77" s="378">
        <f t="shared" si="275"/>
        <v>0</v>
      </c>
      <c r="BZ77" s="378">
        <f t="shared" si="276"/>
        <v>0</v>
      </c>
    </row>
    <row r="78" spans="1:78" s="234" customFormat="1" ht="15" customHeight="1">
      <c r="A78" s="392" t="s">
        <v>129</v>
      </c>
      <c r="B78" s="392" t="s">
        <v>282</v>
      </c>
      <c r="C78" s="306"/>
      <c r="D78" s="328"/>
      <c r="E78" s="386">
        <v>12324.16</v>
      </c>
      <c r="F78" s="328" t="s">
        <v>245</v>
      </c>
      <c r="G78" s="329"/>
      <c r="H78" s="329"/>
      <c r="I78" s="329"/>
      <c r="J78" s="329"/>
      <c r="K78" s="329"/>
      <c r="L78" s="329">
        <v>0</v>
      </c>
      <c r="M78" s="329">
        <v>0</v>
      </c>
      <c r="N78" s="329">
        <v>0</v>
      </c>
      <c r="O78" s="329">
        <v>0</v>
      </c>
      <c r="P78" s="329">
        <v>0</v>
      </c>
      <c r="Q78" s="329">
        <v>0</v>
      </c>
      <c r="R78" s="329">
        <v>0</v>
      </c>
      <c r="S78" s="329">
        <v>0</v>
      </c>
      <c r="T78" s="329">
        <v>0</v>
      </c>
      <c r="U78" s="389">
        <v>0</v>
      </c>
      <c r="V78" s="389">
        <v>0</v>
      </c>
      <c r="W78" s="389">
        <v>0</v>
      </c>
      <c r="X78" s="389">
        <v>0.14473684210526314</v>
      </c>
      <c r="Y78" s="389">
        <v>0.85526315789473684</v>
      </c>
      <c r="Z78" s="329"/>
      <c r="AA78" s="329"/>
      <c r="AB78" s="329"/>
      <c r="AC78" s="426">
        <f t="shared" si="10"/>
        <v>1</v>
      </c>
      <c r="AD78" s="328"/>
      <c r="AE78" s="330">
        <f t="shared" si="281"/>
        <v>0</v>
      </c>
      <c r="AF78" s="330">
        <f t="shared" si="282"/>
        <v>0</v>
      </c>
      <c r="AG78" s="330">
        <f t="shared" si="283"/>
        <v>0</v>
      </c>
      <c r="AH78" s="330">
        <f t="shared" si="284"/>
        <v>0</v>
      </c>
      <c r="AI78" s="330">
        <f t="shared" si="285"/>
        <v>0</v>
      </c>
      <c r="AJ78" s="330">
        <f t="shared" si="286"/>
        <v>0</v>
      </c>
      <c r="AK78" s="386">
        <f t="shared" si="287"/>
        <v>0</v>
      </c>
      <c r="AL78" s="386">
        <f t="shared" si="288"/>
        <v>0</v>
      </c>
      <c r="AM78" s="386">
        <f t="shared" si="289"/>
        <v>0</v>
      </c>
      <c r="AN78" s="386">
        <f t="shared" si="290"/>
        <v>0</v>
      </c>
      <c r="AO78" s="386">
        <f t="shared" si="291"/>
        <v>0</v>
      </c>
      <c r="AP78" s="386">
        <f t="shared" si="292"/>
        <v>0</v>
      </c>
      <c r="AQ78" s="386">
        <f t="shared" si="293"/>
        <v>0</v>
      </c>
      <c r="AR78" s="386">
        <f t="shared" si="294"/>
        <v>0</v>
      </c>
      <c r="AS78" s="326">
        <f t="shared" si="295"/>
        <v>0</v>
      </c>
      <c r="AT78" s="326">
        <f t="shared" si="296"/>
        <v>0</v>
      </c>
      <c r="AU78" s="326">
        <f t="shared" si="297"/>
        <v>0</v>
      </c>
      <c r="AV78" s="326">
        <f t="shared" si="298"/>
        <v>1783.7599999999998</v>
      </c>
      <c r="AW78" s="326">
        <f t="shared" si="299"/>
        <v>10540.4</v>
      </c>
      <c r="AX78" s="326">
        <f t="shared" si="270"/>
        <v>0</v>
      </c>
      <c r="AY78" s="326">
        <f t="shared" si="271"/>
        <v>0</v>
      </c>
      <c r="AZ78" s="326">
        <f t="shared" si="272"/>
        <v>0</v>
      </c>
      <c r="BA78" s="330"/>
      <c r="BB78" s="330">
        <f t="shared" si="307"/>
        <v>0</v>
      </c>
      <c r="BC78" s="330">
        <f t="shared" si="307"/>
        <v>0</v>
      </c>
      <c r="BD78" s="386">
        <f t="shared" si="307"/>
        <v>0</v>
      </c>
      <c r="BE78" s="330">
        <f t="shared" si="273"/>
        <v>0</v>
      </c>
      <c r="BF78" s="330">
        <f t="shared" si="307"/>
        <v>0</v>
      </c>
      <c r="BG78" s="330">
        <f t="shared" si="307"/>
        <v>0</v>
      </c>
      <c r="BH78" s="330">
        <f t="shared" si="307"/>
        <v>0</v>
      </c>
      <c r="BI78" s="330">
        <f t="shared" si="307"/>
        <v>0</v>
      </c>
      <c r="BJ78" s="330">
        <f t="shared" si="307"/>
        <v>0</v>
      </c>
      <c r="BK78" s="330">
        <f t="shared" si="307"/>
        <v>0</v>
      </c>
      <c r="BL78" s="330">
        <f t="shared" si="307"/>
        <v>0</v>
      </c>
      <c r="BM78" s="330">
        <f t="shared" si="307"/>
        <v>0</v>
      </c>
      <c r="BN78" s="330">
        <f t="shared" si="307"/>
        <v>0</v>
      </c>
      <c r="BO78" s="330">
        <f t="shared" si="307"/>
        <v>0</v>
      </c>
      <c r="BP78" s="330">
        <f t="shared" si="307"/>
        <v>0</v>
      </c>
      <c r="BQ78" s="330">
        <f t="shared" si="240"/>
        <v>0</v>
      </c>
      <c r="BR78" s="330">
        <f>IF(BR$3=$F78,$E78,0)</f>
        <v>0</v>
      </c>
      <c r="BS78" s="330">
        <v>13134.96</v>
      </c>
      <c r="BT78" s="330">
        <v>-810.8</v>
      </c>
      <c r="BU78" s="330">
        <f t="shared" si="306"/>
        <v>0</v>
      </c>
      <c r="BV78" s="330">
        <f t="shared" si="306"/>
        <v>0</v>
      </c>
      <c r="BW78" s="330">
        <f t="shared" si="306"/>
        <v>0</v>
      </c>
      <c r="BX78" s="351">
        <f t="shared" si="274"/>
        <v>0</v>
      </c>
      <c r="BY78" s="378">
        <f t="shared" si="275"/>
        <v>0</v>
      </c>
      <c r="BZ78" s="378">
        <f t="shared" si="276"/>
        <v>0</v>
      </c>
    </row>
    <row r="79" spans="1:78" s="234" customFormat="1" ht="15" customHeight="1">
      <c r="A79" s="392" t="s">
        <v>129</v>
      </c>
      <c r="B79" s="392" t="s">
        <v>284</v>
      </c>
      <c r="C79" s="306"/>
      <c r="D79" s="328"/>
      <c r="E79" s="386">
        <v>16281.4</v>
      </c>
      <c r="F79" s="328" t="s">
        <v>244</v>
      </c>
      <c r="G79" s="329"/>
      <c r="H79" s="329"/>
      <c r="I79" s="329"/>
      <c r="J79" s="329"/>
      <c r="K79" s="329"/>
      <c r="L79" s="329">
        <v>0</v>
      </c>
      <c r="M79" s="329">
        <v>0</v>
      </c>
      <c r="N79" s="329">
        <v>0</v>
      </c>
      <c r="O79" s="329">
        <v>0</v>
      </c>
      <c r="P79" s="329">
        <v>0</v>
      </c>
      <c r="Q79" s="329">
        <v>0</v>
      </c>
      <c r="R79" s="329">
        <v>0</v>
      </c>
      <c r="S79" s="329">
        <v>0</v>
      </c>
      <c r="T79" s="329">
        <v>0</v>
      </c>
      <c r="U79" s="389">
        <v>0</v>
      </c>
      <c r="V79" s="389">
        <v>0</v>
      </c>
      <c r="W79" s="389">
        <v>0.17165354330708663</v>
      </c>
      <c r="X79" s="389">
        <v>0.63464566929133859</v>
      </c>
      <c r="Y79" s="389">
        <v>0.19370078740157479</v>
      </c>
      <c r="Z79" s="329"/>
      <c r="AA79" s="329"/>
      <c r="AB79" s="329"/>
      <c r="AC79" s="426">
        <f t="shared" ref="AC79:AC158" si="308">SUM(G79:AB79)</f>
        <v>1</v>
      </c>
      <c r="AD79" s="328"/>
      <c r="AE79" s="330">
        <f t="shared" si="281"/>
        <v>0</v>
      </c>
      <c r="AF79" s="330">
        <f t="shared" si="282"/>
        <v>0</v>
      </c>
      <c r="AG79" s="330">
        <f t="shared" si="283"/>
        <v>0</v>
      </c>
      <c r="AH79" s="330">
        <f t="shared" si="284"/>
        <v>0</v>
      </c>
      <c r="AI79" s="330">
        <f t="shared" si="285"/>
        <v>0</v>
      </c>
      <c r="AJ79" s="330">
        <f t="shared" si="286"/>
        <v>0</v>
      </c>
      <c r="AK79" s="386">
        <f t="shared" si="287"/>
        <v>0</v>
      </c>
      <c r="AL79" s="386">
        <f t="shared" si="288"/>
        <v>0</v>
      </c>
      <c r="AM79" s="386">
        <f t="shared" si="289"/>
        <v>0</v>
      </c>
      <c r="AN79" s="386">
        <f t="shared" si="290"/>
        <v>0</v>
      </c>
      <c r="AO79" s="386">
        <f t="shared" si="291"/>
        <v>0</v>
      </c>
      <c r="AP79" s="386">
        <f t="shared" si="292"/>
        <v>0</v>
      </c>
      <c r="AQ79" s="386">
        <f t="shared" si="293"/>
        <v>0</v>
      </c>
      <c r="AR79" s="386">
        <f t="shared" si="294"/>
        <v>0</v>
      </c>
      <c r="AS79" s="326">
        <f t="shared" si="295"/>
        <v>0</v>
      </c>
      <c r="AT79" s="326">
        <f t="shared" si="296"/>
        <v>0</v>
      </c>
      <c r="AU79" s="326">
        <f t="shared" si="297"/>
        <v>2794.76</v>
      </c>
      <c r="AV79" s="326">
        <f t="shared" si="298"/>
        <v>10332.92</v>
      </c>
      <c r="AW79" s="326">
        <v>3153.72</v>
      </c>
      <c r="AX79" s="326">
        <f t="shared" si="270"/>
        <v>0</v>
      </c>
      <c r="AY79" s="326">
        <f t="shared" si="271"/>
        <v>0</v>
      </c>
      <c r="AZ79" s="326">
        <f t="shared" si="272"/>
        <v>0</v>
      </c>
      <c r="BA79" s="330"/>
      <c r="BB79" s="330">
        <f t="shared" si="307"/>
        <v>0</v>
      </c>
      <c r="BC79" s="330">
        <f t="shared" si="307"/>
        <v>0</v>
      </c>
      <c r="BD79" s="386">
        <f t="shared" si="307"/>
        <v>0</v>
      </c>
      <c r="BE79" s="330">
        <f t="shared" si="273"/>
        <v>0</v>
      </c>
      <c r="BF79" s="330">
        <f t="shared" si="307"/>
        <v>0</v>
      </c>
      <c r="BG79" s="330">
        <f t="shared" si="307"/>
        <v>0</v>
      </c>
      <c r="BH79" s="330">
        <f t="shared" si="307"/>
        <v>0</v>
      </c>
      <c r="BI79" s="330">
        <f t="shared" si="307"/>
        <v>0</v>
      </c>
      <c r="BJ79" s="330">
        <f t="shared" si="307"/>
        <v>0</v>
      </c>
      <c r="BK79" s="330">
        <f t="shared" si="307"/>
        <v>0</v>
      </c>
      <c r="BL79" s="330">
        <f t="shared" si="307"/>
        <v>0</v>
      </c>
      <c r="BM79" s="330">
        <f t="shared" si="307"/>
        <v>0</v>
      </c>
      <c r="BN79" s="330">
        <f t="shared" si="307"/>
        <v>0</v>
      </c>
      <c r="BO79" s="330">
        <f t="shared" si="307"/>
        <v>0</v>
      </c>
      <c r="BP79" s="330">
        <f t="shared" si="307"/>
        <v>0</v>
      </c>
      <c r="BQ79" s="330">
        <f t="shared" si="307"/>
        <v>0</v>
      </c>
      <c r="BR79" s="326">
        <v>21332.48</v>
      </c>
      <c r="BS79" s="330">
        <f>IF(BS$3=$F79,$E79,0)</f>
        <v>0</v>
      </c>
      <c r="BT79" s="326">
        <v>-5051.08</v>
      </c>
      <c r="BU79" s="330">
        <f t="shared" si="306"/>
        <v>0</v>
      </c>
      <c r="BV79" s="330">
        <f t="shared" si="306"/>
        <v>0</v>
      </c>
      <c r="BW79" s="330">
        <f t="shared" si="306"/>
        <v>0</v>
      </c>
      <c r="BX79" s="351">
        <f t="shared" si="274"/>
        <v>0</v>
      </c>
      <c r="BY79" s="378">
        <f t="shared" si="275"/>
        <v>0</v>
      </c>
      <c r="BZ79" s="378">
        <f t="shared" si="276"/>
        <v>0</v>
      </c>
    </row>
    <row r="80" spans="1:78" s="234" customFormat="1" ht="15" customHeight="1">
      <c r="A80" s="392" t="s">
        <v>129</v>
      </c>
      <c r="B80" s="392"/>
      <c r="C80" s="306"/>
      <c r="D80" s="328"/>
      <c r="E80" s="386">
        <v>36600</v>
      </c>
      <c r="F80" s="328" t="s">
        <v>244</v>
      </c>
      <c r="G80" s="329"/>
      <c r="H80" s="329"/>
      <c r="I80" s="329"/>
      <c r="J80" s="329"/>
      <c r="K80" s="329"/>
      <c r="L80" s="329">
        <v>0</v>
      </c>
      <c r="M80" s="329">
        <v>0</v>
      </c>
      <c r="N80" s="329">
        <v>0</v>
      </c>
      <c r="O80" s="329">
        <v>0</v>
      </c>
      <c r="P80" s="329">
        <v>0</v>
      </c>
      <c r="Q80" s="329">
        <v>0</v>
      </c>
      <c r="R80" s="329">
        <v>0</v>
      </c>
      <c r="S80" s="329">
        <v>0</v>
      </c>
      <c r="T80" s="329">
        <v>0</v>
      </c>
      <c r="U80" s="389">
        <v>0</v>
      </c>
      <c r="V80" s="389">
        <v>0</v>
      </c>
      <c r="W80" s="389">
        <v>0</v>
      </c>
      <c r="X80" s="389">
        <v>0.60655737704918034</v>
      </c>
      <c r="Y80" s="389">
        <v>0.39344262295081966</v>
      </c>
      <c r="Z80" s="329"/>
      <c r="AA80" s="329"/>
      <c r="AB80" s="329"/>
      <c r="AC80" s="426">
        <f t="shared" si="308"/>
        <v>1</v>
      </c>
      <c r="AD80" s="328"/>
      <c r="AE80" s="330">
        <f t="shared" si="281"/>
        <v>0</v>
      </c>
      <c r="AF80" s="330">
        <f t="shared" si="282"/>
        <v>0</v>
      </c>
      <c r="AG80" s="330">
        <f t="shared" si="283"/>
        <v>0</v>
      </c>
      <c r="AH80" s="330">
        <f t="shared" si="284"/>
        <v>0</v>
      </c>
      <c r="AI80" s="330">
        <f t="shared" si="285"/>
        <v>0</v>
      </c>
      <c r="AJ80" s="330">
        <f t="shared" si="286"/>
        <v>0</v>
      </c>
      <c r="AK80" s="386">
        <f t="shared" si="287"/>
        <v>0</v>
      </c>
      <c r="AL80" s="386">
        <f t="shared" si="288"/>
        <v>0</v>
      </c>
      <c r="AM80" s="386">
        <f t="shared" si="289"/>
        <v>0</v>
      </c>
      <c r="AN80" s="386">
        <f t="shared" si="290"/>
        <v>0</v>
      </c>
      <c r="AO80" s="386">
        <f t="shared" si="291"/>
        <v>0</v>
      </c>
      <c r="AP80" s="386">
        <f t="shared" si="292"/>
        <v>0</v>
      </c>
      <c r="AQ80" s="386">
        <f t="shared" si="293"/>
        <v>0</v>
      </c>
      <c r="AR80" s="386">
        <f t="shared" si="294"/>
        <v>0</v>
      </c>
      <c r="AS80" s="326">
        <f t="shared" si="295"/>
        <v>0</v>
      </c>
      <c r="AT80" s="326">
        <f t="shared" si="296"/>
        <v>0</v>
      </c>
      <c r="AU80" s="326">
        <f t="shared" si="297"/>
        <v>0</v>
      </c>
      <c r="AV80" s="326">
        <f t="shared" si="298"/>
        <v>22200</v>
      </c>
      <c r="AW80" s="326">
        <f t="shared" si="299"/>
        <v>14400</v>
      </c>
      <c r="AX80" s="326">
        <f t="shared" si="270"/>
        <v>0</v>
      </c>
      <c r="AY80" s="326">
        <f t="shared" si="271"/>
        <v>0</v>
      </c>
      <c r="AZ80" s="326">
        <f t="shared" si="272"/>
        <v>0</v>
      </c>
      <c r="BA80" s="330"/>
      <c r="BB80" s="330">
        <f t="shared" si="307"/>
        <v>0</v>
      </c>
      <c r="BC80" s="330">
        <f t="shared" si="307"/>
        <v>0</v>
      </c>
      <c r="BD80" s="386">
        <f t="shared" si="307"/>
        <v>0</v>
      </c>
      <c r="BE80" s="330">
        <f t="shared" si="273"/>
        <v>0</v>
      </c>
      <c r="BF80" s="330">
        <f t="shared" si="307"/>
        <v>0</v>
      </c>
      <c r="BG80" s="330">
        <f t="shared" si="307"/>
        <v>0</v>
      </c>
      <c r="BH80" s="330">
        <f t="shared" si="307"/>
        <v>0</v>
      </c>
      <c r="BI80" s="330">
        <f t="shared" si="307"/>
        <v>0</v>
      </c>
      <c r="BJ80" s="330">
        <f t="shared" si="307"/>
        <v>0</v>
      </c>
      <c r="BK80" s="330">
        <f t="shared" si="307"/>
        <v>0</v>
      </c>
      <c r="BL80" s="330">
        <f t="shared" si="307"/>
        <v>0</v>
      </c>
      <c r="BM80" s="330">
        <f t="shared" si="307"/>
        <v>0</v>
      </c>
      <c r="BN80" s="330">
        <f t="shared" si="307"/>
        <v>0</v>
      </c>
      <c r="BO80" s="330">
        <f t="shared" si="307"/>
        <v>0</v>
      </c>
      <c r="BP80" s="330">
        <f t="shared" si="307"/>
        <v>0</v>
      </c>
      <c r="BQ80" s="330">
        <f t="shared" si="240"/>
        <v>0</v>
      </c>
      <c r="BR80" s="330">
        <v>50000</v>
      </c>
      <c r="BS80" s="330">
        <v>-13400</v>
      </c>
      <c r="BT80" s="330">
        <v>0</v>
      </c>
      <c r="BU80" s="330">
        <f t="shared" si="306"/>
        <v>0</v>
      </c>
      <c r="BV80" s="330">
        <f t="shared" si="306"/>
        <v>0</v>
      </c>
      <c r="BW80" s="330">
        <f t="shared" si="306"/>
        <v>0</v>
      </c>
      <c r="BX80" s="351">
        <f t="shared" si="274"/>
        <v>0</v>
      </c>
      <c r="BY80" s="378">
        <f t="shared" si="275"/>
        <v>0</v>
      </c>
      <c r="BZ80" s="378">
        <f t="shared" si="276"/>
        <v>0</v>
      </c>
    </row>
    <row r="81" spans="1:80" s="234" customFormat="1" ht="15" customHeight="1">
      <c r="A81" s="392" t="s">
        <v>129</v>
      </c>
      <c r="B81" s="392"/>
      <c r="C81" s="306"/>
      <c r="D81" s="328"/>
      <c r="E81" s="386">
        <v>14400</v>
      </c>
      <c r="F81" s="328" t="s">
        <v>245</v>
      </c>
      <c r="G81" s="329"/>
      <c r="H81" s="329"/>
      <c r="I81" s="329"/>
      <c r="J81" s="329"/>
      <c r="K81" s="329"/>
      <c r="L81" s="329">
        <v>0</v>
      </c>
      <c r="M81" s="329">
        <v>0</v>
      </c>
      <c r="N81" s="329">
        <v>0</v>
      </c>
      <c r="O81" s="329">
        <v>0</v>
      </c>
      <c r="P81" s="329">
        <v>0</v>
      </c>
      <c r="Q81" s="329">
        <v>0</v>
      </c>
      <c r="R81" s="329">
        <v>0</v>
      </c>
      <c r="S81" s="329">
        <v>0</v>
      </c>
      <c r="T81" s="329">
        <v>0</v>
      </c>
      <c r="U81" s="389">
        <v>0</v>
      </c>
      <c r="V81" s="389">
        <v>0</v>
      </c>
      <c r="W81" s="389">
        <v>0</v>
      </c>
      <c r="X81" s="389">
        <v>0</v>
      </c>
      <c r="Y81" s="389">
        <v>1</v>
      </c>
      <c r="Z81" s="329"/>
      <c r="AA81" s="329"/>
      <c r="AB81" s="329"/>
      <c r="AC81" s="426">
        <f t="shared" si="308"/>
        <v>1</v>
      </c>
      <c r="AD81" s="328"/>
      <c r="AE81" s="330">
        <f t="shared" si="281"/>
        <v>0</v>
      </c>
      <c r="AF81" s="330">
        <f t="shared" si="282"/>
        <v>0</v>
      </c>
      <c r="AG81" s="330">
        <f t="shared" si="283"/>
        <v>0</v>
      </c>
      <c r="AH81" s="330">
        <f t="shared" si="284"/>
        <v>0</v>
      </c>
      <c r="AI81" s="330">
        <f t="shared" si="285"/>
        <v>0</v>
      </c>
      <c r="AJ81" s="330">
        <f t="shared" si="286"/>
        <v>0</v>
      </c>
      <c r="AK81" s="386">
        <f t="shared" si="287"/>
        <v>0</v>
      </c>
      <c r="AL81" s="386">
        <f t="shared" si="288"/>
        <v>0</v>
      </c>
      <c r="AM81" s="386">
        <f t="shared" si="289"/>
        <v>0</v>
      </c>
      <c r="AN81" s="386">
        <f t="shared" si="290"/>
        <v>0</v>
      </c>
      <c r="AO81" s="386">
        <f t="shared" si="291"/>
        <v>0</v>
      </c>
      <c r="AP81" s="386">
        <f t="shared" si="292"/>
        <v>0</v>
      </c>
      <c r="AQ81" s="386">
        <f t="shared" si="293"/>
        <v>0</v>
      </c>
      <c r="AR81" s="386">
        <f t="shared" si="294"/>
        <v>0</v>
      </c>
      <c r="AS81" s="326">
        <f t="shared" si="295"/>
        <v>0</v>
      </c>
      <c r="AT81" s="326">
        <f t="shared" si="296"/>
        <v>0</v>
      </c>
      <c r="AU81" s="326">
        <f t="shared" si="297"/>
        <v>0</v>
      </c>
      <c r="AV81" s="326">
        <f t="shared" si="298"/>
        <v>0</v>
      </c>
      <c r="AW81" s="326">
        <f t="shared" si="299"/>
        <v>14400</v>
      </c>
      <c r="AX81" s="326">
        <f t="shared" si="270"/>
        <v>0</v>
      </c>
      <c r="AY81" s="326">
        <f t="shared" si="271"/>
        <v>0</v>
      </c>
      <c r="AZ81" s="326">
        <f t="shared" si="272"/>
        <v>0</v>
      </c>
      <c r="BA81" s="330"/>
      <c r="BB81" s="330">
        <f t="shared" si="307"/>
        <v>0</v>
      </c>
      <c r="BC81" s="330">
        <f t="shared" si="307"/>
        <v>0</v>
      </c>
      <c r="BD81" s="386">
        <f t="shared" si="307"/>
        <v>0</v>
      </c>
      <c r="BE81" s="330">
        <f t="shared" si="273"/>
        <v>0</v>
      </c>
      <c r="BF81" s="330">
        <f t="shared" si="307"/>
        <v>0</v>
      </c>
      <c r="BG81" s="330">
        <f t="shared" si="307"/>
        <v>0</v>
      </c>
      <c r="BH81" s="330">
        <f t="shared" si="307"/>
        <v>0</v>
      </c>
      <c r="BI81" s="330">
        <f t="shared" si="307"/>
        <v>0</v>
      </c>
      <c r="BJ81" s="330">
        <f t="shared" si="307"/>
        <v>0</v>
      </c>
      <c r="BK81" s="330">
        <f t="shared" si="307"/>
        <v>0</v>
      </c>
      <c r="BL81" s="330">
        <f t="shared" si="307"/>
        <v>0</v>
      </c>
      <c r="BM81" s="330">
        <f t="shared" si="307"/>
        <v>0</v>
      </c>
      <c r="BN81" s="330">
        <f t="shared" si="307"/>
        <v>0</v>
      </c>
      <c r="BO81" s="330">
        <f t="shared" si="307"/>
        <v>0</v>
      </c>
      <c r="BP81" s="330">
        <f t="shared" si="307"/>
        <v>0</v>
      </c>
      <c r="BQ81" s="330">
        <f t="shared" si="240"/>
        <v>0</v>
      </c>
      <c r="BR81" s="330">
        <f t="shared" si="240"/>
        <v>0</v>
      </c>
      <c r="BS81" s="330">
        <f>IF(BS$3=$F81,$E81,0)</f>
        <v>14400</v>
      </c>
      <c r="BT81" s="330">
        <f t="shared" si="240"/>
        <v>0</v>
      </c>
      <c r="BU81" s="330">
        <f t="shared" si="306"/>
        <v>0</v>
      </c>
      <c r="BV81" s="330">
        <f t="shared" si="306"/>
        <v>0</v>
      </c>
      <c r="BW81" s="330">
        <f t="shared" si="306"/>
        <v>0</v>
      </c>
      <c r="BX81" s="351">
        <f t="shared" si="274"/>
        <v>0</v>
      </c>
      <c r="BY81" s="378">
        <f t="shared" si="275"/>
        <v>0</v>
      </c>
      <c r="BZ81" s="378">
        <f t="shared" si="276"/>
        <v>0</v>
      </c>
    </row>
    <row r="82" spans="1:80" s="234" customFormat="1" ht="15" customHeight="1">
      <c r="A82" s="392" t="s">
        <v>129</v>
      </c>
      <c r="B82" s="392"/>
      <c r="C82" s="306"/>
      <c r="D82" s="328"/>
      <c r="E82" s="386">
        <v>0</v>
      </c>
      <c r="F82" s="328" t="s">
        <v>250</v>
      </c>
      <c r="G82" s="329"/>
      <c r="H82" s="329"/>
      <c r="I82" s="329"/>
      <c r="J82" s="329"/>
      <c r="K82" s="329"/>
      <c r="L82" s="329">
        <v>0</v>
      </c>
      <c r="M82" s="329">
        <v>0</v>
      </c>
      <c r="N82" s="329">
        <v>0</v>
      </c>
      <c r="O82" s="329">
        <v>0</v>
      </c>
      <c r="P82" s="329">
        <v>0</v>
      </c>
      <c r="Q82" s="329">
        <v>0</v>
      </c>
      <c r="R82" s="329">
        <v>0</v>
      </c>
      <c r="S82" s="329">
        <v>0</v>
      </c>
      <c r="T82" s="329">
        <v>0</v>
      </c>
      <c r="U82" s="389">
        <v>0</v>
      </c>
      <c r="V82" s="389">
        <v>0</v>
      </c>
      <c r="W82" s="389">
        <v>0</v>
      </c>
      <c r="X82" s="389">
        <v>0</v>
      </c>
      <c r="Y82" s="389">
        <v>1</v>
      </c>
      <c r="Z82" s="329">
        <v>0</v>
      </c>
      <c r="AA82" s="329"/>
      <c r="AB82" s="329"/>
      <c r="AC82" s="426">
        <f t="shared" si="308"/>
        <v>1</v>
      </c>
      <c r="AD82" s="328"/>
      <c r="AE82" s="330">
        <f t="shared" si="281"/>
        <v>0</v>
      </c>
      <c r="AF82" s="330">
        <f t="shared" si="282"/>
        <v>0</v>
      </c>
      <c r="AG82" s="330">
        <f t="shared" si="283"/>
        <v>0</v>
      </c>
      <c r="AH82" s="330">
        <f t="shared" si="284"/>
        <v>0</v>
      </c>
      <c r="AI82" s="330">
        <f t="shared" si="285"/>
        <v>0</v>
      </c>
      <c r="AJ82" s="330">
        <f t="shared" si="286"/>
        <v>0</v>
      </c>
      <c r="AK82" s="386">
        <f t="shared" si="287"/>
        <v>0</v>
      </c>
      <c r="AL82" s="386">
        <f t="shared" si="288"/>
        <v>0</v>
      </c>
      <c r="AM82" s="386">
        <f t="shared" si="289"/>
        <v>0</v>
      </c>
      <c r="AN82" s="386">
        <f t="shared" si="290"/>
        <v>0</v>
      </c>
      <c r="AO82" s="386">
        <f t="shared" si="291"/>
        <v>0</v>
      </c>
      <c r="AP82" s="386">
        <f t="shared" si="292"/>
        <v>0</v>
      </c>
      <c r="AQ82" s="386">
        <f t="shared" si="293"/>
        <v>0</v>
      </c>
      <c r="AR82" s="386">
        <f t="shared" si="294"/>
        <v>0</v>
      </c>
      <c r="AS82" s="326">
        <f t="shared" si="295"/>
        <v>0</v>
      </c>
      <c r="AT82" s="326">
        <f t="shared" si="296"/>
        <v>0</v>
      </c>
      <c r="AU82" s="326">
        <f t="shared" si="297"/>
        <v>0</v>
      </c>
      <c r="AV82" s="326">
        <f t="shared" si="298"/>
        <v>0</v>
      </c>
      <c r="AW82" s="326">
        <f t="shared" si="299"/>
        <v>0</v>
      </c>
      <c r="AX82" s="326">
        <f t="shared" si="270"/>
        <v>0</v>
      </c>
      <c r="AY82" s="326">
        <f t="shared" si="271"/>
        <v>0</v>
      </c>
      <c r="AZ82" s="326">
        <f t="shared" si="272"/>
        <v>0</v>
      </c>
      <c r="BA82" s="330"/>
      <c r="BB82" s="330">
        <f t="shared" si="307"/>
        <v>0</v>
      </c>
      <c r="BC82" s="330">
        <f t="shared" si="307"/>
        <v>0</v>
      </c>
      <c r="BD82" s="386">
        <f t="shared" si="307"/>
        <v>0</v>
      </c>
      <c r="BE82" s="330">
        <f t="shared" si="273"/>
        <v>0</v>
      </c>
      <c r="BF82" s="330">
        <f t="shared" si="307"/>
        <v>0</v>
      </c>
      <c r="BG82" s="330">
        <f t="shared" si="307"/>
        <v>0</v>
      </c>
      <c r="BH82" s="330">
        <f t="shared" si="307"/>
        <v>0</v>
      </c>
      <c r="BI82" s="330">
        <f t="shared" si="307"/>
        <v>0</v>
      </c>
      <c r="BJ82" s="330">
        <f t="shared" si="307"/>
        <v>0</v>
      </c>
      <c r="BK82" s="330">
        <f t="shared" si="307"/>
        <v>0</v>
      </c>
      <c r="BL82" s="330">
        <f t="shared" si="307"/>
        <v>0</v>
      </c>
      <c r="BM82" s="330">
        <f t="shared" si="307"/>
        <v>0</v>
      </c>
      <c r="BN82" s="330">
        <f t="shared" si="307"/>
        <v>0</v>
      </c>
      <c r="BO82" s="330">
        <f t="shared" si="307"/>
        <v>0</v>
      </c>
      <c r="BP82" s="330">
        <f t="shared" si="307"/>
        <v>0</v>
      </c>
      <c r="BQ82" s="330">
        <f t="shared" si="240"/>
        <v>0</v>
      </c>
      <c r="BR82" s="330">
        <f>IF(BR$3=$F82,$E82,0)</f>
        <v>0</v>
      </c>
      <c r="BS82" s="330">
        <f>IF(BS$3=$F82,$E82,0)</f>
        <v>0</v>
      </c>
      <c r="BT82" s="330">
        <f>IF(BT$3=$F82,$E82,0)</f>
        <v>0</v>
      </c>
      <c r="BU82" s="330">
        <f t="shared" si="306"/>
        <v>0</v>
      </c>
      <c r="BV82" s="330">
        <f t="shared" si="306"/>
        <v>0</v>
      </c>
      <c r="BW82" s="330">
        <f t="shared" si="306"/>
        <v>0</v>
      </c>
      <c r="BX82" s="351">
        <f t="shared" si="274"/>
        <v>0</v>
      </c>
      <c r="BY82" s="378">
        <f t="shared" si="275"/>
        <v>0</v>
      </c>
      <c r="BZ82" s="378">
        <f t="shared" si="276"/>
        <v>0</v>
      </c>
    </row>
    <row r="83" spans="1:80" s="234" customFormat="1" ht="15" customHeight="1">
      <c r="A83" s="234" t="s">
        <v>129</v>
      </c>
      <c r="C83" s="306"/>
      <c r="D83" s="328"/>
      <c r="E83" s="386">
        <v>34643.5</v>
      </c>
      <c r="F83" s="328" t="s">
        <v>202</v>
      </c>
      <c r="G83" s="329"/>
      <c r="H83" s="329"/>
      <c r="I83" s="329"/>
      <c r="J83" s="329"/>
      <c r="K83" s="329"/>
      <c r="L83" s="329">
        <v>0</v>
      </c>
      <c r="M83" s="329">
        <v>0</v>
      </c>
      <c r="N83" s="329">
        <v>0</v>
      </c>
      <c r="O83" s="329">
        <v>0</v>
      </c>
      <c r="P83" s="329">
        <v>0</v>
      </c>
      <c r="Q83" s="329">
        <v>0</v>
      </c>
      <c r="R83" s="329">
        <v>0</v>
      </c>
      <c r="S83" s="329">
        <v>0</v>
      </c>
      <c r="T83" s="329">
        <v>0</v>
      </c>
      <c r="U83" s="389">
        <v>0.16165803108808294</v>
      </c>
      <c r="V83" s="389">
        <v>0.26528497409326429</v>
      </c>
      <c r="W83" s="389">
        <v>0.26528497409326429</v>
      </c>
      <c r="X83" s="389">
        <v>0.26113989637305701</v>
      </c>
      <c r="Y83" s="389">
        <v>4.6632124352331619E-2</v>
      </c>
      <c r="Z83" s="329"/>
      <c r="AA83" s="329"/>
      <c r="AB83" s="329"/>
      <c r="AC83" s="426">
        <f t="shared" si="308"/>
        <v>1.0000000000000002</v>
      </c>
      <c r="AD83" s="328"/>
      <c r="AE83" s="330">
        <f t="shared" si="281"/>
        <v>0</v>
      </c>
      <c r="AF83" s="330">
        <f t="shared" si="282"/>
        <v>0</v>
      </c>
      <c r="AG83" s="330">
        <f t="shared" si="283"/>
        <v>0</v>
      </c>
      <c r="AH83" s="330">
        <f t="shared" si="284"/>
        <v>0</v>
      </c>
      <c r="AI83" s="330">
        <f t="shared" si="285"/>
        <v>0</v>
      </c>
      <c r="AJ83" s="330">
        <f t="shared" si="286"/>
        <v>0</v>
      </c>
      <c r="AK83" s="386">
        <f t="shared" si="287"/>
        <v>0</v>
      </c>
      <c r="AL83" s="386">
        <f t="shared" si="288"/>
        <v>0</v>
      </c>
      <c r="AM83" s="386">
        <f t="shared" si="289"/>
        <v>0</v>
      </c>
      <c r="AN83" s="386">
        <f t="shared" si="290"/>
        <v>0</v>
      </c>
      <c r="AO83" s="386">
        <f t="shared" si="291"/>
        <v>0</v>
      </c>
      <c r="AP83" s="386">
        <f t="shared" si="292"/>
        <v>0</v>
      </c>
      <c r="AQ83" s="386">
        <f t="shared" si="293"/>
        <v>0</v>
      </c>
      <c r="AR83" s="386">
        <f t="shared" si="294"/>
        <v>0</v>
      </c>
      <c r="AS83" s="326">
        <f t="shared" si="295"/>
        <v>5600.4000000000015</v>
      </c>
      <c r="AT83" s="326">
        <f t="shared" si="296"/>
        <v>9190.4000000000015</v>
      </c>
      <c r="AU83" s="326">
        <f t="shared" si="297"/>
        <v>9190.4000000000015</v>
      </c>
      <c r="AV83" s="326">
        <f t="shared" si="298"/>
        <v>9046.8000000000011</v>
      </c>
      <c r="AW83" s="326">
        <f t="shared" si="299"/>
        <v>1615.5000000000005</v>
      </c>
      <c r="AX83" s="326">
        <f t="shared" si="270"/>
        <v>0</v>
      </c>
      <c r="AY83" s="326">
        <f t="shared" si="271"/>
        <v>0</v>
      </c>
      <c r="AZ83" s="326">
        <f t="shared" si="272"/>
        <v>0</v>
      </c>
      <c r="BA83" s="330"/>
      <c r="BB83" s="330">
        <f t="shared" si="5"/>
        <v>0</v>
      </c>
      <c r="BC83" s="330">
        <f t="shared" si="5"/>
        <v>0</v>
      </c>
      <c r="BD83" s="386">
        <f t="shared" si="5"/>
        <v>0</v>
      </c>
      <c r="BE83" s="330">
        <f t="shared" si="273"/>
        <v>0</v>
      </c>
      <c r="BF83" s="330">
        <f t="shared" si="5"/>
        <v>0</v>
      </c>
      <c r="BG83" s="330">
        <f t="shared" si="5"/>
        <v>0</v>
      </c>
      <c r="BH83" s="330">
        <f t="shared" si="5"/>
        <v>0</v>
      </c>
      <c r="BI83" s="330">
        <f t="shared" si="5"/>
        <v>0</v>
      </c>
      <c r="BJ83" s="330">
        <f t="shared" si="5"/>
        <v>0</v>
      </c>
      <c r="BK83" s="330">
        <f t="shared" si="5"/>
        <v>0</v>
      </c>
      <c r="BL83" s="330">
        <f t="shared" si="5"/>
        <v>0</v>
      </c>
      <c r="BM83" s="330">
        <f t="shared" si="5"/>
        <v>0</v>
      </c>
      <c r="BN83" s="330">
        <f t="shared" si="5"/>
        <v>0</v>
      </c>
      <c r="BO83" s="330">
        <f t="shared" si="5"/>
        <v>0</v>
      </c>
      <c r="BP83" s="330">
        <v>35002.5</v>
      </c>
      <c r="BQ83" s="330">
        <f t="shared" si="240"/>
        <v>0</v>
      </c>
      <c r="BR83" s="330">
        <f>IF(BR$3=$F83,$E83,0)</f>
        <v>0</v>
      </c>
      <c r="BS83" s="326">
        <v>-359</v>
      </c>
      <c r="BT83" s="330">
        <f>IF(BT$3=$F83,$E83,0)</f>
        <v>0</v>
      </c>
      <c r="BU83" s="330">
        <f t="shared" si="306"/>
        <v>0</v>
      </c>
      <c r="BV83" s="330">
        <f t="shared" si="306"/>
        <v>0</v>
      </c>
      <c r="BW83" s="330">
        <f t="shared" si="306"/>
        <v>0</v>
      </c>
      <c r="BX83" s="351">
        <f t="shared" si="274"/>
        <v>0</v>
      </c>
      <c r="BY83" s="378">
        <f t="shared" si="275"/>
        <v>0</v>
      </c>
      <c r="BZ83" s="378">
        <f t="shared" si="276"/>
        <v>0</v>
      </c>
    </row>
    <row r="84" spans="1:80" s="234" customFormat="1" ht="15" customHeight="1">
      <c r="A84" s="234" t="s">
        <v>129</v>
      </c>
      <c r="B84" s="234" t="s">
        <v>305</v>
      </c>
      <c r="C84" s="306"/>
      <c r="D84" s="328"/>
      <c r="E84" s="386">
        <v>771.82</v>
      </c>
      <c r="F84" s="328" t="s">
        <v>244</v>
      </c>
      <c r="G84" s="329"/>
      <c r="H84" s="329"/>
      <c r="I84" s="329"/>
      <c r="J84" s="329"/>
      <c r="K84" s="329"/>
      <c r="L84" s="329">
        <v>0</v>
      </c>
      <c r="M84" s="329">
        <v>0</v>
      </c>
      <c r="N84" s="329">
        <v>0</v>
      </c>
      <c r="O84" s="329">
        <v>0</v>
      </c>
      <c r="P84" s="329">
        <v>0</v>
      </c>
      <c r="Q84" s="329">
        <v>0</v>
      </c>
      <c r="R84" s="329">
        <v>0</v>
      </c>
      <c r="S84" s="329">
        <v>0</v>
      </c>
      <c r="T84" s="329">
        <v>0</v>
      </c>
      <c r="U84" s="389">
        <v>0</v>
      </c>
      <c r="V84" s="389">
        <v>0</v>
      </c>
      <c r="W84" s="389">
        <v>0</v>
      </c>
      <c r="X84" s="389">
        <v>0.72559664170402416</v>
      </c>
      <c r="Y84" s="389">
        <v>0.27440335829597584</v>
      </c>
      <c r="Z84" s="329"/>
      <c r="AA84" s="329"/>
      <c r="AB84" s="329"/>
      <c r="AC84" s="426">
        <f t="shared" si="308"/>
        <v>1</v>
      </c>
      <c r="AD84" s="328"/>
      <c r="AE84" s="330">
        <f t="shared" si="281"/>
        <v>0</v>
      </c>
      <c r="AF84" s="330">
        <f t="shared" si="282"/>
        <v>0</v>
      </c>
      <c r="AG84" s="330">
        <f t="shared" si="283"/>
        <v>0</v>
      </c>
      <c r="AH84" s="330">
        <f t="shared" si="284"/>
        <v>0</v>
      </c>
      <c r="AI84" s="330">
        <f t="shared" si="285"/>
        <v>0</v>
      </c>
      <c r="AJ84" s="330">
        <f t="shared" si="286"/>
        <v>0</v>
      </c>
      <c r="AK84" s="386">
        <f t="shared" si="287"/>
        <v>0</v>
      </c>
      <c r="AL84" s="386">
        <f t="shared" si="288"/>
        <v>0</v>
      </c>
      <c r="AM84" s="386">
        <f t="shared" si="289"/>
        <v>0</v>
      </c>
      <c r="AN84" s="386">
        <f t="shared" si="290"/>
        <v>0</v>
      </c>
      <c r="AO84" s="386">
        <f t="shared" si="291"/>
        <v>0</v>
      </c>
      <c r="AP84" s="386">
        <f t="shared" si="292"/>
        <v>0</v>
      </c>
      <c r="AQ84" s="386">
        <f t="shared" si="293"/>
        <v>0</v>
      </c>
      <c r="AR84" s="386">
        <f t="shared" si="294"/>
        <v>0</v>
      </c>
      <c r="AS84" s="326">
        <f t="shared" si="295"/>
        <v>0</v>
      </c>
      <c r="AT84" s="326">
        <f t="shared" si="296"/>
        <v>0</v>
      </c>
      <c r="AU84" s="326">
        <f t="shared" si="297"/>
        <v>0</v>
      </c>
      <c r="AV84" s="326">
        <f t="shared" si="298"/>
        <v>560.03</v>
      </c>
      <c r="AW84" s="326">
        <f t="shared" si="299"/>
        <v>211.79000000000008</v>
      </c>
      <c r="AX84" s="326">
        <f t="shared" si="270"/>
        <v>0</v>
      </c>
      <c r="AY84" s="326">
        <f t="shared" si="271"/>
        <v>0</v>
      </c>
      <c r="AZ84" s="326">
        <f t="shared" si="272"/>
        <v>0</v>
      </c>
      <c r="BA84" s="330"/>
      <c r="BB84" s="330">
        <f t="shared" si="5"/>
        <v>0</v>
      </c>
      <c r="BC84" s="330">
        <f t="shared" si="5"/>
        <v>0</v>
      </c>
      <c r="BD84" s="386">
        <f t="shared" ref="BD84:BP85" si="309">IF(BD$3=$F84,$E84,0)</f>
        <v>0</v>
      </c>
      <c r="BE84" s="330">
        <f t="shared" si="273"/>
        <v>0</v>
      </c>
      <c r="BF84" s="330">
        <f t="shared" si="309"/>
        <v>0</v>
      </c>
      <c r="BG84" s="330">
        <f t="shared" si="309"/>
        <v>0</v>
      </c>
      <c r="BH84" s="330">
        <f t="shared" si="309"/>
        <v>0</v>
      </c>
      <c r="BI84" s="330">
        <f t="shared" si="309"/>
        <v>0</v>
      </c>
      <c r="BJ84" s="330">
        <f t="shared" si="309"/>
        <v>0</v>
      </c>
      <c r="BK84" s="330">
        <f t="shared" si="309"/>
        <v>0</v>
      </c>
      <c r="BL84" s="330">
        <f t="shared" si="309"/>
        <v>0</v>
      </c>
      <c r="BM84" s="330">
        <f t="shared" si="309"/>
        <v>0</v>
      </c>
      <c r="BN84" s="330">
        <f t="shared" si="309"/>
        <v>0</v>
      </c>
      <c r="BO84" s="330">
        <f t="shared" si="309"/>
        <v>0</v>
      </c>
      <c r="BP84" s="330">
        <f t="shared" si="309"/>
        <v>0</v>
      </c>
      <c r="BQ84" s="330">
        <f t="shared" si="240"/>
        <v>0</v>
      </c>
      <c r="BR84" s="330">
        <v>1116.07</v>
      </c>
      <c r="BS84" s="326">
        <v>0</v>
      </c>
      <c r="BT84" s="326">
        <v>-344.25</v>
      </c>
      <c r="BU84" s="330">
        <f t="shared" si="306"/>
        <v>0</v>
      </c>
      <c r="BV84" s="330">
        <f t="shared" si="306"/>
        <v>0</v>
      </c>
      <c r="BW84" s="330">
        <f t="shared" si="306"/>
        <v>0</v>
      </c>
      <c r="BX84" s="351">
        <f t="shared" si="274"/>
        <v>0</v>
      </c>
      <c r="BY84" s="378">
        <f t="shared" si="275"/>
        <v>0</v>
      </c>
      <c r="BZ84" s="378">
        <f t="shared" si="276"/>
        <v>0</v>
      </c>
    </row>
    <row r="85" spans="1:80" s="234" customFormat="1" ht="15" customHeight="1">
      <c r="A85" s="234" t="s">
        <v>129</v>
      </c>
      <c r="C85" s="306"/>
      <c r="D85" s="328"/>
      <c r="E85" s="386">
        <v>8848</v>
      </c>
      <c r="F85" s="328" t="s">
        <v>245</v>
      </c>
      <c r="G85" s="329"/>
      <c r="H85" s="329"/>
      <c r="I85" s="329"/>
      <c r="J85" s="329"/>
      <c r="K85" s="329"/>
      <c r="L85" s="329"/>
      <c r="M85" s="329">
        <v>0</v>
      </c>
      <c r="N85" s="329">
        <v>0</v>
      </c>
      <c r="O85" s="329">
        <v>0</v>
      </c>
      <c r="P85" s="329">
        <v>0</v>
      </c>
      <c r="Q85" s="329">
        <v>0</v>
      </c>
      <c r="R85" s="329">
        <v>0</v>
      </c>
      <c r="S85" s="329">
        <v>0</v>
      </c>
      <c r="T85" s="329">
        <v>0</v>
      </c>
      <c r="U85" s="329">
        <v>0</v>
      </c>
      <c r="V85" s="329">
        <v>0</v>
      </c>
      <c r="W85" s="329">
        <v>0</v>
      </c>
      <c r="X85" s="329">
        <v>0</v>
      </c>
      <c r="Y85" s="329">
        <v>1</v>
      </c>
      <c r="Z85" s="329"/>
      <c r="AA85" s="329"/>
      <c r="AB85" s="329"/>
      <c r="AC85" s="426">
        <f t="shared" si="308"/>
        <v>1</v>
      </c>
      <c r="AD85" s="328"/>
      <c r="AE85" s="330">
        <f t="shared" si="281"/>
        <v>0</v>
      </c>
      <c r="AF85" s="330">
        <f t="shared" si="282"/>
        <v>0</v>
      </c>
      <c r="AG85" s="330">
        <f t="shared" si="283"/>
        <v>0</v>
      </c>
      <c r="AH85" s="330">
        <f t="shared" si="284"/>
        <v>0</v>
      </c>
      <c r="AI85" s="330">
        <f t="shared" si="285"/>
        <v>0</v>
      </c>
      <c r="AJ85" s="330">
        <f t="shared" si="286"/>
        <v>0</v>
      </c>
      <c r="AK85" s="386">
        <f t="shared" si="287"/>
        <v>0</v>
      </c>
      <c r="AL85" s="386">
        <f t="shared" si="288"/>
        <v>0</v>
      </c>
      <c r="AM85" s="386">
        <f t="shared" si="289"/>
        <v>0</v>
      </c>
      <c r="AN85" s="386">
        <f t="shared" si="290"/>
        <v>0</v>
      </c>
      <c r="AO85" s="386">
        <f t="shared" si="291"/>
        <v>0</v>
      </c>
      <c r="AP85" s="386">
        <f t="shared" si="292"/>
        <v>0</v>
      </c>
      <c r="AQ85" s="386">
        <f t="shared" si="293"/>
        <v>0</v>
      </c>
      <c r="AR85" s="386">
        <f t="shared" si="294"/>
        <v>0</v>
      </c>
      <c r="AS85" s="326">
        <f t="shared" si="295"/>
        <v>0</v>
      </c>
      <c r="AT85" s="326">
        <f t="shared" si="296"/>
        <v>0</v>
      </c>
      <c r="AU85" s="326">
        <f t="shared" si="297"/>
        <v>0</v>
      </c>
      <c r="AV85" s="326">
        <f t="shared" si="298"/>
        <v>0</v>
      </c>
      <c r="AW85" s="326">
        <f t="shared" si="299"/>
        <v>8848</v>
      </c>
      <c r="AX85" s="326">
        <f t="shared" si="270"/>
        <v>0</v>
      </c>
      <c r="AY85" s="326">
        <f t="shared" si="271"/>
        <v>0</v>
      </c>
      <c r="AZ85" s="326">
        <f t="shared" si="272"/>
        <v>0</v>
      </c>
      <c r="BA85" s="330"/>
      <c r="BB85" s="330">
        <f t="shared" ref="BB85:BR113" si="310">IF(BB$3=$F85,$E85,0)</f>
        <v>0</v>
      </c>
      <c r="BC85" s="330">
        <f t="shared" si="310"/>
        <v>0</v>
      </c>
      <c r="BD85" s="386">
        <f t="shared" si="310"/>
        <v>0</v>
      </c>
      <c r="BE85" s="330">
        <f t="shared" si="273"/>
        <v>0</v>
      </c>
      <c r="BF85" s="330">
        <f t="shared" si="310"/>
        <v>0</v>
      </c>
      <c r="BG85" s="330">
        <f t="shared" si="310"/>
        <v>0</v>
      </c>
      <c r="BH85" s="330">
        <f t="shared" si="309"/>
        <v>0</v>
      </c>
      <c r="BI85" s="330">
        <f t="shared" si="310"/>
        <v>0</v>
      </c>
      <c r="BJ85" s="330">
        <f t="shared" si="310"/>
        <v>0</v>
      </c>
      <c r="BK85" s="330">
        <f t="shared" si="310"/>
        <v>0</v>
      </c>
      <c r="BL85" s="330">
        <f t="shared" si="310"/>
        <v>0</v>
      </c>
      <c r="BM85" s="330">
        <f t="shared" si="310"/>
        <v>0</v>
      </c>
      <c r="BN85" s="330">
        <f t="shared" si="310"/>
        <v>0</v>
      </c>
      <c r="BO85" s="330">
        <f t="shared" si="310"/>
        <v>0</v>
      </c>
      <c r="BP85" s="330">
        <f t="shared" si="310"/>
        <v>0</v>
      </c>
      <c r="BQ85" s="330">
        <f t="shared" si="240"/>
        <v>0</v>
      </c>
      <c r="BR85" s="330">
        <f>IF(BR$3=$F85,$E85,0)</f>
        <v>0</v>
      </c>
      <c r="BS85" s="330">
        <f>IF(BS$3=$F85,$E85,0)</f>
        <v>8848</v>
      </c>
      <c r="BT85" s="326">
        <f>IF(BT$3=$F85,$E85,0)</f>
        <v>0</v>
      </c>
      <c r="BU85" s="330">
        <f t="shared" si="306"/>
        <v>0</v>
      </c>
      <c r="BV85" s="330">
        <f t="shared" si="306"/>
        <v>0</v>
      </c>
      <c r="BW85" s="330">
        <f t="shared" si="306"/>
        <v>0</v>
      </c>
      <c r="BX85" s="351">
        <f t="shared" si="274"/>
        <v>0</v>
      </c>
      <c r="BY85" s="378">
        <f t="shared" si="275"/>
        <v>0</v>
      </c>
      <c r="BZ85" s="378">
        <f t="shared" si="276"/>
        <v>0</v>
      </c>
    </row>
    <row r="86" spans="1:80" s="234" customFormat="1" ht="15" customHeight="1">
      <c r="A86" s="234" t="s">
        <v>129</v>
      </c>
      <c r="C86" s="306"/>
      <c r="D86" s="328"/>
      <c r="E86" s="386">
        <v>6412</v>
      </c>
      <c r="F86" s="328" t="s">
        <v>245</v>
      </c>
      <c r="G86" s="329"/>
      <c r="H86" s="329"/>
      <c r="I86" s="329"/>
      <c r="J86" s="329"/>
      <c r="K86" s="329"/>
      <c r="L86" s="329">
        <v>0</v>
      </c>
      <c r="M86" s="329">
        <v>0</v>
      </c>
      <c r="N86" s="329">
        <v>0</v>
      </c>
      <c r="O86" s="329">
        <v>0</v>
      </c>
      <c r="P86" s="329">
        <v>0</v>
      </c>
      <c r="Q86" s="329">
        <v>0</v>
      </c>
      <c r="R86" s="329">
        <v>0</v>
      </c>
      <c r="S86" s="329">
        <v>0</v>
      </c>
      <c r="T86" s="329">
        <v>0</v>
      </c>
      <c r="U86" s="329">
        <v>0</v>
      </c>
      <c r="V86" s="329">
        <v>0</v>
      </c>
      <c r="W86" s="329">
        <v>0</v>
      </c>
      <c r="X86" s="329">
        <v>0</v>
      </c>
      <c r="Y86" s="329">
        <v>1</v>
      </c>
      <c r="Z86" s="329"/>
      <c r="AA86" s="329"/>
      <c r="AB86" s="329"/>
      <c r="AC86" s="426">
        <f t="shared" si="308"/>
        <v>1</v>
      </c>
      <c r="AD86" s="328"/>
      <c r="AE86" s="330">
        <f t="shared" si="281"/>
        <v>0</v>
      </c>
      <c r="AF86" s="330">
        <f t="shared" si="282"/>
        <v>0</v>
      </c>
      <c r="AG86" s="330">
        <f t="shared" si="283"/>
        <v>0</v>
      </c>
      <c r="AH86" s="330">
        <f t="shared" si="284"/>
        <v>0</v>
      </c>
      <c r="AI86" s="330">
        <f t="shared" si="285"/>
        <v>0</v>
      </c>
      <c r="AJ86" s="330">
        <f t="shared" si="286"/>
        <v>0</v>
      </c>
      <c r="AK86" s="386">
        <f t="shared" si="287"/>
        <v>0</v>
      </c>
      <c r="AL86" s="386">
        <f t="shared" si="288"/>
        <v>0</v>
      </c>
      <c r="AM86" s="386">
        <f t="shared" si="289"/>
        <v>0</v>
      </c>
      <c r="AN86" s="386">
        <f t="shared" si="290"/>
        <v>0</v>
      </c>
      <c r="AO86" s="386">
        <f t="shared" si="291"/>
        <v>0</v>
      </c>
      <c r="AP86" s="386">
        <f t="shared" si="292"/>
        <v>0</v>
      </c>
      <c r="AQ86" s="386">
        <f t="shared" si="293"/>
        <v>0</v>
      </c>
      <c r="AR86" s="326">
        <f t="shared" si="294"/>
        <v>0</v>
      </c>
      <c r="AS86" s="326">
        <f t="shared" si="295"/>
        <v>0</v>
      </c>
      <c r="AT86" s="326">
        <f t="shared" si="296"/>
        <v>0</v>
      </c>
      <c r="AU86" s="326">
        <f t="shared" si="297"/>
        <v>0</v>
      </c>
      <c r="AV86" s="326">
        <f t="shared" si="298"/>
        <v>0</v>
      </c>
      <c r="AW86" s="326">
        <f t="shared" si="299"/>
        <v>6412</v>
      </c>
      <c r="AX86" s="330">
        <f t="shared" si="270"/>
        <v>0</v>
      </c>
      <c r="AY86" s="330">
        <f t="shared" si="271"/>
        <v>0</v>
      </c>
      <c r="AZ86" s="330">
        <f t="shared" si="272"/>
        <v>0</v>
      </c>
      <c r="BA86" s="330"/>
      <c r="BB86" s="330">
        <f t="shared" si="310"/>
        <v>0</v>
      </c>
      <c r="BC86" s="330">
        <f t="shared" si="310"/>
        <v>0</v>
      </c>
      <c r="BD86" s="386">
        <f t="shared" si="310"/>
        <v>0</v>
      </c>
      <c r="BE86" s="330">
        <f t="shared" si="273"/>
        <v>0</v>
      </c>
      <c r="BF86" s="330">
        <f t="shared" si="310"/>
        <v>0</v>
      </c>
      <c r="BG86" s="330">
        <f t="shared" si="310"/>
        <v>0</v>
      </c>
      <c r="BH86" s="330">
        <f t="shared" si="310"/>
        <v>0</v>
      </c>
      <c r="BI86" s="330">
        <f t="shared" si="310"/>
        <v>0</v>
      </c>
      <c r="BJ86" s="330">
        <f t="shared" si="310"/>
        <v>0</v>
      </c>
      <c r="BK86" s="330">
        <f t="shared" si="310"/>
        <v>0</v>
      </c>
      <c r="BL86" s="330">
        <f t="shared" si="310"/>
        <v>0</v>
      </c>
      <c r="BM86" s="330">
        <f t="shared" si="310"/>
        <v>0</v>
      </c>
      <c r="BN86" s="330">
        <f t="shared" si="310"/>
        <v>0</v>
      </c>
      <c r="BO86" s="326">
        <f t="shared" si="310"/>
        <v>0</v>
      </c>
      <c r="BP86" s="330">
        <f t="shared" si="310"/>
        <v>0</v>
      </c>
      <c r="BQ86" s="330">
        <f t="shared" si="310"/>
        <v>0</v>
      </c>
      <c r="BR86" s="330">
        <f t="shared" si="310"/>
        <v>0</v>
      </c>
      <c r="BS86" s="330">
        <v>7213.5</v>
      </c>
      <c r="BT86" s="326">
        <v>-801.5</v>
      </c>
      <c r="BU86" s="330">
        <f t="shared" si="306"/>
        <v>0</v>
      </c>
      <c r="BV86" s="330">
        <f t="shared" si="306"/>
        <v>0</v>
      </c>
      <c r="BW86" s="330">
        <f t="shared" si="306"/>
        <v>0</v>
      </c>
      <c r="BX86" s="351">
        <f t="shared" si="274"/>
        <v>0</v>
      </c>
      <c r="BY86" s="378">
        <f t="shared" si="275"/>
        <v>0</v>
      </c>
      <c r="BZ86" s="378">
        <f t="shared" si="276"/>
        <v>0</v>
      </c>
    </row>
    <row r="87" spans="1:80" s="234" customFormat="1" ht="15" customHeight="1">
      <c r="A87" s="234" t="s">
        <v>129</v>
      </c>
      <c r="C87" s="306"/>
      <c r="D87" s="328"/>
      <c r="E87" s="386">
        <v>6444.06</v>
      </c>
      <c r="F87" s="328" t="s">
        <v>245</v>
      </c>
      <c r="G87" s="329"/>
      <c r="H87" s="329"/>
      <c r="I87" s="329"/>
      <c r="J87" s="329"/>
      <c r="K87" s="329"/>
      <c r="L87" s="329">
        <v>0</v>
      </c>
      <c r="M87" s="329">
        <v>0</v>
      </c>
      <c r="N87" s="329">
        <v>0</v>
      </c>
      <c r="O87" s="329">
        <v>0</v>
      </c>
      <c r="P87" s="329">
        <v>0</v>
      </c>
      <c r="Q87" s="329">
        <v>0</v>
      </c>
      <c r="R87" s="329">
        <v>0</v>
      </c>
      <c r="S87" s="329">
        <v>0</v>
      </c>
      <c r="T87" s="329">
        <v>0</v>
      </c>
      <c r="U87" s="329">
        <v>0</v>
      </c>
      <c r="V87" s="329">
        <v>0</v>
      </c>
      <c r="W87" s="329">
        <v>0</v>
      </c>
      <c r="X87" s="329">
        <v>0</v>
      </c>
      <c r="Y87" s="329">
        <v>1</v>
      </c>
      <c r="Z87" s="329"/>
      <c r="AA87" s="329"/>
      <c r="AB87" s="329"/>
      <c r="AC87" s="426">
        <f t="shared" si="308"/>
        <v>1</v>
      </c>
      <c r="AD87" s="328"/>
      <c r="AE87" s="330">
        <f t="shared" si="281"/>
        <v>0</v>
      </c>
      <c r="AF87" s="330">
        <f t="shared" si="282"/>
        <v>0</v>
      </c>
      <c r="AG87" s="330">
        <f t="shared" si="283"/>
        <v>0</v>
      </c>
      <c r="AH87" s="330">
        <f t="shared" si="284"/>
        <v>0</v>
      </c>
      <c r="AI87" s="330">
        <f t="shared" si="285"/>
        <v>0</v>
      </c>
      <c r="AJ87" s="330">
        <f t="shared" si="286"/>
        <v>0</v>
      </c>
      <c r="AK87" s="386">
        <f t="shared" si="287"/>
        <v>0</v>
      </c>
      <c r="AL87" s="386">
        <f t="shared" si="288"/>
        <v>0</v>
      </c>
      <c r="AM87" s="386">
        <f t="shared" si="289"/>
        <v>0</v>
      </c>
      <c r="AN87" s="386">
        <f t="shared" si="290"/>
        <v>0</v>
      </c>
      <c r="AO87" s="386">
        <f t="shared" si="291"/>
        <v>0</v>
      </c>
      <c r="AP87" s="386">
        <f t="shared" si="292"/>
        <v>0</v>
      </c>
      <c r="AQ87" s="386">
        <f t="shared" si="293"/>
        <v>0</v>
      </c>
      <c r="AR87" s="326">
        <f t="shared" si="294"/>
        <v>0</v>
      </c>
      <c r="AS87" s="326">
        <f t="shared" si="295"/>
        <v>0</v>
      </c>
      <c r="AT87" s="326">
        <f t="shared" si="296"/>
        <v>0</v>
      </c>
      <c r="AU87" s="326">
        <f t="shared" si="297"/>
        <v>0</v>
      </c>
      <c r="AV87" s="326">
        <f t="shared" si="298"/>
        <v>0</v>
      </c>
      <c r="AW87" s="326">
        <f t="shared" si="299"/>
        <v>6444.06</v>
      </c>
      <c r="AX87" s="330">
        <f t="shared" si="270"/>
        <v>0</v>
      </c>
      <c r="AY87" s="330">
        <f t="shared" si="271"/>
        <v>0</v>
      </c>
      <c r="AZ87" s="330">
        <f t="shared" si="272"/>
        <v>0</v>
      </c>
      <c r="BA87" s="330"/>
      <c r="BB87" s="330">
        <f t="shared" si="310"/>
        <v>0</v>
      </c>
      <c r="BC87" s="330">
        <f t="shared" si="310"/>
        <v>0</v>
      </c>
      <c r="BD87" s="386">
        <f t="shared" si="310"/>
        <v>0</v>
      </c>
      <c r="BE87" s="330">
        <f t="shared" si="273"/>
        <v>0</v>
      </c>
      <c r="BF87" s="330">
        <f t="shared" si="310"/>
        <v>0</v>
      </c>
      <c r="BG87" s="330">
        <f t="shared" si="310"/>
        <v>0</v>
      </c>
      <c r="BH87" s="330">
        <f t="shared" si="310"/>
        <v>0</v>
      </c>
      <c r="BI87" s="330">
        <f t="shared" si="310"/>
        <v>0</v>
      </c>
      <c r="BJ87" s="330">
        <f t="shared" si="310"/>
        <v>0</v>
      </c>
      <c r="BK87" s="330">
        <f t="shared" si="310"/>
        <v>0</v>
      </c>
      <c r="BL87" s="330">
        <f t="shared" si="310"/>
        <v>0</v>
      </c>
      <c r="BM87" s="330">
        <f t="shared" si="310"/>
        <v>0</v>
      </c>
      <c r="BN87" s="330">
        <f t="shared" si="310"/>
        <v>0</v>
      </c>
      <c r="BO87" s="326">
        <f t="shared" si="310"/>
        <v>0</v>
      </c>
      <c r="BP87" s="330">
        <f t="shared" si="310"/>
        <v>0</v>
      </c>
      <c r="BQ87" s="330">
        <f t="shared" si="310"/>
        <v>0</v>
      </c>
      <c r="BR87" s="330">
        <f t="shared" si="310"/>
        <v>0</v>
      </c>
      <c r="BS87" s="330">
        <v>7213.5</v>
      </c>
      <c r="BT87" s="326">
        <v>-769.44</v>
      </c>
      <c r="BU87" s="330">
        <f t="shared" si="306"/>
        <v>0</v>
      </c>
      <c r="BV87" s="330">
        <f t="shared" si="306"/>
        <v>0</v>
      </c>
      <c r="BW87" s="330">
        <f t="shared" si="306"/>
        <v>0</v>
      </c>
      <c r="BX87" s="351">
        <f t="shared" si="274"/>
        <v>0</v>
      </c>
      <c r="BY87" s="378">
        <f t="shared" si="275"/>
        <v>0</v>
      </c>
      <c r="BZ87" s="378">
        <f t="shared" si="276"/>
        <v>0</v>
      </c>
    </row>
    <row r="88" spans="1:80" s="234" customFormat="1" ht="15" customHeight="1">
      <c r="A88" s="234" t="s">
        <v>129</v>
      </c>
      <c r="C88" s="306"/>
      <c r="D88" s="328"/>
      <c r="E88" s="386">
        <v>6476.12</v>
      </c>
      <c r="F88" s="328" t="s">
        <v>245</v>
      </c>
      <c r="G88" s="329"/>
      <c r="H88" s="329"/>
      <c r="I88" s="329"/>
      <c r="J88" s="329"/>
      <c r="K88" s="329"/>
      <c r="L88" s="329">
        <v>0</v>
      </c>
      <c r="M88" s="329">
        <v>0</v>
      </c>
      <c r="N88" s="329">
        <v>0</v>
      </c>
      <c r="O88" s="329">
        <v>0</v>
      </c>
      <c r="P88" s="329">
        <v>0</v>
      </c>
      <c r="Q88" s="329">
        <v>0</v>
      </c>
      <c r="R88" s="329">
        <v>0</v>
      </c>
      <c r="S88" s="329">
        <v>0</v>
      </c>
      <c r="T88" s="329">
        <v>0</v>
      </c>
      <c r="U88" s="329">
        <v>0</v>
      </c>
      <c r="V88" s="329">
        <v>0</v>
      </c>
      <c r="W88" s="329">
        <v>0</v>
      </c>
      <c r="X88" s="329">
        <v>0</v>
      </c>
      <c r="Y88" s="329">
        <v>1</v>
      </c>
      <c r="Z88" s="329"/>
      <c r="AA88" s="329"/>
      <c r="AB88" s="329"/>
      <c r="AC88" s="426">
        <f t="shared" si="308"/>
        <v>1</v>
      </c>
      <c r="AD88" s="328"/>
      <c r="AE88" s="330">
        <f t="shared" si="281"/>
        <v>0</v>
      </c>
      <c r="AF88" s="330">
        <f t="shared" si="282"/>
        <v>0</v>
      </c>
      <c r="AG88" s="330">
        <f t="shared" si="283"/>
        <v>0</v>
      </c>
      <c r="AH88" s="330">
        <f t="shared" si="284"/>
        <v>0</v>
      </c>
      <c r="AI88" s="330">
        <f t="shared" si="285"/>
        <v>0</v>
      </c>
      <c r="AJ88" s="330">
        <f t="shared" si="286"/>
        <v>0</v>
      </c>
      <c r="AK88" s="386">
        <f t="shared" si="287"/>
        <v>0</v>
      </c>
      <c r="AL88" s="386">
        <f t="shared" si="288"/>
        <v>0</v>
      </c>
      <c r="AM88" s="386">
        <f t="shared" si="289"/>
        <v>0</v>
      </c>
      <c r="AN88" s="386">
        <f t="shared" si="290"/>
        <v>0</v>
      </c>
      <c r="AO88" s="386">
        <f t="shared" si="291"/>
        <v>0</v>
      </c>
      <c r="AP88" s="386">
        <f t="shared" si="292"/>
        <v>0</v>
      </c>
      <c r="AQ88" s="386">
        <f t="shared" si="293"/>
        <v>0</v>
      </c>
      <c r="AR88" s="326">
        <f t="shared" si="294"/>
        <v>0</v>
      </c>
      <c r="AS88" s="326">
        <f t="shared" si="295"/>
        <v>0</v>
      </c>
      <c r="AT88" s="326">
        <f t="shared" si="296"/>
        <v>0</v>
      </c>
      <c r="AU88" s="326">
        <f t="shared" si="297"/>
        <v>0</v>
      </c>
      <c r="AV88" s="326">
        <f t="shared" si="298"/>
        <v>0</v>
      </c>
      <c r="AW88" s="326">
        <f t="shared" si="299"/>
        <v>6476.12</v>
      </c>
      <c r="AX88" s="330">
        <f t="shared" si="270"/>
        <v>0</v>
      </c>
      <c r="AY88" s="330">
        <f t="shared" si="271"/>
        <v>0</v>
      </c>
      <c r="AZ88" s="330">
        <f t="shared" si="272"/>
        <v>0</v>
      </c>
      <c r="BA88" s="330"/>
      <c r="BB88" s="330">
        <f t="shared" si="310"/>
        <v>0</v>
      </c>
      <c r="BC88" s="330">
        <f t="shared" si="310"/>
        <v>0</v>
      </c>
      <c r="BD88" s="386">
        <f t="shared" si="310"/>
        <v>0</v>
      </c>
      <c r="BE88" s="330">
        <f t="shared" si="273"/>
        <v>0</v>
      </c>
      <c r="BF88" s="330">
        <f t="shared" si="310"/>
        <v>0</v>
      </c>
      <c r="BG88" s="330">
        <f t="shared" si="310"/>
        <v>0</v>
      </c>
      <c r="BH88" s="330">
        <f t="shared" si="310"/>
        <v>0</v>
      </c>
      <c r="BI88" s="330">
        <f t="shared" si="310"/>
        <v>0</v>
      </c>
      <c r="BJ88" s="330">
        <f t="shared" si="310"/>
        <v>0</v>
      </c>
      <c r="BK88" s="330">
        <f t="shared" si="310"/>
        <v>0</v>
      </c>
      <c r="BL88" s="330">
        <f t="shared" si="310"/>
        <v>0</v>
      </c>
      <c r="BM88" s="330">
        <f t="shared" si="310"/>
        <v>0</v>
      </c>
      <c r="BN88" s="330">
        <f t="shared" si="310"/>
        <v>0</v>
      </c>
      <c r="BO88" s="326">
        <f t="shared" si="310"/>
        <v>0</v>
      </c>
      <c r="BP88" s="330">
        <f t="shared" si="310"/>
        <v>0</v>
      </c>
      <c r="BQ88" s="330">
        <f t="shared" si="310"/>
        <v>0</v>
      </c>
      <c r="BR88" s="330">
        <f t="shared" si="310"/>
        <v>0</v>
      </c>
      <c r="BS88" s="326">
        <v>7213.5</v>
      </c>
      <c r="BT88" s="326">
        <v>-737.38</v>
      </c>
      <c r="BU88" s="330">
        <f t="shared" si="306"/>
        <v>0</v>
      </c>
      <c r="BV88" s="330">
        <f t="shared" si="306"/>
        <v>0</v>
      </c>
      <c r="BW88" s="330">
        <f t="shared" si="306"/>
        <v>0</v>
      </c>
      <c r="BX88" s="351">
        <f t="shared" si="274"/>
        <v>0</v>
      </c>
      <c r="BY88" s="378">
        <f t="shared" si="275"/>
        <v>0</v>
      </c>
      <c r="BZ88" s="378">
        <f t="shared" si="276"/>
        <v>0</v>
      </c>
    </row>
    <row r="89" spans="1:80" s="234" customFormat="1" ht="15" customHeight="1">
      <c r="A89" s="392" t="s">
        <v>129</v>
      </c>
      <c r="B89" s="392" t="s">
        <v>282</v>
      </c>
      <c r="C89" s="306"/>
      <c r="D89" s="501"/>
      <c r="E89" s="386">
        <v>9080.9599999999991</v>
      </c>
      <c r="F89" s="328" t="s">
        <v>245</v>
      </c>
      <c r="G89" s="329"/>
      <c r="H89" s="329"/>
      <c r="I89" s="329"/>
      <c r="J89" s="329"/>
      <c r="K89" s="329"/>
      <c r="L89" s="329">
        <v>0</v>
      </c>
      <c r="M89" s="329">
        <v>0</v>
      </c>
      <c r="N89" s="329">
        <v>0</v>
      </c>
      <c r="O89" s="329">
        <v>0</v>
      </c>
      <c r="P89" s="329">
        <v>0</v>
      </c>
      <c r="Q89" s="329">
        <v>0</v>
      </c>
      <c r="R89" s="329">
        <v>0</v>
      </c>
      <c r="S89" s="329">
        <v>0</v>
      </c>
      <c r="T89" s="329">
        <v>0</v>
      </c>
      <c r="U89" s="389">
        <v>0</v>
      </c>
      <c r="V89" s="389">
        <v>0</v>
      </c>
      <c r="W89" s="389">
        <v>0</v>
      </c>
      <c r="X89" s="389">
        <v>0</v>
      </c>
      <c r="Y89" s="389">
        <v>1</v>
      </c>
      <c r="Z89" s="329"/>
      <c r="AA89" s="329"/>
      <c r="AB89" s="329"/>
      <c r="AC89" s="426">
        <f t="shared" si="308"/>
        <v>1</v>
      </c>
      <c r="AD89" s="328"/>
      <c r="AE89" s="330">
        <f t="shared" ref="AE89:AN92" si="311">G89*$E89</f>
        <v>0</v>
      </c>
      <c r="AF89" s="330">
        <f t="shared" si="311"/>
        <v>0</v>
      </c>
      <c r="AG89" s="330">
        <f t="shared" si="311"/>
        <v>0</v>
      </c>
      <c r="AH89" s="330">
        <f t="shared" si="311"/>
        <v>0</v>
      </c>
      <c r="AI89" s="330">
        <f t="shared" si="311"/>
        <v>0</v>
      </c>
      <c r="AJ89" s="330">
        <f t="shared" si="311"/>
        <v>0</v>
      </c>
      <c r="AK89" s="386">
        <f t="shared" si="311"/>
        <v>0</v>
      </c>
      <c r="AL89" s="386">
        <f t="shared" si="311"/>
        <v>0</v>
      </c>
      <c r="AM89" s="386">
        <f t="shared" si="311"/>
        <v>0</v>
      </c>
      <c r="AN89" s="386">
        <f t="shared" si="311"/>
        <v>0</v>
      </c>
      <c r="AO89" s="386">
        <f t="shared" ref="AO89:AW92" si="312">Q89*$E89</f>
        <v>0</v>
      </c>
      <c r="AP89" s="386">
        <f t="shared" si="312"/>
        <v>0</v>
      </c>
      <c r="AQ89" s="386">
        <f t="shared" si="312"/>
        <v>0</v>
      </c>
      <c r="AR89" s="386">
        <f t="shared" si="312"/>
        <v>0</v>
      </c>
      <c r="AS89" s="326">
        <f t="shared" si="312"/>
        <v>0</v>
      </c>
      <c r="AT89" s="326">
        <f t="shared" si="312"/>
        <v>0</v>
      </c>
      <c r="AU89" s="326">
        <f t="shared" si="312"/>
        <v>0</v>
      </c>
      <c r="AV89" s="326">
        <f t="shared" si="312"/>
        <v>0</v>
      </c>
      <c r="AW89" s="326">
        <f t="shared" si="312"/>
        <v>9080.9599999999991</v>
      </c>
      <c r="AX89" s="326">
        <f t="shared" si="270"/>
        <v>0</v>
      </c>
      <c r="AY89" s="326">
        <f t="shared" si="271"/>
        <v>0</v>
      </c>
      <c r="AZ89" s="326">
        <f t="shared" si="272"/>
        <v>0</v>
      </c>
      <c r="BA89" s="330"/>
      <c r="BB89" s="330">
        <f t="shared" si="310"/>
        <v>0</v>
      </c>
      <c r="BC89" s="330">
        <f t="shared" si="310"/>
        <v>0</v>
      </c>
      <c r="BD89" s="386">
        <f t="shared" si="310"/>
        <v>0</v>
      </c>
      <c r="BE89" s="330">
        <f t="shared" si="273"/>
        <v>0</v>
      </c>
      <c r="BF89" s="330">
        <f t="shared" si="310"/>
        <v>0</v>
      </c>
      <c r="BG89" s="330">
        <f t="shared" si="310"/>
        <v>0</v>
      </c>
      <c r="BH89" s="330">
        <f t="shared" si="310"/>
        <v>0</v>
      </c>
      <c r="BI89" s="330">
        <f t="shared" si="310"/>
        <v>0</v>
      </c>
      <c r="BJ89" s="330">
        <f t="shared" si="310"/>
        <v>0</v>
      </c>
      <c r="BK89" s="330">
        <f t="shared" si="310"/>
        <v>0</v>
      </c>
      <c r="BL89" s="330">
        <f t="shared" si="310"/>
        <v>0</v>
      </c>
      <c r="BM89" s="330">
        <f t="shared" si="310"/>
        <v>0</v>
      </c>
      <c r="BN89" s="330">
        <f t="shared" si="310"/>
        <v>0</v>
      </c>
      <c r="BO89" s="330">
        <f t="shared" si="310"/>
        <v>0</v>
      </c>
      <c r="BP89" s="330">
        <f t="shared" si="310"/>
        <v>0</v>
      </c>
      <c r="BQ89" s="330">
        <f t="shared" si="310"/>
        <v>0</v>
      </c>
      <c r="BR89" s="330">
        <f t="shared" ref="BR89:BR94" si="313">IF(BR$3=$F89,$E89,0)</f>
        <v>0</v>
      </c>
      <c r="BS89" s="326">
        <v>9121.5</v>
      </c>
      <c r="BT89" s="326">
        <v>-40.54</v>
      </c>
      <c r="BU89" s="330">
        <f t="shared" si="306"/>
        <v>0</v>
      </c>
      <c r="BV89" s="330">
        <f t="shared" si="306"/>
        <v>0</v>
      </c>
      <c r="BW89" s="330">
        <f t="shared" si="306"/>
        <v>0</v>
      </c>
      <c r="BX89" s="351">
        <f t="shared" si="274"/>
        <v>0</v>
      </c>
      <c r="BY89" s="378">
        <f t="shared" si="275"/>
        <v>0</v>
      </c>
      <c r="BZ89" s="378">
        <f t="shared" si="276"/>
        <v>0</v>
      </c>
    </row>
    <row r="90" spans="1:80" s="234" customFormat="1" ht="15" customHeight="1">
      <c r="A90" s="234" t="s">
        <v>129</v>
      </c>
      <c r="C90" s="306"/>
      <c r="D90" s="328"/>
      <c r="E90" s="386">
        <v>7898</v>
      </c>
      <c r="F90" s="328" t="s">
        <v>245</v>
      </c>
      <c r="G90" s="329"/>
      <c r="H90" s="329"/>
      <c r="I90" s="329"/>
      <c r="J90" s="329"/>
      <c r="K90" s="329"/>
      <c r="L90" s="329">
        <v>0</v>
      </c>
      <c r="M90" s="329">
        <v>0</v>
      </c>
      <c r="N90" s="329">
        <v>0</v>
      </c>
      <c r="O90" s="329">
        <v>0</v>
      </c>
      <c r="P90" s="329">
        <v>0</v>
      </c>
      <c r="Q90" s="329">
        <v>0</v>
      </c>
      <c r="R90" s="329">
        <v>0</v>
      </c>
      <c r="S90" s="329">
        <v>0</v>
      </c>
      <c r="T90" s="329">
        <v>0</v>
      </c>
      <c r="U90" s="389">
        <v>0</v>
      </c>
      <c r="V90" s="389">
        <v>0</v>
      </c>
      <c r="W90" s="389">
        <v>0</v>
      </c>
      <c r="X90" s="389">
        <v>0</v>
      </c>
      <c r="Y90" s="389">
        <v>1</v>
      </c>
      <c r="Z90" s="329"/>
      <c r="AA90" s="329"/>
      <c r="AB90" s="329"/>
      <c r="AC90" s="426">
        <f t="shared" si="308"/>
        <v>1</v>
      </c>
      <c r="AD90" s="328"/>
      <c r="AE90" s="330">
        <f t="shared" si="311"/>
        <v>0</v>
      </c>
      <c r="AF90" s="330">
        <f t="shared" si="311"/>
        <v>0</v>
      </c>
      <c r="AG90" s="330">
        <f t="shared" si="311"/>
        <v>0</v>
      </c>
      <c r="AH90" s="330">
        <f t="shared" si="311"/>
        <v>0</v>
      </c>
      <c r="AI90" s="330">
        <f t="shared" si="311"/>
        <v>0</v>
      </c>
      <c r="AJ90" s="330">
        <f t="shared" si="311"/>
        <v>0</v>
      </c>
      <c r="AK90" s="386">
        <f t="shared" si="311"/>
        <v>0</v>
      </c>
      <c r="AL90" s="386">
        <f t="shared" si="311"/>
        <v>0</v>
      </c>
      <c r="AM90" s="386">
        <f t="shared" si="311"/>
        <v>0</v>
      </c>
      <c r="AN90" s="386">
        <f t="shared" si="311"/>
        <v>0</v>
      </c>
      <c r="AO90" s="386">
        <f t="shared" si="312"/>
        <v>0</v>
      </c>
      <c r="AP90" s="386">
        <f t="shared" si="312"/>
        <v>0</v>
      </c>
      <c r="AQ90" s="386">
        <f t="shared" si="312"/>
        <v>0</v>
      </c>
      <c r="AR90" s="386">
        <f t="shared" si="312"/>
        <v>0</v>
      </c>
      <c r="AS90" s="326">
        <f t="shared" si="312"/>
        <v>0</v>
      </c>
      <c r="AT90" s="326">
        <f t="shared" si="312"/>
        <v>0</v>
      </c>
      <c r="AU90" s="326">
        <f t="shared" si="312"/>
        <v>0</v>
      </c>
      <c r="AV90" s="326">
        <f t="shared" si="312"/>
        <v>0</v>
      </c>
      <c r="AW90" s="326">
        <f t="shared" si="312"/>
        <v>7898</v>
      </c>
      <c r="AX90" s="326">
        <f t="shared" si="270"/>
        <v>0</v>
      </c>
      <c r="AY90" s="326">
        <f t="shared" si="271"/>
        <v>0</v>
      </c>
      <c r="AZ90" s="326">
        <f t="shared" si="272"/>
        <v>0</v>
      </c>
      <c r="BA90" s="330"/>
      <c r="BB90" s="330">
        <f t="shared" si="310"/>
        <v>0</v>
      </c>
      <c r="BC90" s="330">
        <f t="shared" si="310"/>
        <v>0</v>
      </c>
      <c r="BD90" s="386">
        <f t="shared" si="310"/>
        <v>0</v>
      </c>
      <c r="BE90" s="330">
        <f t="shared" si="273"/>
        <v>0</v>
      </c>
      <c r="BF90" s="330">
        <f t="shared" si="310"/>
        <v>0</v>
      </c>
      <c r="BG90" s="330">
        <f t="shared" si="310"/>
        <v>0</v>
      </c>
      <c r="BH90" s="330">
        <f t="shared" si="310"/>
        <v>0</v>
      </c>
      <c r="BI90" s="330">
        <f t="shared" si="310"/>
        <v>0</v>
      </c>
      <c r="BJ90" s="330">
        <f t="shared" si="310"/>
        <v>0</v>
      </c>
      <c r="BK90" s="330">
        <f t="shared" si="310"/>
        <v>0</v>
      </c>
      <c r="BL90" s="330">
        <f t="shared" si="310"/>
        <v>0</v>
      </c>
      <c r="BM90" s="330">
        <f t="shared" si="310"/>
        <v>0</v>
      </c>
      <c r="BN90" s="330">
        <f t="shared" si="310"/>
        <v>0</v>
      </c>
      <c r="BO90" s="330">
        <f t="shared" si="310"/>
        <v>0</v>
      </c>
      <c r="BP90" s="330">
        <f t="shared" si="310"/>
        <v>0</v>
      </c>
      <c r="BQ90" s="330">
        <f t="shared" si="310"/>
        <v>0</v>
      </c>
      <c r="BR90" s="330">
        <f t="shared" si="313"/>
        <v>0</v>
      </c>
      <c r="BS90" s="326">
        <v>8077.5</v>
      </c>
      <c r="BT90" s="326">
        <v>-179.5</v>
      </c>
      <c r="BU90" s="330">
        <f t="shared" si="306"/>
        <v>0</v>
      </c>
      <c r="BV90" s="330">
        <f t="shared" si="306"/>
        <v>0</v>
      </c>
      <c r="BW90" s="330">
        <f t="shared" si="306"/>
        <v>0</v>
      </c>
      <c r="BX90" s="351">
        <f t="shared" si="274"/>
        <v>0</v>
      </c>
      <c r="BY90" s="378">
        <f t="shared" si="275"/>
        <v>0</v>
      </c>
      <c r="BZ90" s="378">
        <f t="shared" si="276"/>
        <v>0</v>
      </c>
    </row>
    <row r="91" spans="1:80" s="234" customFormat="1" ht="15" customHeight="1">
      <c r="A91" s="234" t="s">
        <v>129</v>
      </c>
      <c r="C91" s="306"/>
      <c r="D91" s="328"/>
      <c r="E91" s="386">
        <v>6993.15</v>
      </c>
      <c r="F91" s="328" t="s">
        <v>250</v>
      </c>
      <c r="G91" s="329"/>
      <c r="H91" s="329"/>
      <c r="I91" s="329"/>
      <c r="J91" s="329"/>
      <c r="K91" s="329"/>
      <c r="L91" s="329">
        <v>0</v>
      </c>
      <c r="M91" s="329">
        <v>0</v>
      </c>
      <c r="N91" s="329">
        <v>0</v>
      </c>
      <c r="O91" s="329">
        <v>0</v>
      </c>
      <c r="P91" s="329">
        <v>0</v>
      </c>
      <c r="Q91" s="329">
        <v>0</v>
      </c>
      <c r="R91" s="329">
        <v>0</v>
      </c>
      <c r="S91" s="329">
        <v>0</v>
      </c>
      <c r="T91" s="329">
        <v>0</v>
      </c>
      <c r="U91" s="389">
        <v>0</v>
      </c>
      <c r="V91" s="389">
        <v>0</v>
      </c>
      <c r="W91" s="389">
        <v>0</v>
      </c>
      <c r="X91" s="389">
        <v>0</v>
      </c>
      <c r="Y91" s="389">
        <v>1</v>
      </c>
      <c r="Z91" s="329">
        <v>0</v>
      </c>
      <c r="AA91" s="329"/>
      <c r="AB91" s="329"/>
      <c r="AC91" s="426">
        <f t="shared" si="308"/>
        <v>1</v>
      </c>
      <c r="AD91" s="328"/>
      <c r="AE91" s="330">
        <f t="shared" si="311"/>
        <v>0</v>
      </c>
      <c r="AF91" s="330">
        <f t="shared" si="311"/>
        <v>0</v>
      </c>
      <c r="AG91" s="330">
        <f t="shared" si="311"/>
        <v>0</v>
      </c>
      <c r="AH91" s="330">
        <f t="shared" si="311"/>
        <v>0</v>
      </c>
      <c r="AI91" s="330">
        <f t="shared" si="311"/>
        <v>0</v>
      </c>
      <c r="AJ91" s="330">
        <f t="shared" si="311"/>
        <v>0</v>
      </c>
      <c r="AK91" s="386">
        <f t="shared" si="311"/>
        <v>0</v>
      </c>
      <c r="AL91" s="386">
        <f t="shared" si="311"/>
        <v>0</v>
      </c>
      <c r="AM91" s="386">
        <f t="shared" si="311"/>
        <v>0</v>
      </c>
      <c r="AN91" s="386">
        <f t="shared" si="311"/>
        <v>0</v>
      </c>
      <c r="AO91" s="386">
        <f t="shared" si="312"/>
        <v>0</v>
      </c>
      <c r="AP91" s="386">
        <f t="shared" si="312"/>
        <v>0</v>
      </c>
      <c r="AQ91" s="386">
        <f t="shared" si="312"/>
        <v>0</v>
      </c>
      <c r="AR91" s="386">
        <f t="shared" si="312"/>
        <v>0</v>
      </c>
      <c r="AS91" s="326">
        <f t="shared" si="312"/>
        <v>0</v>
      </c>
      <c r="AT91" s="326">
        <f t="shared" si="312"/>
        <v>0</v>
      </c>
      <c r="AU91" s="326">
        <f t="shared" si="312"/>
        <v>0</v>
      </c>
      <c r="AV91" s="326">
        <f t="shared" si="312"/>
        <v>0</v>
      </c>
      <c r="AW91" s="326">
        <f t="shared" si="312"/>
        <v>6993.15</v>
      </c>
      <c r="AX91" s="326">
        <f t="shared" si="270"/>
        <v>0</v>
      </c>
      <c r="AY91" s="326">
        <f t="shared" si="271"/>
        <v>0</v>
      </c>
      <c r="AZ91" s="326">
        <f t="shared" si="272"/>
        <v>0</v>
      </c>
      <c r="BA91" s="330"/>
      <c r="BB91" s="330">
        <f t="shared" si="310"/>
        <v>0</v>
      </c>
      <c r="BC91" s="330">
        <f t="shared" si="310"/>
        <v>0</v>
      </c>
      <c r="BD91" s="386">
        <f t="shared" si="310"/>
        <v>0</v>
      </c>
      <c r="BE91" s="330">
        <f t="shared" si="273"/>
        <v>0</v>
      </c>
      <c r="BF91" s="330">
        <f t="shared" si="310"/>
        <v>0</v>
      </c>
      <c r="BG91" s="330">
        <f t="shared" si="310"/>
        <v>0</v>
      </c>
      <c r="BH91" s="330">
        <f t="shared" si="310"/>
        <v>0</v>
      </c>
      <c r="BI91" s="330">
        <f t="shared" si="310"/>
        <v>0</v>
      </c>
      <c r="BJ91" s="330">
        <f t="shared" si="310"/>
        <v>0</v>
      </c>
      <c r="BK91" s="330">
        <f t="shared" si="310"/>
        <v>0</v>
      </c>
      <c r="BL91" s="330">
        <f t="shared" si="310"/>
        <v>0</v>
      </c>
      <c r="BM91" s="330">
        <f t="shared" si="310"/>
        <v>0</v>
      </c>
      <c r="BN91" s="330">
        <f t="shared" si="310"/>
        <v>0</v>
      </c>
      <c r="BO91" s="330">
        <f t="shared" si="310"/>
        <v>0</v>
      </c>
      <c r="BP91" s="330">
        <f t="shared" si="310"/>
        <v>0</v>
      </c>
      <c r="BQ91" s="330">
        <f t="shared" si="310"/>
        <v>0</v>
      </c>
      <c r="BR91" s="330">
        <f t="shared" si="313"/>
        <v>0</v>
      </c>
      <c r="BS91" s="330">
        <f>IF(BS$3=$F91,$E91,0)</f>
        <v>0</v>
      </c>
      <c r="BT91" s="326">
        <v>6993.15</v>
      </c>
      <c r="BU91" s="330">
        <f t="shared" si="306"/>
        <v>0</v>
      </c>
      <c r="BV91" s="330">
        <f t="shared" si="306"/>
        <v>0</v>
      </c>
      <c r="BW91" s="330">
        <f t="shared" si="306"/>
        <v>0</v>
      </c>
      <c r="BX91" s="351">
        <f t="shared" si="274"/>
        <v>0</v>
      </c>
      <c r="BY91" s="378">
        <f t="shared" si="275"/>
        <v>0</v>
      </c>
      <c r="BZ91" s="378">
        <f t="shared" si="276"/>
        <v>0</v>
      </c>
    </row>
    <row r="92" spans="1:80" s="234" customFormat="1" ht="15" customHeight="1">
      <c r="A92" s="234" t="s">
        <v>129</v>
      </c>
      <c r="C92" s="306"/>
      <c r="D92" s="328"/>
      <c r="E92" s="386">
        <v>6932.34</v>
      </c>
      <c r="F92" s="328" t="s">
        <v>250</v>
      </c>
      <c r="G92" s="329"/>
      <c r="H92" s="329"/>
      <c r="I92" s="329"/>
      <c r="J92" s="329"/>
      <c r="K92" s="329"/>
      <c r="L92" s="329">
        <v>0</v>
      </c>
      <c r="M92" s="329">
        <v>0</v>
      </c>
      <c r="N92" s="329">
        <v>0</v>
      </c>
      <c r="O92" s="329">
        <v>0</v>
      </c>
      <c r="P92" s="329">
        <v>0</v>
      </c>
      <c r="Q92" s="329">
        <v>0</v>
      </c>
      <c r="R92" s="329">
        <v>0</v>
      </c>
      <c r="S92" s="329">
        <v>0</v>
      </c>
      <c r="T92" s="329">
        <v>0</v>
      </c>
      <c r="U92" s="389">
        <v>0</v>
      </c>
      <c r="V92" s="389">
        <v>0</v>
      </c>
      <c r="W92" s="389">
        <v>0</v>
      </c>
      <c r="X92" s="389">
        <v>0</v>
      </c>
      <c r="Y92" s="389">
        <v>1</v>
      </c>
      <c r="Z92" s="329"/>
      <c r="AA92" s="329"/>
      <c r="AB92" s="329"/>
      <c r="AC92" s="426">
        <f t="shared" si="308"/>
        <v>1</v>
      </c>
      <c r="AD92" s="328"/>
      <c r="AE92" s="330">
        <f t="shared" si="311"/>
        <v>0</v>
      </c>
      <c r="AF92" s="330">
        <f t="shared" si="311"/>
        <v>0</v>
      </c>
      <c r="AG92" s="330">
        <f t="shared" si="311"/>
        <v>0</v>
      </c>
      <c r="AH92" s="330">
        <f t="shared" si="311"/>
        <v>0</v>
      </c>
      <c r="AI92" s="330">
        <f t="shared" si="311"/>
        <v>0</v>
      </c>
      <c r="AJ92" s="330">
        <f t="shared" si="311"/>
        <v>0</v>
      </c>
      <c r="AK92" s="386">
        <f t="shared" si="311"/>
        <v>0</v>
      </c>
      <c r="AL92" s="386">
        <f t="shared" si="311"/>
        <v>0</v>
      </c>
      <c r="AM92" s="386">
        <f t="shared" si="311"/>
        <v>0</v>
      </c>
      <c r="AN92" s="386">
        <f t="shared" si="311"/>
        <v>0</v>
      </c>
      <c r="AO92" s="386">
        <f t="shared" si="312"/>
        <v>0</v>
      </c>
      <c r="AP92" s="386">
        <f t="shared" si="312"/>
        <v>0</v>
      </c>
      <c r="AQ92" s="386">
        <f t="shared" si="312"/>
        <v>0</v>
      </c>
      <c r="AR92" s="386">
        <f t="shared" si="312"/>
        <v>0</v>
      </c>
      <c r="AS92" s="326">
        <f t="shared" si="312"/>
        <v>0</v>
      </c>
      <c r="AT92" s="326">
        <f t="shared" si="312"/>
        <v>0</v>
      </c>
      <c r="AU92" s="326">
        <f t="shared" si="312"/>
        <v>0</v>
      </c>
      <c r="AV92" s="326">
        <f t="shared" si="312"/>
        <v>0</v>
      </c>
      <c r="AW92" s="326">
        <f t="shared" si="312"/>
        <v>6932.34</v>
      </c>
      <c r="AX92" s="326">
        <f t="shared" si="270"/>
        <v>0</v>
      </c>
      <c r="AY92" s="326">
        <f t="shared" si="271"/>
        <v>0</v>
      </c>
      <c r="AZ92" s="326">
        <f t="shared" si="272"/>
        <v>0</v>
      </c>
      <c r="BA92" s="330"/>
      <c r="BB92" s="330">
        <f t="shared" si="310"/>
        <v>0</v>
      </c>
      <c r="BC92" s="330">
        <f t="shared" si="310"/>
        <v>0</v>
      </c>
      <c r="BD92" s="386">
        <f t="shared" si="310"/>
        <v>0</v>
      </c>
      <c r="BE92" s="330">
        <f t="shared" si="310"/>
        <v>0</v>
      </c>
      <c r="BF92" s="330">
        <f t="shared" si="310"/>
        <v>0</v>
      </c>
      <c r="BG92" s="330">
        <f t="shared" si="310"/>
        <v>0</v>
      </c>
      <c r="BH92" s="330">
        <f t="shared" si="310"/>
        <v>0</v>
      </c>
      <c r="BI92" s="330">
        <f t="shared" si="310"/>
        <v>0</v>
      </c>
      <c r="BJ92" s="330">
        <f t="shared" si="310"/>
        <v>0</v>
      </c>
      <c r="BK92" s="330">
        <f t="shared" si="310"/>
        <v>0</v>
      </c>
      <c r="BL92" s="330">
        <f t="shared" si="310"/>
        <v>0</v>
      </c>
      <c r="BM92" s="330">
        <f t="shared" si="310"/>
        <v>0</v>
      </c>
      <c r="BN92" s="330">
        <f t="shared" si="310"/>
        <v>0</v>
      </c>
      <c r="BO92" s="330">
        <f t="shared" si="310"/>
        <v>0</v>
      </c>
      <c r="BP92" s="330">
        <f t="shared" si="310"/>
        <v>0</v>
      </c>
      <c r="BQ92" s="330">
        <f t="shared" si="310"/>
        <v>0</v>
      </c>
      <c r="BR92" s="330">
        <f t="shared" si="313"/>
        <v>0</v>
      </c>
      <c r="BS92" s="330">
        <f>IF(BS$3=$F92,$E92,0)</f>
        <v>0</v>
      </c>
      <c r="BT92" s="326">
        <f>IF(BT$3=$F92,$E92,0)</f>
        <v>6932.34</v>
      </c>
      <c r="BU92" s="330">
        <f t="shared" si="306"/>
        <v>0</v>
      </c>
      <c r="BV92" s="330">
        <f t="shared" si="306"/>
        <v>0</v>
      </c>
      <c r="BW92" s="330">
        <f t="shared" si="306"/>
        <v>0</v>
      </c>
      <c r="BX92" s="351">
        <f t="shared" si="274"/>
        <v>0</v>
      </c>
      <c r="BY92" s="378">
        <f t="shared" si="275"/>
        <v>0</v>
      </c>
      <c r="BZ92" s="378">
        <f t="shared" si="276"/>
        <v>0</v>
      </c>
      <c r="CB92" s="378"/>
    </row>
    <row r="93" spans="1:80" s="536" customFormat="1" ht="15" customHeight="1">
      <c r="A93" s="536" t="s">
        <v>129</v>
      </c>
      <c r="B93" s="234"/>
      <c r="C93" s="537"/>
      <c r="D93" s="538"/>
      <c r="E93" s="539">
        <v>23181.760000000002</v>
      </c>
      <c r="F93" s="538" t="s">
        <v>250</v>
      </c>
      <c r="G93" s="540"/>
      <c r="H93" s="540"/>
      <c r="I93" s="540"/>
      <c r="J93" s="540"/>
      <c r="K93" s="540"/>
      <c r="L93" s="540">
        <v>0</v>
      </c>
      <c r="M93" s="540">
        <v>0</v>
      </c>
      <c r="N93" s="540">
        <v>0</v>
      </c>
      <c r="O93" s="540">
        <v>0</v>
      </c>
      <c r="P93" s="540">
        <v>0</v>
      </c>
      <c r="Q93" s="540">
        <v>0</v>
      </c>
      <c r="R93" s="540">
        <v>0</v>
      </c>
      <c r="S93" s="540">
        <v>0</v>
      </c>
      <c r="T93" s="540">
        <v>0</v>
      </c>
      <c r="U93" s="541">
        <v>0</v>
      </c>
      <c r="V93" s="541">
        <v>0</v>
      </c>
      <c r="W93" s="541">
        <v>0</v>
      </c>
      <c r="X93" s="541">
        <v>0</v>
      </c>
      <c r="Y93" s="541">
        <v>0</v>
      </c>
      <c r="Z93" s="542">
        <v>0.47328244274809156</v>
      </c>
      <c r="AA93" s="542">
        <v>0.52671755725190839</v>
      </c>
      <c r="AB93" s="540"/>
      <c r="AC93" s="543">
        <f t="shared" ref="AC93:AC102" si="314">SUM(G93:AB93)</f>
        <v>1</v>
      </c>
      <c r="AD93" s="538"/>
      <c r="AE93" s="544">
        <f t="shared" ref="AE93:AE102" si="315">G93*$E93</f>
        <v>0</v>
      </c>
      <c r="AF93" s="544">
        <f t="shared" ref="AF93:AF102" si="316">H93*$E93</f>
        <v>0</v>
      </c>
      <c r="AG93" s="544">
        <f t="shared" ref="AG93:AG102" si="317">I93*$E93</f>
        <v>0</v>
      </c>
      <c r="AH93" s="544">
        <f t="shared" ref="AH93:AH102" si="318">J93*$E93</f>
        <v>0</v>
      </c>
      <c r="AI93" s="544">
        <f t="shared" ref="AI93:AI102" si="319">K93*$E93</f>
        <v>0</v>
      </c>
      <c r="AJ93" s="544">
        <f t="shared" ref="AJ93:AJ102" si="320">L93*$E93</f>
        <v>0</v>
      </c>
      <c r="AK93" s="539">
        <f t="shared" ref="AK93:AK102" si="321">M93*$E93</f>
        <v>0</v>
      </c>
      <c r="AL93" s="539">
        <f t="shared" ref="AL93:AL102" si="322">N93*$E93</f>
        <v>0</v>
      </c>
      <c r="AM93" s="539">
        <f t="shared" ref="AM93:AM102" si="323">O93*$E93</f>
        <v>0</v>
      </c>
      <c r="AN93" s="539">
        <f t="shared" ref="AN93:AN102" si="324">P93*$E93</f>
        <v>0</v>
      </c>
      <c r="AO93" s="539">
        <f t="shared" ref="AO93:AO102" si="325">Q93*$E93</f>
        <v>0</v>
      </c>
      <c r="AP93" s="539">
        <f t="shared" ref="AP93:AP102" si="326">R93*$E93</f>
        <v>0</v>
      </c>
      <c r="AQ93" s="539">
        <f t="shared" ref="AQ93:AQ102" si="327">S93*$E93</f>
        <v>0</v>
      </c>
      <c r="AR93" s="539">
        <f t="shared" ref="AR93:AR102" si="328">T93*$E93</f>
        <v>0</v>
      </c>
      <c r="AS93" s="545">
        <f t="shared" ref="AS93:AS102" si="329">U93*$E93</f>
        <v>0</v>
      </c>
      <c r="AT93" s="545">
        <f t="shared" ref="AT93:AT102" si="330">V93*$E93</f>
        <v>0</v>
      </c>
      <c r="AU93" s="545">
        <f t="shared" ref="AU93:AU102" si="331">W93*$E93</f>
        <v>0</v>
      </c>
      <c r="AV93" s="545">
        <f t="shared" ref="AV93:AV102" si="332">X93*$E93</f>
        <v>0</v>
      </c>
      <c r="AW93" s="545">
        <f t="shared" ref="AW93:AW102" si="333">Y93*$E93</f>
        <v>0</v>
      </c>
      <c r="AX93" s="545">
        <f t="shared" ref="AX93:AX102" si="334">Z93*$E93</f>
        <v>10971.52</v>
      </c>
      <c r="AY93" s="549">
        <f t="shared" ref="AY93:AY102" si="335">AA93*$E93</f>
        <v>12210.240000000002</v>
      </c>
      <c r="AZ93" s="545">
        <f t="shared" ref="AZ93:AZ102" si="336">AB93*$E93</f>
        <v>0</v>
      </c>
      <c r="BA93" s="544"/>
      <c r="BB93" s="544">
        <f t="shared" ref="BB93:BQ111" si="337">IF(BB$3=$F93,$E93,0)</f>
        <v>0</v>
      </c>
      <c r="BC93" s="544">
        <f t="shared" si="337"/>
        <v>0</v>
      </c>
      <c r="BD93" s="539">
        <f t="shared" si="337"/>
        <v>0</v>
      </c>
      <c r="BE93" s="544">
        <f t="shared" si="337"/>
        <v>0</v>
      </c>
      <c r="BF93" s="544">
        <f t="shared" si="337"/>
        <v>0</v>
      </c>
      <c r="BG93" s="544">
        <f t="shared" si="337"/>
        <v>0</v>
      </c>
      <c r="BH93" s="544">
        <f t="shared" si="337"/>
        <v>0</v>
      </c>
      <c r="BI93" s="544">
        <f t="shared" si="337"/>
        <v>0</v>
      </c>
      <c r="BJ93" s="544">
        <f t="shared" si="337"/>
        <v>0</v>
      </c>
      <c r="BK93" s="544">
        <f t="shared" si="337"/>
        <v>0</v>
      </c>
      <c r="BL93" s="544">
        <f t="shared" si="337"/>
        <v>0</v>
      </c>
      <c r="BM93" s="544">
        <f t="shared" si="337"/>
        <v>0</v>
      </c>
      <c r="BN93" s="544">
        <f t="shared" si="337"/>
        <v>0</v>
      </c>
      <c r="BO93" s="544">
        <f t="shared" si="337"/>
        <v>0</v>
      </c>
      <c r="BP93" s="544">
        <f t="shared" si="337"/>
        <v>0</v>
      </c>
      <c r="BQ93" s="544">
        <f t="shared" si="337"/>
        <v>0</v>
      </c>
      <c r="BR93" s="544">
        <f t="shared" si="313"/>
        <v>0</v>
      </c>
      <c r="BS93" s="544">
        <f>IF(BS$3=$F93,$E93,0)</f>
        <v>0</v>
      </c>
      <c r="BT93" s="545">
        <f>IF(BT$3=$F93,$E93,0)</f>
        <v>23181.760000000002</v>
      </c>
      <c r="BU93" s="544">
        <f t="shared" si="306"/>
        <v>0</v>
      </c>
      <c r="BV93" s="544">
        <f t="shared" si="306"/>
        <v>0</v>
      </c>
      <c r="BW93" s="544">
        <f t="shared" si="306"/>
        <v>0</v>
      </c>
      <c r="BX93" s="546">
        <f t="shared" ref="BX93:BX102" si="338">SUM(AE93:AZ93)-SUM(BB93:BW93)</f>
        <v>0</v>
      </c>
      <c r="BY93" s="547">
        <f t="shared" ref="BY93:BY102" si="339">E93-SUM(BB93:BW93)</f>
        <v>0</v>
      </c>
      <c r="BZ93" s="547">
        <f t="shared" ref="BZ93:BZ102" si="340">+E93-SUM(AE93:AZ93)</f>
        <v>0</v>
      </c>
      <c r="CB93" s="547"/>
    </row>
    <row r="94" spans="1:80" s="536" customFormat="1" ht="15" customHeight="1">
      <c r="A94" s="536" t="s">
        <v>129</v>
      </c>
      <c r="B94" s="234"/>
      <c r="C94" s="537"/>
      <c r="D94" s="538"/>
      <c r="E94" s="539">
        <v>23370.400000000001</v>
      </c>
      <c r="F94" s="538" t="s">
        <v>250</v>
      </c>
      <c r="G94" s="540"/>
      <c r="H94" s="540"/>
      <c r="I94" s="540"/>
      <c r="J94" s="540"/>
      <c r="K94" s="540"/>
      <c r="L94" s="540">
        <v>0</v>
      </c>
      <c r="M94" s="540">
        <v>0</v>
      </c>
      <c r="N94" s="540">
        <v>0</v>
      </c>
      <c r="O94" s="540">
        <v>0</v>
      </c>
      <c r="P94" s="540">
        <v>0</v>
      </c>
      <c r="Q94" s="540">
        <v>0</v>
      </c>
      <c r="R94" s="540">
        <v>0</v>
      </c>
      <c r="S94" s="540">
        <v>0</v>
      </c>
      <c r="T94" s="540">
        <v>0</v>
      </c>
      <c r="U94" s="541">
        <v>0</v>
      </c>
      <c r="V94" s="541">
        <v>0</v>
      </c>
      <c r="W94" s="541">
        <v>0</v>
      </c>
      <c r="X94" s="541">
        <v>0</v>
      </c>
      <c r="Y94" s="541">
        <v>0</v>
      </c>
      <c r="Z94" s="542">
        <v>0.48091603053435117</v>
      </c>
      <c r="AA94" s="542">
        <v>0.51908396946564883</v>
      </c>
      <c r="AB94" s="540"/>
      <c r="AC94" s="543">
        <f t="shared" si="314"/>
        <v>1</v>
      </c>
      <c r="AD94" s="538"/>
      <c r="AE94" s="544">
        <f t="shared" si="315"/>
        <v>0</v>
      </c>
      <c r="AF94" s="544">
        <f t="shared" si="316"/>
        <v>0</v>
      </c>
      <c r="AG94" s="544">
        <f t="shared" si="317"/>
        <v>0</v>
      </c>
      <c r="AH94" s="544">
        <f t="shared" si="318"/>
        <v>0</v>
      </c>
      <c r="AI94" s="544">
        <f t="shared" si="319"/>
        <v>0</v>
      </c>
      <c r="AJ94" s="544">
        <f t="shared" si="320"/>
        <v>0</v>
      </c>
      <c r="AK94" s="539">
        <f t="shared" si="321"/>
        <v>0</v>
      </c>
      <c r="AL94" s="539">
        <f t="shared" si="322"/>
        <v>0</v>
      </c>
      <c r="AM94" s="539">
        <f t="shared" si="323"/>
        <v>0</v>
      </c>
      <c r="AN94" s="539">
        <f t="shared" si="324"/>
        <v>0</v>
      </c>
      <c r="AO94" s="539">
        <f t="shared" si="325"/>
        <v>0</v>
      </c>
      <c r="AP94" s="539">
        <f t="shared" si="326"/>
        <v>0</v>
      </c>
      <c r="AQ94" s="539">
        <f t="shared" si="327"/>
        <v>0</v>
      </c>
      <c r="AR94" s="539">
        <f t="shared" si="328"/>
        <v>0</v>
      </c>
      <c r="AS94" s="545">
        <f t="shared" si="329"/>
        <v>0</v>
      </c>
      <c r="AT94" s="545">
        <f t="shared" si="330"/>
        <v>0</v>
      </c>
      <c r="AU94" s="545">
        <f t="shared" si="331"/>
        <v>0</v>
      </c>
      <c r="AV94" s="545">
        <f t="shared" si="332"/>
        <v>0</v>
      </c>
      <c r="AW94" s="545">
        <f t="shared" si="333"/>
        <v>0</v>
      </c>
      <c r="AX94" s="545">
        <f t="shared" si="334"/>
        <v>11239.2</v>
      </c>
      <c r="AY94" s="549">
        <f t="shared" si="335"/>
        <v>12131.2</v>
      </c>
      <c r="AZ94" s="545">
        <f t="shared" si="336"/>
        <v>0</v>
      </c>
      <c r="BA94" s="544"/>
      <c r="BB94" s="544">
        <f t="shared" si="337"/>
        <v>0</v>
      </c>
      <c r="BC94" s="544">
        <f t="shared" si="337"/>
        <v>0</v>
      </c>
      <c r="BD94" s="539">
        <f t="shared" si="337"/>
        <v>0</v>
      </c>
      <c r="BE94" s="544">
        <f t="shared" si="337"/>
        <v>0</v>
      </c>
      <c r="BF94" s="544">
        <f t="shared" si="337"/>
        <v>0</v>
      </c>
      <c r="BG94" s="544">
        <f t="shared" si="337"/>
        <v>0</v>
      </c>
      <c r="BH94" s="544">
        <f t="shared" si="337"/>
        <v>0</v>
      </c>
      <c r="BI94" s="544">
        <f t="shared" si="337"/>
        <v>0</v>
      </c>
      <c r="BJ94" s="544">
        <f t="shared" si="337"/>
        <v>0</v>
      </c>
      <c r="BK94" s="544">
        <f t="shared" si="337"/>
        <v>0</v>
      </c>
      <c r="BL94" s="544">
        <f t="shared" si="337"/>
        <v>0</v>
      </c>
      <c r="BM94" s="544">
        <f t="shared" si="337"/>
        <v>0</v>
      </c>
      <c r="BN94" s="544">
        <f t="shared" si="337"/>
        <v>0</v>
      </c>
      <c r="BO94" s="544">
        <f t="shared" si="337"/>
        <v>0</v>
      </c>
      <c r="BP94" s="544">
        <f t="shared" si="337"/>
        <v>0</v>
      </c>
      <c r="BQ94" s="544">
        <f t="shared" si="337"/>
        <v>0</v>
      </c>
      <c r="BR94" s="544">
        <f t="shared" si="313"/>
        <v>0</v>
      </c>
      <c r="BS94" s="544">
        <f>IF(BS$3=$F94,$E94,0)</f>
        <v>0</v>
      </c>
      <c r="BT94" s="545">
        <f>IF(BT$3=$F94,$E94,0)</f>
        <v>23370.400000000001</v>
      </c>
      <c r="BU94" s="544">
        <f>IF(BU$3=$F94,$E94,0)</f>
        <v>0</v>
      </c>
      <c r="BV94" s="544">
        <f t="shared" ref="BR94:BW111" si="341">IF(BV$3=$F94,$E94,0)</f>
        <v>0</v>
      </c>
      <c r="BW94" s="544">
        <f t="shared" si="341"/>
        <v>0</v>
      </c>
      <c r="BX94" s="546">
        <f t="shared" si="338"/>
        <v>0</v>
      </c>
      <c r="BY94" s="547">
        <f t="shared" si="339"/>
        <v>0</v>
      </c>
      <c r="BZ94" s="547">
        <f t="shared" si="340"/>
        <v>0</v>
      </c>
      <c r="CB94" s="547"/>
    </row>
    <row r="95" spans="1:80" s="536" customFormat="1" ht="15" customHeight="1">
      <c r="A95" s="536" t="s">
        <v>129</v>
      </c>
      <c r="B95" s="234"/>
      <c r="C95" s="537"/>
      <c r="D95" s="538"/>
      <c r="E95" s="539">
        <v>23370.400000000001</v>
      </c>
      <c r="F95" s="538" t="s">
        <v>250</v>
      </c>
      <c r="G95" s="540"/>
      <c r="H95" s="540"/>
      <c r="I95" s="540"/>
      <c r="J95" s="540"/>
      <c r="K95" s="540"/>
      <c r="L95" s="540">
        <v>0</v>
      </c>
      <c r="M95" s="540">
        <v>0</v>
      </c>
      <c r="N95" s="540">
        <v>0</v>
      </c>
      <c r="O95" s="540">
        <v>0</v>
      </c>
      <c r="P95" s="540">
        <v>0</v>
      </c>
      <c r="Q95" s="540">
        <v>0</v>
      </c>
      <c r="R95" s="540">
        <v>0</v>
      </c>
      <c r="S95" s="540">
        <v>0</v>
      </c>
      <c r="T95" s="540">
        <v>0</v>
      </c>
      <c r="U95" s="541">
        <v>0</v>
      </c>
      <c r="V95" s="541">
        <v>0</v>
      </c>
      <c r="W95" s="541">
        <v>0</v>
      </c>
      <c r="X95" s="541">
        <v>0</v>
      </c>
      <c r="Y95" s="541">
        <v>0</v>
      </c>
      <c r="Z95" s="542">
        <v>0.48091603053435117</v>
      </c>
      <c r="AA95" s="542">
        <v>0.51908396946564883</v>
      </c>
      <c r="AB95" s="540"/>
      <c r="AC95" s="543">
        <f t="shared" si="314"/>
        <v>1</v>
      </c>
      <c r="AD95" s="538"/>
      <c r="AE95" s="544">
        <f t="shared" si="315"/>
        <v>0</v>
      </c>
      <c r="AF95" s="544">
        <f t="shared" si="316"/>
        <v>0</v>
      </c>
      <c r="AG95" s="544">
        <f t="shared" si="317"/>
        <v>0</v>
      </c>
      <c r="AH95" s="544">
        <f t="shared" si="318"/>
        <v>0</v>
      </c>
      <c r="AI95" s="544">
        <f t="shared" si="319"/>
        <v>0</v>
      </c>
      <c r="AJ95" s="544">
        <f t="shared" si="320"/>
        <v>0</v>
      </c>
      <c r="AK95" s="539">
        <f t="shared" si="321"/>
        <v>0</v>
      </c>
      <c r="AL95" s="539">
        <f t="shared" si="322"/>
        <v>0</v>
      </c>
      <c r="AM95" s="539">
        <f t="shared" si="323"/>
        <v>0</v>
      </c>
      <c r="AN95" s="539">
        <f t="shared" si="324"/>
        <v>0</v>
      </c>
      <c r="AO95" s="539">
        <f t="shared" si="325"/>
        <v>0</v>
      </c>
      <c r="AP95" s="539">
        <f t="shared" si="326"/>
        <v>0</v>
      </c>
      <c r="AQ95" s="539">
        <f t="shared" si="327"/>
        <v>0</v>
      </c>
      <c r="AR95" s="539">
        <f t="shared" si="328"/>
        <v>0</v>
      </c>
      <c r="AS95" s="545">
        <f t="shared" si="329"/>
        <v>0</v>
      </c>
      <c r="AT95" s="545">
        <f t="shared" si="330"/>
        <v>0</v>
      </c>
      <c r="AU95" s="545">
        <f t="shared" si="331"/>
        <v>0</v>
      </c>
      <c r="AV95" s="545">
        <f t="shared" si="332"/>
        <v>0</v>
      </c>
      <c r="AW95" s="545">
        <f t="shared" si="333"/>
        <v>0</v>
      </c>
      <c r="AX95" s="545">
        <f t="shared" si="334"/>
        <v>11239.2</v>
      </c>
      <c r="AY95" s="549">
        <f t="shared" si="335"/>
        <v>12131.2</v>
      </c>
      <c r="AZ95" s="545">
        <f t="shared" si="336"/>
        <v>0</v>
      </c>
      <c r="BA95" s="544"/>
      <c r="BB95" s="544">
        <f t="shared" si="337"/>
        <v>0</v>
      </c>
      <c r="BC95" s="544">
        <f t="shared" si="337"/>
        <v>0</v>
      </c>
      <c r="BD95" s="539">
        <f t="shared" si="337"/>
        <v>0</v>
      </c>
      <c r="BE95" s="544">
        <f t="shared" si="337"/>
        <v>0</v>
      </c>
      <c r="BF95" s="544">
        <f t="shared" si="337"/>
        <v>0</v>
      </c>
      <c r="BG95" s="544">
        <f t="shared" si="337"/>
        <v>0</v>
      </c>
      <c r="BH95" s="544">
        <f t="shared" si="337"/>
        <v>0</v>
      </c>
      <c r="BI95" s="544">
        <f t="shared" si="337"/>
        <v>0</v>
      </c>
      <c r="BJ95" s="544">
        <f t="shared" si="337"/>
        <v>0</v>
      </c>
      <c r="BK95" s="544">
        <f t="shared" si="337"/>
        <v>0</v>
      </c>
      <c r="BL95" s="544">
        <f t="shared" si="337"/>
        <v>0</v>
      </c>
      <c r="BM95" s="544">
        <f t="shared" si="337"/>
        <v>0</v>
      </c>
      <c r="BN95" s="544">
        <f t="shared" si="337"/>
        <v>0</v>
      </c>
      <c r="BO95" s="544">
        <f t="shared" si="337"/>
        <v>0</v>
      </c>
      <c r="BP95" s="544">
        <f t="shared" si="337"/>
        <v>0</v>
      </c>
      <c r="BQ95" s="544">
        <f t="shared" si="337"/>
        <v>0</v>
      </c>
      <c r="BR95" s="544">
        <f t="shared" si="341"/>
        <v>0</v>
      </c>
      <c r="BS95" s="544">
        <f t="shared" si="341"/>
        <v>0</v>
      </c>
      <c r="BT95" s="545">
        <f t="shared" si="341"/>
        <v>23370.400000000001</v>
      </c>
      <c r="BU95" s="544">
        <f t="shared" si="341"/>
        <v>0</v>
      </c>
      <c r="BV95" s="544">
        <f t="shared" si="341"/>
        <v>0</v>
      </c>
      <c r="BW95" s="544">
        <f t="shared" si="341"/>
        <v>0</v>
      </c>
      <c r="BX95" s="546">
        <f t="shared" si="338"/>
        <v>0</v>
      </c>
      <c r="BY95" s="547">
        <f t="shared" si="339"/>
        <v>0</v>
      </c>
      <c r="BZ95" s="547">
        <f t="shared" si="340"/>
        <v>0</v>
      </c>
      <c r="CB95" s="547"/>
    </row>
    <row r="96" spans="1:80" s="536" customFormat="1" ht="15" customHeight="1">
      <c r="A96" s="536" t="s">
        <v>129</v>
      </c>
      <c r="B96" s="234"/>
      <c r="C96" s="537"/>
      <c r="D96" s="538"/>
      <c r="E96" s="539">
        <v>22573.919999999998</v>
      </c>
      <c r="F96" s="538" t="s">
        <v>250</v>
      </c>
      <c r="G96" s="540"/>
      <c r="H96" s="540"/>
      <c r="I96" s="540"/>
      <c r="J96" s="540"/>
      <c r="K96" s="540"/>
      <c r="L96" s="540">
        <v>0</v>
      </c>
      <c r="M96" s="540">
        <v>0</v>
      </c>
      <c r="N96" s="540">
        <v>0</v>
      </c>
      <c r="O96" s="540">
        <v>0</v>
      </c>
      <c r="P96" s="540">
        <v>0</v>
      </c>
      <c r="Q96" s="540">
        <v>0</v>
      </c>
      <c r="R96" s="540">
        <v>0</v>
      </c>
      <c r="S96" s="540">
        <v>0</v>
      </c>
      <c r="T96" s="540">
        <v>0</v>
      </c>
      <c r="U96" s="541">
        <v>0</v>
      </c>
      <c r="V96" s="541">
        <v>0</v>
      </c>
      <c r="W96" s="541">
        <v>0</v>
      </c>
      <c r="X96" s="541">
        <v>0</v>
      </c>
      <c r="Y96" s="541">
        <v>0</v>
      </c>
      <c r="Z96" s="542">
        <v>0.48091603053435117</v>
      </c>
      <c r="AA96" s="542">
        <v>0.51908396946564883</v>
      </c>
      <c r="AB96" s="540"/>
      <c r="AC96" s="543">
        <f t="shared" si="314"/>
        <v>1</v>
      </c>
      <c r="AD96" s="538"/>
      <c r="AE96" s="544">
        <f t="shared" si="315"/>
        <v>0</v>
      </c>
      <c r="AF96" s="544">
        <f t="shared" si="316"/>
        <v>0</v>
      </c>
      <c r="AG96" s="544">
        <f t="shared" si="317"/>
        <v>0</v>
      </c>
      <c r="AH96" s="544">
        <f t="shared" si="318"/>
        <v>0</v>
      </c>
      <c r="AI96" s="544">
        <f t="shared" si="319"/>
        <v>0</v>
      </c>
      <c r="AJ96" s="544">
        <f t="shared" si="320"/>
        <v>0</v>
      </c>
      <c r="AK96" s="539">
        <f t="shared" si="321"/>
        <v>0</v>
      </c>
      <c r="AL96" s="539">
        <f t="shared" si="322"/>
        <v>0</v>
      </c>
      <c r="AM96" s="539">
        <f t="shared" si="323"/>
        <v>0</v>
      </c>
      <c r="AN96" s="539">
        <f t="shared" si="324"/>
        <v>0</v>
      </c>
      <c r="AO96" s="539">
        <f t="shared" si="325"/>
        <v>0</v>
      </c>
      <c r="AP96" s="539">
        <f t="shared" si="326"/>
        <v>0</v>
      </c>
      <c r="AQ96" s="539">
        <f t="shared" si="327"/>
        <v>0</v>
      </c>
      <c r="AR96" s="539">
        <f t="shared" si="328"/>
        <v>0</v>
      </c>
      <c r="AS96" s="545">
        <f t="shared" si="329"/>
        <v>0</v>
      </c>
      <c r="AT96" s="545">
        <f t="shared" si="330"/>
        <v>0</v>
      </c>
      <c r="AU96" s="545">
        <f t="shared" si="331"/>
        <v>0</v>
      </c>
      <c r="AV96" s="545">
        <f t="shared" si="332"/>
        <v>0</v>
      </c>
      <c r="AW96" s="545">
        <f t="shared" si="333"/>
        <v>0</v>
      </c>
      <c r="AX96" s="545">
        <f t="shared" si="334"/>
        <v>10856.16</v>
      </c>
      <c r="AY96" s="549">
        <f t="shared" si="335"/>
        <v>11717.759999999998</v>
      </c>
      <c r="AZ96" s="545">
        <f t="shared" si="336"/>
        <v>0</v>
      </c>
      <c r="BA96" s="544"/>
      <c r="BB96" s="544">
        <f t="shared" si="337"/>
        <v>0</v>
      </c>
      <c r="BC96" s="544">
        <f t="shared" si="337"/>
        <v>0</v>
      </c>
      <c r="BD96" s="539">
        <f t="shared" si="337"/>
        <v>0</v>
      </c>
      <c r="BE96" s="544">
        <f t="shared" si="337"/>
        <v>0</v>
      </c>
      <c r="BF96" s="544">
        <f t="shared" si="337"/>
        <v>0</v>
      </c>
      <c r="BG96" s="544">
        <f t="shared" si="337"/>
        <v>0</v>
      </c>
      <c r="BH96" s="544">
        <f t="shared" si="337"/>
        <v>0</v>
      </c>
      <c r="BI96" s="544">
        <f t="shared" si="337"/>
        <v>0</v>
      </c>
      <c r="BJ96" s="544">
        <f t="shared" si="337"/>
        <v>0</v>
      </c>
      <c r="BK96" s="544">
        <f t="shared" si="337"/>
        <v>0</v>
      </c>
      <c r="BL96" s="544">
        <f t="shared" si="337"/>
        <v>0</v>
      </c>
      <c r="BM96" s="544">
        <f t="shared" si="337"/>
        <v>0</v>
      </c>
      <c r="BN96" s="544">
        <f t="shared" si="337"/>
        <v>0</v>
      </c>
      <c r="BO96" s="544">
        <f t="shared" si="337"/>
        <v>0</v>
      </c>
      <c r="BP96" s="544">
        <f t="shared" si="337"/>
        <v>0</v>
      </c>
      <c r="BQ96" s="544">
        <f t="shared" si="337"/>
        <v>0</v>
      </c>
      <c r="BR96" s="544">
        <f t="shared" si="341"/>
        <v>0</v>
      </c>
      <c r="BS96" s="544">
        <f t="shared" si="341"/>
        <v>0</v>
      </c>
      <c r="BT96" s="545">
        <f t="shared" si="341"/>
        <v>22573.919999999998</v>
      </c>
      <c r="BU96" s="544">
        <f t="shared" si="341"/>
        <v>0</v>
      </c>
      <c r="BV96" s="544">
        <f t="shared" si="341"/>
        <v>0</v>
      </c>
      <c r="BW96" s="544">
        <f t="shared" si="341"/>
        <v>0</v>
      </c>
      <c r="BX96" s="546">
        <f t="shared" si="338"/>
        <v>0</v>
      </c>
      <c r="BY96" s="547">
        <f t="shared" si="339"/>
        <v>0</v>
      </c>
      <c r="BZ96" s="547">
        <f t="shared" si="340"/>
        <v>0</v>
      </c>
      <c r="CB96" s="547"/>
    </row>
    <row r="97" spans="1:80" s="536" customFormat="1" ht="15" customHeight="1">
      <c r="A97" s="536" t="s">
        <v>129</v>
      </c>
      <c r="B97" s="234"/>
      <c r="C97" s="537"/>
      <c r="D97" s="538"/>
      <c r="E97" s="539">
        <v>16799.440000000002</v>
      </c>
      <c r="F97" s="538" t="s">
        <v>250</v>
      </c>
      <c r="G97" s="540"/>
      <c r="H97" s="540"/>
      <c r="I97" s="540"/>
      <c r="J97" s="540"/>
      <c r="K97" s="540"/>
      <c r="L97" s="540">
        <v>0</v>
      </c>
      <c r="M97" s="540">
        <v>0</v>
      </c>
      <c r="N97" s="540">
        <v>0</v>
      </c>
      <c r="O97" s="540">
        <v>0</v>
      </c>
      <c r="P97" s="540">
        <v>0</v>
      </c>
      <c r="Q97" s="540">
        <v>0</v>
      </c>
      <c r="R97" s="540">
        <v>0</v>
      </c>
      <c r="S97" s="540">
        <v>0</v>
      </c>
      <c r="T97" s="540">
        <v>0</v>
      </c>
      <c r="U97" s="541">
        <v>0</v>
      </c>
      <c r="V97" s="541">
        <v>0</v>
      </c>
      <c r="W97" s="541">
        <v>0</v>
      </c>
      <c r="X97" s="541">
        <v>0</v>
      </c>
      <c r="Y97" s="541">
        <v>0</v>
      </c>
      <c r="Z97" s="542">
        <v>0.48091603053435111</v>
      </c>
      <c r="AA97" s="542">
        <v>0.51908396946564883</v>
      </c>
      <c r="AB97" s="540"/>
      <c r="AC97" s="543">
        <f t="shared" si="314"/>
        <v>1</v>
      </c>
      <c r="AD97" s="538"/>
      <c r="AE97" s="544">
        <f t="shared" si="315"/>
        <v>0</v>
      </c>
      <c r="AF97" s="544">
        <f t="shared" si="316"/>
        <v>0</v>
      </c>
      <c r="AG97" s="544">
        <f t="shared" si="317"/>
        <v>0</v>
      </c>
      <c r="AH97" s="544">
        <f t="shared" si="318"/>
        <v>0</v>
      </c>
      <c r="AI97" s="544">
        <f t="shared" si="319"/>
        <v>0</v>
      </c>
      <c r="AJ97" s="544">
        <f t="shared" si="320"/>
        <v>0</v>
      </c>
      <c r="AK97" s="539">
        <f t="shared" si="321"/>
        <v>0</v>
      </c>
      <c r="AL97" s="539">
        <f t="shared" si="322"/>
        <v>0</v>
      </c>
      <c r="AM97" s="539">
        <f t="shared" si="323"/>
        <v>0</v>
      </c>
      <c r="AN97" s="539">
        <f t="shared" si="324"/>
        <v>0</v>
      </c>
      <c r="AO97" s="539">
        <f t="shared" si="325"/>
        <v>0</v>
      </c>
      <c r="AP97" s="539">
        <f t="shared" si="326"/>
        <v>0</v>
      </c>
      <c r="AQ97" s="539">
        <f t="shared" si="327"/>
        <v>0</v>
      </c>
      <c r="AR97" s="539">
        <f t="shared" si="328"/>
        <v>0</v>
      </c>
      <c r="AS97" s="545">
        <f t="shared" si="329"/>
        <v>0</v>
      </c>
      <c r="AT97" s="545">
        <f t="shared" si="330"/>
        <v>0</v>
      </c>
      <c r="AU97" s="545">
        <f t="shared" si="331"/>
        <v>0</v>
      </c>
      <c r="AV97" s="545">
        <f t="shared" si="332"/>
        <v>0</v>
      </c>
      <c r="AW97" s="545">
        <f t="shared" si="333"/>
        <v>0</v>
      </c>
      <c r="AX97" s="545">
        <f t="shared" si="334"/>
        <v>8079.1200000000008</v>
      </c>
      <c r="AY97" s="549">
        <f t="shared" si="335"/>
        <v>8720.3200000000015</v>
      </c>
      <c r="AZ97" s="545">
        <f t="shared" si="336"/>
        <v>0</v>
      </c>
      <c r="BA97" s="544"/>
      <c r="BB97" s="544">
        <f t="shared" si="337"/>
        <v>0</v>
      </c>
      <c r="BC97" s="544">
        <f t="shared" si="337"/>
        <v>0</v>
      </c>
      <c r="BD97" s="539">
        <f t="shared" si="337"/>
        <v>0</v>
      </c>
      <c r="BE97" s="544">
        <f t="shared" si="337"/>
        <v>0</v>
      </c>
      <c r="BF97" s="544">
        <f t="shared" si="337"/>
        <v>0</v>
      </c>
      <c r="BG97" s="544">
        <f t="shared" si="337"/>
        <v>0</v>
      </c>
      <c r="BH97" s="544">
        <f t="shared" si="337"/>
        <v>0</v>
      </c>
      <c r="BI97" s="544">
        <f t="shared" si="337"/>
        <v>0</v>
      </c>
      <c r="BJ97" s="544">
        <f t="shared" si="337"/>
        <v>0</v>
      </c>
      <c r="BK97" s="544">
        <f t="shared" si="337"/>
        <v>0</v>
      </c>
      <c r="BL97" s="544">
        <f t="shared" si="337"/>
        <v>0</v>
      </c>
      <c r="BM97" s="544">
        <f t="shared" si="337"/>
        <v>0</v>
      </c>
      <c r="BN97" s="544">
        <f t="shared" si="337"/>
        <v>0</v>
      </c>
      <c r="BO97" s="544">
        <f t="shared" si="337"/>
        <v>0</v>
      </c>
      <c r="BP97" s="544">
        <f t="shared" si="337"/>
        <v>0</v>
      </c>
      <c r="BQ97" s="544">
        <f t="shared" si="337"/>
        <v>0</v>
      </c>
      <c r="BR97" s="544">
        <f t="shared" si="341"/>
        <v>0</v>
      </c>
      <c r="BS97" s="544">
        <f t="shared" si="341"/>
        <v>0</v>
      </c>
      <c r="BT97" s="545">
        <f t="shared" si="341"/>
        <v>16799.440000000002</v>
      </c>
      <c r="BU97" s="544">
        <f t="shared" si="341"/>
        <v>0</v>
      </c>
      <c r="BV97" s="544">
        <f t="shared" si="341"/>
        <v>0</v>
      </c>
      <c r="BW97" s="544">
        <f t="shared" si="341"/>
        <v>0</v>
      </c>
      <c r="BX97" s="546">
        <f t="shared" si="338"/>
        <v>0</v>
      </c>
      <c r="BY97" s="547">
        <f t="shared" si="339"/>
        <v>0</v>
      </c>
      <c r="BZ97" s="547">
        <f t="shared" si="340"/>
        <v>0</v>
      </c>
      <c r="CB97" s="547"/>
    </row>
    <row r="98" spans="1:80" s="536" customFormat="1" ht="15" customHeight="1">
      <c r="A98" s="536" t="s">
        <v>129</v>
      </c>
      <c r="B98" s="234"/>
      <c r="C98" s="537"/>
      <c r="D98" s="538"/>
      <c r="E98" s="539">
        <v>16799.440000000002</v>
      </c>
      <c r="F98" s="538" t="s">
        <v>250</v>
      </c>
      <c r="G98" s="540"/>
      <c r="H98" s="540"/>
      <c r="I98" s="540"/>
      <c r="J98" s="540"/>
      <c r="K98" s="540"/>
      <c r="L98" s="540">
        <v>0</v>
      </c>
      <c r="M98" s="540">
        <v>0</v>
      </c>
      <c r="N98" s="540">
        <v>0</v>
      </c>
      <c r="O98" s="540">
        <v>0</v>
      </c>
      <c r="P98" s="540">
        <v>0</v>
      </c>
      <c r="Q98" s="540">
        <v>0</v>
      </c>
      <c r="R98" s="540">
        <v>0</v>
      </c>
      <c r="S98" s="540">
        <v>0</v>
      </c>
      <c r="T98" s="540">
        <v>0</v>
      </c>
      <c r="U98" s="541">
        <v>0</v>
      </c>
      <c r="V98" s="541">
        <v>0</v>
      </c>
      <c r="W98" s="541">
        <v>0</v>
      </c>
      <c r="X98" s="541">
        <v>0</v>
      </c>
      <c r="Y98" s="541">
        <v>0</v>
      </c>
      <c r="Z98" s="542">
        <v>0.48091603053435111</v>
      </c>
      <c r="AA98" s="542">
        <v>0.51908396946564883</v>
      </c>
      <c r="AB98" s="540"/>
      <c r="AC98" s="543">
        <f t="shared" si="314"/>
        <v>1</v>
      </c>
      <c r="AD98" s="538"/>
      <c r="AE98" s="544">
        <f t="shared" si="315"/>
        <v>0</v>
      </c>
      <c r="AF98" s="544">
        <f t="shared" si="316"/>
        <v>0</v>
      </c>
      <c r="AG98" s="544">
        <f t="shared" si="317"/>
        <v>0</v>
      </c>
      <c r="AH98" s="544">
        <f t="shared" si="318"/>
        <v>0</v>
      </c>
      <c r="AI98" s="544">
        <f t="shared" si="319"/>
        <v>0</v>
      </c>
      <c r="AJ98" s="544">
        <f t="shared" si="320"/>
        <v>0</v>
      </c>
      <c r="AK98" s="539">
        <f t="shared" si="321"/>
        <v>0</v>
      </c>
      <c r="AL98" s="539">
        <f t="shared" si="322"/>
        <v>0</v>
      </c>
      <c r="AM98" s="539">
        <f t="shared" si="323"/>
        <v>0</v>
      </c>
      <c r="AN98" s="539">
        <f t="shared" si="324"/>
        <v>0</v>
      </c>
      <c r="AO98" s="539">
        <f t="shared" si="325"/>
        <v>0</v>
      </c>
      <c r="AP98" s="539">
        <f t="shared" si="326"/>
        <v>0</v>
      </c>
      <c r="AQ98" s="539">
        <f t="shared" si="327"/>
        <v>0</v>
      </c>
      <c r="AR98" s="539">
        <f t="shared" si="328"/>
        <v>0</v>
      </c>
      <c r="AS98" s="545">
        <f t="shared" si="329"/>
        <v>0</v>
      </c>
      <c r="AT98" s="545">
        <f t="shared" si="330"/>
        <v>0</v>
      </c>
      <c r="AU98" s="545">
        <f t="shared" si="331"/>
        <v>0</v>
      </c>
      <c r="AV98" s="545">
        <f t="shared" si="332"/>
        <v>0</v>
      </c>
      <c r="AW98" s="545">
        <f t="shared" si="333"/>
        <v>0</v>
      </c>
      <c r="AX98" s="545">
        <f t="shared" si="334"/>
        <v>8079.1200000000008</v>
      </c>
      <c r="AY98" s="549">
        <f t="shared" si="335"/>
        <v>8720.3200000000015</v>
      </c>
      <c r="AZ98" s="545">
        <f t="shared" si="336"/>
        <v>0</v>
      </c>
      <c r="BA98" s="544"/>
      <c r="BB98" s="544">
        <f t="shared" si="337"/>
        <v>0</v>
      </c>
      <c r="BC98" s="544">
        <f t="shared" si="337"/>
        <v>0</v>
      </c>
      <c r="BD98" s="539">
        <f t="shared" si="337"/>
        <v>0</v>
      </c>
      <c r="BE98" s="544">
        <f t="shared" si="337"/>
        <v>0</v>
      </c>
      <c r="BF98" s="544">
        <f t="shared" si="337"/>
        <v>0</v>
      </c>
      <c r="BG98" s="544">
        <f t="shared" si="337"/>
        <v>0</v>
      </c>
      <c r="BH98" s="544">
        <f t="shared" si="337"/>
        <v>0</v>
      </c>
      <c r="BI98" s="544">
        <f t="shared" si="337"/>
        <v>0</v>
      </c>
      <c r="BJ98" s="544">
        <f t="shared" si="337"/>
        <v>0</v>
      </c>
      <c r="BK98" s="544">
        <f t="shared" si="337"/>
        <v>0</v>
      </c>
      <c r="BL98" s="544">
        <f t="shared" si="337"/>
        <v>0</v>
      </c>
      <c r="BM98" s="544">
        <f t="shared" si="337"/>
        <v>0</v>
      </c>
      <c r="BN98" s="544">
        <f t="shared" si="337"/>
        <v>0</v>
      </c>
      <c r="BO98" s="544">
        <f t="shared" si="337"/>
        <v>0</v>
      </c>
      <c r="BP98" s="544">
        <f t="shared" si="337"/>
        <v>0</v>
      </c>
      <c r="BQ98" s="544">
        <f t="shared" si="337"/>
        <v>0</v>
      </c>
      <c r="BR98" s="544">
        <f t="shared" si="341"/>
        <v>0</v>
      </c>
      <c r="BS98" s="544">
        <f t="shared" si="341"/>
        <v>0</v>
      </c>
      <c r="BT98" s="545">
        <f t="shared" si="341"/>
        <v>16799.440000000002</v>
      </c>
      <c r="BU98" s="544">
        <f t="shared" si="341"/>
        <v>0</v>
      </c>
      <c r="BV98" s="544">
        <f t="shared" si="341"/>
        <v>0</v>
      </c>
      <c r="BW98" s="544">
        <f t="shared" si="341"/>
        <v>0</v>
      </c>
      <c r="BX98" s="546">
        <f t="shared" si="338"/>
        <v>0</v>
      </c>
      <c r="BY98" s="547">
        <f t="shared" si="339"/>
        <v>0</v>
      </c>
      <c r="BZ98" s="547">
        <f t="shared" si="340"/>
        <v>0</v>
      </c>
      <c r="CB98" s="547"/>
    </row>
    <row r="99" spans="1:80" s="536" customFormat="1" ht="15" customHeight="1">
      <c r="A99" s="536" t="s">
        <v>129</v>
      </c>
      <c r="B99" s="234"/>
      <c r="C99" s="537"/>
      <c r="D99" s="538"/>
      <c r="E99" s="539">
        <v>16799.440000000002</v>
      </c>
      <c r="F99" s="538" t="s">
        <v>250</v>
      </c>
      <c r="G99" s="540"/>
      <c r="H99" s="540"/>
      <c r="I99" s="540"/>
      <c r="J99" s="540"/>
      <c r="K99" s="540"/>
      <c r="L99" s="540">
        <v>0</v>
      </c>
      <c r="M99" s="540">
        <v>0</v>
      </c>
      <c r="N99" s="540">
        <v>0</v>
      </c>
      <c r="O99" s="540">
        <v>0</v>
      </c>
      <c r="P99" s="540">
        <v>0</v>
      </c>
      <c r="Q99" s="540">
        <v>0</v>
      </c>
      <c r="R99" s="540">
        <v>0</v>
      </c>
      <c r="S99" s="540">
        <v>0</v>
      </c>
      <c r="T99" s="540">
        <v>0</v>
      </c>
      <c r="U99" s="541">
        <v>0</v>
      </c>
      <c r="V99" s="541">
        <v>0</v>
      </c>
      <c r="W99" s="541">
        <v>0</v>
      </c>
      <c r="X99" s="541">
        <v>0</v>
      </c>
      <c r="Y99" s="541">
        <v>0</v>
      </c>
      <c r="Z99" s="542">
        <v>0.48091603053435111</v>
      </c>
      <c r="AA99" s="542">
        <v>0.51908396946564883</v>
      </c>
      <c r="AB99" s="540"/>
      <c r="AC99" s="543">
        <f t="shared" si="314"/>
        <v>1</v>
      </c>
      <c r="AD99" s="538"/>
      <c r="AE99" s="544">
        <f t="shared" si="315"/>
        <v>0</v>
      </c>
      <c r="AF99" s="544">
        <f t="shared" si="316"/>
        <v>0</v>
      </c>
      <c r="AG99" s="544">
        <f t="shared" si="317"/>
        <v>0</v>
      </c>
      <c r="AH99" s="544">
        <f t="shared" si="318"/>
        <v>0</v>
      </c>
      <c r="AI99" s="544">
        <f t="shared" si="319"/>
        <v>0</v>
      </c>
      <c r="AJ99" s="544">
        <f t="shared" si="320"/>
        <v>0</v>
      </c>
      <c r="AK99" s="539">
        <f t="shared" si="321"/>
        <v>0</v>
      </c>
      <c r="AL99" s="539">
        <f t="shared" si="322"/>
        <v>0</v>
      </c>
      <c r="AM99" s="539">
        <f t="shared" si="323"/>
        <v>0</v>
      </c>
      <c r="AN99" s="539">
        <f t="shared" si="324"/>
        <v>0</v>
      </c>
      <c r="AO99" s="539">
        <f t="shared" si="325"/>
        <v>0</v>
      </c>
      <c r="AP99" s="539">
        <f t="shared" si="326"/>
        <v>0</v>
      </c>
      <c r="AQ99" s="539">
        <f t="shared" si="327"/>
        <v>0</v>
      </c>
      <c r="AR99" s="539">
        <f t="shared" si="328"/>
        <v>0</v>
      </c>
      <c r="AS99" s="545">
        <f t="shared" si="329"/>
        <v>0</v>
      </c>
      <c r="AT99" s="545">
        <f t="shared" si="330"/>
        <v>0</v>
      </c>
      <c r="AU99" s="545">
        <f t="shared" si="331"/>
        <v>0</v>
      </c>
      <c r="AV99" s="545">
        <f t="shared" si="332"/>
        <v>0</v>
      </c>
      <c r="AW99" s="545">
        <f t="shared" si="333"/>
        <v>0</v>
      </c>
      <c r="AX99" s="545">
        <f t="shared" si="334"/>
        <v>8079.1200000000008</v>
      </c>
      <c r="AY99" s="549">
        <f t="shared" si="335"/>
        <v>8720.3200000000015</v>
      </c>
      <c r="AZ99" s="545">
        <f t="shared" si="336"/>
        <v>0</v>
      </c>
      <c r="BA99" s="544"/>
      <c r="BB99" s="544">
        <f t="shared" si="337"/>
        <v>0</v>
      </c>
      <c r="BC99" s="544">
        <f t="shared" si="337"/>
        <v>0</v>
      </c>
      <c r="BD99" s="539">
        <f t="shared" si="337"/>
        <v>0</v>
      </c>
      <c r="BE99" s="544">
        <f t="shared" si="337"/>
        <v>0</v>
      </c>
      <c r="BF99" s="544">
        <f t="shared" si="337"/>
        <v>0</v>
      </c>
      <c r="BG99" s="544">
        <f t="shared" si="337"/>
        <v>0</v>
      </c>
      <c r="BH99" s="544">
        <f t="shared" si="337"/>
        <v>0</v>
      </c>
      <c r="BI99" s="544">
        <f t="shared" si="337"/>
        <v>0</v>
      </c>
      <c r="BJ99" s="544">
        <f t="shared" si="337"/>
        <v>0</v>
      </c>
      <c r="BK99" s="544">
        <f t="shared" si="337"/>
        <v>0</v>
      </c>
      <c r="BL99" s="544">
        <f t="shared" si="337"/>
        <v>0</v>
      </c>
      <c r="BM99" s="544">
        <f t="shared" si="337"/>
        <v>0</v>
      </c>
      <c r="BN99" s="544">
        <f t="shared" si="337"/>
        <v>0</v>
      </c>
      <c r="BO99" s="544">
        <f t="shared" si="337"/>
        <v>0</v>
      </c>
      <c r="BP99" s="544">
        <f t="shared" si="337"/>
        <v>0</v>
      </c>
      <c r="BQ99" s="544">
        <f t="shared" si="337"/>
        <v>0</v>
      </c>
      <c r="BR99" s="544">
        <f t="shared" si="341"/>
        <v>0</v>
      </c>
      <c r="BS99" s="544">
        <f t="shared" si="341"/>
        <v>0</v>
      </c>
      <c r="BT99" s="545">
        <f t="shared" si="341"/>
        <v>16799.440000000002</v>
      </c>
      <c r="BU99" s="544">
        <f t="shared" si="341"/>
        <v>0</v>
      </c>
      <c r="BV99" s="544">
        <f t="shared" si="341"/>
        <v>0</v>
      </c>
      <c r="BW99" s="544">
        <f t="shared" si="341"/>
        <v>0</v>
      </c>
      <c r="BX99" s="546">
        <f t="shared" si="338"/>
        <v>0</v>
      </c>
      <c r="BY99" s="547">
        <f t="shared" si="339"/>
        <v>0</v>
      </c>
      <c r="BZ99" s="547">
        <f t="shared" si="340"/>
        <v>0</v>
      </c>
      <c r="CB99" s="547"/>
    </row>
    <row r="100" spans="1:80" s="536" customFormat="1" ht="15" customHeight="1">
      <c r="A100" s="536" t="s">
        <v>129</v>
      </c>
      <c r="B100" s="392" t="s">
        <v>282</v>
      </c>
      <c r="C100" s="537"/>
      <c r="D100" s="538"/>
      <c r="E100" s="539">
        <v>23370.400000000001</v>
      </c>
      <c r="F100" s="538" t="s">
        <v>250</v>
      </c>
      <c r="G100" s="540"/>
      <c r="H100" s="540"/>
      <c r="I100" s="540"/>
      <c r="J100" s="540"/>
      <c r="K100" s="540"/>
      <c r="L100" s="540">
        <v>0</v>
      </c>
      <c r="M100" s="540">
        <v>0</v>
      </c>
      <c r="N100" s="540">
        <v>0</v>
      </c>
      <c r="O100" s="540">
        <v>0</v>
      </c>
      <c r="P100" s="540">
        <v>0</v>
      </c>
      <c r="Q100" s="540">
        <v>0</v>
      </c>
      <c r="R100" s="540">
        <v>0</v>
      </c>
      <c r="S100" s="540">
        <v>0</v>
      </c>
      <c r="T100" s="540">
        <v>0</v>
      </c>
      <c r="U100" s="541">
        <v>0</v>
      </c>
      <c r="V100" s="541">
        <v>0</v>
      </c>
      <c r="W100" s="541">
        <v>0</v>
      </c>
      <c r="X100" s="541">
        <v>0</v>
      </c>
      <c r="Y100" s="541">
        <v>0</v>
      </c>
      <c r="Z100" s="542">
        <v>0.48854961832061061</v>
      </c>
      <c r="AA100" s="542">
        <v>0.51145038167938939</v>
      </c>
      <c r="AB100" s="540"/>
      <c r="AC100" s="543">
        <f t="shared" si="314"/>
        <v>1</v>
      </c>
      <c r="AD100" s="538"/>
      <c r="AE100" s="544">
        <f t="shared" si="315"/>
        <v>0</v>
      </c>
      <c r="AF100" s="544">
        <f t="shared" si="316"/>
        <v>0</v>
      </c>
      <c r="AG100" s="544">
        <f t="shared" si="317"/>
        <v>0</v>
      </c>
      <c r="AH100" s="544">
        <f t="shared" si="318"/>
        <v>0</v>
      </c>
      <c r="AI100" s="544">
        <f t="shared" si="319"/>
        <v>0</v>
      </c>
      <c r="AJ100" s="544">
        <f t="shared" si="320"/>
        <v>0</v>
      </c>
      <c r="AK100" s="539">
        <f t="shared" si="321"/>
        <v>0</v>
      </c>
      <c r="AL100" s="539">
        <f t="shared" si="322"/>
        <v>0</v>
      </c>
      <c r="AM100" s="539">
        <f t="shared" si="323"/>
        <v>0</v>
      </c>
      <c r="AN100" s="539">
        <f t="shared" si="324"/>
        <v>0</v>
      </c>
      <c r="AO100" s="539">
        <f t="shared" si="325"/>
        <v>0</v>
      </c>
      <c r="AP100" s="539">
        <f t="shared" si="326"/>
        <v>0</v>
      </c>
      <c r="AQ100" s="539">
        <f t="shared" si="327"/>
        <v>0</v>
      </c>
      <c r="AR100" s="539">
        <f t="shared" si="328"/>
        <v>0</v>
      </c>
      <c r="AS100" s="545">
        <f t="shared" si="329"/>
        <v>0</v>
      </c>
      <c r="AT100" s="545">
        <f t="shared" si="330"/>
        <v>0</v>
      </c>
      <c r="AU100" s="545">
        <f t="shared" si="331"/>
        <v>0</v>
      </c>
      <c r="AV100" s="545">
        <f t="shared" si="332"/>
        <v>0</v>
      </c>
      <c r="AW100" s="545">
        <f t="shared" si="333"/>
        <v>0</v>
      </c>
      <c r="AX100" s="545">
        <f t="shared" si="334"/>
        <v>11417.599999999999</v>
      </c>
      <c r="AY100" s="549">
        <f t="shared" si="335"/>
        <v>11952.800000000003</v>
      </c>
      <c r="AZ100" s="545">
        <f t="shared" si="336"/>
        <v>0</v>
      </c>
      <c r="BA100" s="544"/>
      <c r="BB100" s="544">
        <f t="shared" si="337"/>
        <v>0</v>
      </c>
      <c r="BC100" s="544">
        <f t="shared" si="337"/>
        <v>0</v>
      </c>
      <c r="BD100" s="539">
        <f t="shared" si="337"/>
        <v>0</v>
      </c>
      <c r="BE100" s="544">
        <f t="shared" si="337"/>
        <v>0</v>
      </c>
      <c r="BF100" s="544">
        <f t="shared" si="337"/>
        <v>0</v>
      </c>
      <c r="BG100" s="544">
        <f t="shared" si="337"/>
        <v>0</v>
      </c>
      <c r="BH100" s="544">
        <f t="shared" si="337"/>
        <v>0</v>
      </c>
      <c r="BI100" s="544">
        <f t="shared" si="337"/>
        <v>0</v>
      </c>
      <c r="BJ100" s="544">
        <f t="shared" si="337"/>
        <v>0</v>
      </c>
      <c r="BK100" s="544">
        <f t="shared" si="337"/>
        <v>0</v>
      </c>
      <c r="BL100" s="544">
        <f t="shared" si="337"/>
        <v>0</v>
      </c>
      <c r="BM100" s="544">
        <f t="shared" si="337"/>
        <v>0</v>
      </c>
      <c r="BN100" s="544">
        <f t="shared" si="337"/>
        <v>0</v>
      </c>
      <c r="BO100" s="544">
        <f t="shared" si="337"/>
        <v>0</v>
      </c>
      <c r="BP100" s="544">
        <f t="shared" si="337"/>
        <v>0</v>
      </c>
      <c r="BQ100" s="544">
        <f t="shared" si="337"/>
        <v>0</v>
      </c>
      <c r="BR100" s="544">
        <f t="shared" si="341"/>
        <v>0</v>
      </c>
      <c r="BS100" s="544">
        <f t="shared" si="341"/>
        <v>0</v>
      </c>
      <c r="BT100" s="545">
        <f t="shared" si="341"/>
        <v>23370.400000000001</v>
      </c>
      <c r="BU100" s="544">
        <f t="shared" si="341"/>
        <v>0</v>
      </c>
      <c r="BV100" s="544">
        <f t="shared" si="341"/>
        <v>0</v>
      </c>
      <c r="BW100" s="544">
        <f t="shared" si="341"/>
        <v>0</v>
      </c>
      <c r="BX100" s="546">
        <f t="shared" si="338"/>
        <v>0</v>
      </c>
      <c r="BY100" s="547">
        <f t="shared" si="339"/>
        <v>0</v>
      </c>
      <c r="BZ100" s="547">
        <f t="shared" si="340"/>
        <v>0</v>
      </c>
      <c r="CB100" s="547"/>
    </row>
    <row r="101" spans="1:80" s="536" customFormat="1" ht="15" customHeight="1">
      <c r="A101" s="536" t="s">
        <v>129</v>
      </c>
      <c r="B101" s="392" t="s">
        <v>282</v>
      </c>
      <c r="C101" s="537"/>
      <c r="D101" s="538"/>
      <c r="E101" s="539">
        <v>21242.959999999999</v>
      </c>
      <c r="F101" s="538" t="s">
        <v>250</v>
      </c>
      <c r="G101" s="540"/>
      <c r="H101" s="540"/>
      <c r="I101" s="540"/>
      <c r="J101" s="540"/>
      <c r="K101" s="540"/>
      <c r="L101" s="540">
        <v>0</v>
      </c>
      <c r="M101" s="540">
        <v>0</v>
      </c>
      <c r="N101" s="540">
        <v>0</v>
      </c>
      <c r="O101" s="540">
        <v>0</v>
      </c>
      <c r="P101" s="540">
        <v>0</v>
      </c>
      <c r="Q101" s="540">
        <v>0</v>
      </c>
      <c r="R101" s="540">
        <v>0</v>
      </c>
      <c r="S101" s="540">
        <v>0</v>
      </c>
      <c r="T101" s="540">
        <v>0</v>
      </c>
      <c r="U101" s="541">
        <v>0</v>
      </c>
      <c r="V101" s="541">
        <v>0</v>
      </c>
      <c r="W101" s="541">
        <v>0</v>
      </c>
      <c r="X101" s="541">
        <v>0</v>
      </c>
      <c r="Y101" s="541">
        <v>0</v>
      </c>
      <c r="Z101" s="542">
        <v>0.48091603053435117</v>
      </c>
      <c r="AA101" s="542">
        <v>0.51908396946564883</v>
      </c>
      <c r="AB101" s="540"/>
      <c r="AC101" s="543">
        <f t="shared" si="314"/>
        <v>1</v>
      </c>
      <c r="AD101" s="538"/>
      <c r="AE101" s="544">
        <f t="shared" si="315"/>
        <v>0</v>
      </c>
      <c r="AF101" s="544">
        <f t="shared" si="316"/>
        <v>0</v>
      </c>
      <c r="AG101" s="544">
        <f t="shared" si="317"/>
        <v>0</v>
      </c>
      <c r="AH101" s="544">
        <f t="shared" si="318"/>
        <v>0</v>
      </c>
      <c r="AI101" s="544">
        <f t="shared" si="319"/>
        <v>0</v>
      </c>
      <c r="AJ101" s="544">
        <f t="shared" si="320"/>
        <v>0</v>
      </c>
      <c r="AK101" s="539">
        <f t="shared" si="321"/>
        <v>0</v>
      </c>
      <c r="AL101" s="539">
        <f t="shared" si="322"/>
        <v>0</v>
      </c>
      <c r="AM101" s="539">
        <f t="shared" si="323"/>
        <v>0</v>
      </c>
      <c r="AN101" s="539">
        <f t="shared" si="324"/>
        <v>0</v>
      </c>
      <c r="AO101" s="539">
        <f t="shared" si="325"/>
        <v>0</v>
      </c>
      <c r="AP101" s="539">
        <f t="shared" si="326"/>
        <v>0</v>
      </c>
      <c r="AQ101" s="539">
        <f t="shared" si="327"/>
        <v>0</v>
      </c>
      <c r="AR101" s="539">
        <f t="shared" si="328"/>
        <v>0</v>
      </c>
      <c r="AS101" s="545">
        <f t="shared" si="329"/>
        <v>0</v>
      </c>
      <c r="AT101" s="545">
        <f t="shared" si="330"/>
        <v>0</v>
      </c>
      <c r="AU101" s="545">
        <f t="shared" si="331"/>
        <v>0</v>
      </c>
      <c r="AV101" s="545">
        <f t="shared" si="332"/>
        <v>0</v>
      </c>
      <c r="AW101" s="545">
        <f t="shared" si="333"/>
        <v>0</v>
      </c>
      <c r="AX101" s="545">
        <f t="shared" si="334"/>
        <v>10216.08</v>
      </c>
      <c r="AY101" s="549">
        <f t="shared" si="335"/>
        <v>11026.88</v>
      </c>
      <c r="AZ101" s="545">
        <f t="shared" si="336"/>
        <v>0</v>
      </c>
      <c r="BA101" s="544"/>
      <c r="BB101" s="544">
        <f t="shared" si="337"/>
        <v>0</v>
      </c>
      <c r="BC101" s="544">
        <f t="shared" si="337"/>
        <v>0</v>
      </c>
      <c r="BD101" s="539">
        <f t="shared" si="337"/>
        <v>0</v>
      </c>
      <c r="BE101" s="544">
        <f t="shared" si="337"/>
        <v>0</v>
      </c>
      <c r="BF101" s="544">
        <f t="shared" si="337"/>
        <v>0</v>
      </c>
      <c r="BG101" s="544">
        <f t="shared" si="337"/>
        <v>0</v>
      </c>
      <c r="BH101" s="544">
        <f t="shared" si="337"/>
        <v>0</v>
      </c>
      <c r="BI101" s="544">
        <f t="shared" si="337"/>
        <v>0</v>
      </c>
      <c r="BJ101" s="544">
        <f t="shared" si="337"/>
        <v>0</v>
      </c>
      <c r="BK101" s="544">
        <f t="shared" si="337"/>
        <v>0</v>
      </c>
      <c r="BL101" s="544">
        <f t="shared" si="337"/>
        <v>0</v>
      </c>
      <c r="BM101" s="544">
        <f t="shared" si="337"/>
        <v>0</v>
      </c>
      <c r="BN101" s="544">
        <f t="shared" si="337"/>
        <v>0</v>
      </c>
      <c r="BO101" s="544">
        <f t="shared" si="337"/>
        <v>0</v>
      </c>
      <c r="BP101" s="544">
        <f t="shared" si="337"/>
        <v>0</v>
      </c>
      <c r="BQ101" s="544">
        <f t="shared" si="337"/>
        <v>0</v>
      </c>
      <c r="BR101" s="544">
        <f t="shared" si="341"/>
        <v>0</v>
      </c>
      <c r="BS101" s="544">
        <f t="shared" si="341"/>
        <v>0</v>
      </c>
      <c r="BT101" s="545">
        <f t="shared" si="341"/>
        <v>21242.959999999999</v>
      </c>
      <c r="BU101" s="544">
        <f t="shared" si="341"/>
        <v>0</v>
      </c>
      <c r="BV101" s="544">
        <f t="shared" si="341"/>
        <v>0</v>
      </c>
      <c r="BW101" s="544">
        <f t="shared" si="341"/>
        <v>0</v>
      </c>
      <c r="BX101" s="546">
        <f t="shared" si="338"/>
        <v>0</v>
      </c>
      <c r="BY101" s="547">
        <f t="shared" si="339"/>
        <v>0</v>
      </c>
      <c r="BZ101" s="547">
        <f t="shared" si="340"/>
        <v>0</v>
      </c>
      <c r="CB101" s="547"/>
    </row>
    <row r="102" spans="1:80" s="536" customFormat="1" ht="15" customHeight="1">
      <c r="A102" s="536" t="s">
        <v>129</v>
      </c>
      <c r="B102" s="392" t="s">
        <v>284</v>
      </c>
      <c r="C102" s="537"/>
      <c r="D102" s="538"/>
      <c r="E102" s="539">
        <v>15384</v>
      </c>
      <c r="F102" s="538" t="s">
        <v>250</v>
      </c>
      <c r="G102" s="540"/>
      <c r="H102" s="540"/>
      <c r="I102" s="540"/>
      <c r="J102" s="540"/>
      <c r="K102" s="540"/>
      <c r="L102" s="540">
        <v>0</v>
      </c>
      <c r="M102" s="540">
        <v>0</v>
      </c>
      <c r="N102" s="540">
        <v>0</v>
      </c>
      <c r="O102" s="540">
        <v>0</v>
      </c>
      <c r="P102" s="540">
        <v>0</v>
      </c>
      <c r="Q102" s="540">
        <v>0</v>
      </c>
      <c r="R102" s="540">
        <v>0</v>
      </c>
      <c r="S102" s="540">
        <v>0</v>
      </c>
      <c r="T102" s="540">
        <v>0</v>
      </c>
      <c r="U102" s="541">
        <v>0</v>
      </c>
      <c r="V102" s="541">
        <v>0</v>
      </c>
      <c r="W102" s="541">
        <v>0</v>
      </c>
      <c r="X102" s="541">
        <v>0</v>
      </c>
      <c r="Y102" s="541">
        <v>0</v>
      </c>
      <c r="Z102" s="542">
        <v>0.45</v>
      </c>
      <c r="AA102" s="542">
        <v>0.55000000000000004</v>
      </c>
      <c r="AB102" s="540"/>
      <c r="AC102" s="543">
        <f t="shared" si="314"/>
        <v>1</v>
      </c>
      <c r="AD102" s="538"/>
      <c r="AE102" s="544">
        <f t="shared" si="315"/>
        <v>0</v>
      </c>
      <c r="AF102" s="544">
        <f t="shared" si="316"/>
        <v>0</v>
      </c>
      <c r="AG102" s="544">
        <f t="shared" si="317"/>
        <v>0</v>
      </c>
      <c r="AH102" s="544">
        <f t="shared" si="318"/>
        <v>0</v>
      </c>
      <c r="AI102" s="544">
        <f t="shared" si="319"/>
        <v>0</v>
      </c>
      <c r="AJ102" s="544">
        <f t="shared" si="320"/>
        <v>0</v>
      </c>
      <c r="AK102" s="539">
        <f t="shared" si="321"/>
        <v>0</v>
      </c>
      <c r="AL102" s="539">
        <f t="shared" si="322"/>
        <v>0</v>
      </c>
      <c r="AM102" s="539">
        <f t="shared" si="323"/>
        <v>0</v>
      </c>
      <c r="AN102" s="539">
        <f t="shared" si="324"/>
        <v>0</v>
      </c>
      <c r="AO102" s="539">
        <f t="shared" si="325"/>
        <v>0</v>
      </c>
      <c r="AP102" s="539">
        <f t="shared" si="326"/>
        <v>0</v>
      </c>
      <c r="AQ102" s="539">
        <f t="shared" si="327"/>
        <v>0</v>
      </c>
      <c r="AR102" s="539">
        <f t="shared" si="328"/>
        <v>0</v>
      </c>
      <c r="AS102" s="545">
        <f t="shared" si="329"/>
        <v>0</v>
      </c>
      <c r="AT102" s="545">
        <f t="shared" si="330"/>
        <v>0</v>
      </c>
      <c r="AU102" s="545">
        <f t="shared" si="331"/>
        <v>0</v>
      </c>
      <c r="AV102" s="545">
        <f t="shared" si="332"/>
        <v>0</v>
      </c>
      <c r="AW102" s="545">
        <f t="shared" si="333"/>
        <v>0</v>
      </c>
      <c r="AX102" s="545">
        <f t="shared" si="334"/>
        <v>6922.8</v>
      </c>
      <c r="AY102" s="549">
        <f t="shared" si="335"/>
        <v>8461.2000000000007</v>
      </c>
      <c r="AZ102" s="545">
        <f t="shared" si="336"/>
        <v>0</v>
      </c>
      <c r="BA102" s="544"/>
      <c r="BB102" s="544">
        <f t="shared" si="337"/>
        <v>0</v>
      </c>
      <c r="BC102" s="544">
        <f t="shared" si="337"/>
        <v>0</v>
      </c>
      <c r="BD102" s="539">
        <f t="shared" si="337"/>
        <v>0</v>
      </c>
      <c r="BE102" s="544">
        <f t="shared" si="337"/>
        <v>0</v>
      </c>
      <c r="BF102" s="544">
        <f t="shared" si="337"/>
        <v>0</v>
      </c>
      <c r="BG102" s="544">
        <f t="shared" si="337"/>
        <v>0</v>
      </c>
      <c r="BH102" s="544">
        <f t="shared" si="337"/>
        <v>0</v>
      </c>
      <c r="BI102" s="544">
        <f t="shared" si="337"/>
        <v>0</v>
      </c>
      <c r="BJ102" s="544">
        <f t="shared" si="337"/>
        <v>0</v>
      </c>
      <c r="BK102" s="544">
        <f t="shared" si="337"/>
        <v>0</v>
      </c>
      <c r="BL102" s="544">
        <f t="shared" si="337"/>
        <v>0</v>
      </c>
      <c r="BM102" s="544">
        <f t="shared" si="337"/>
        <v>0</v>
      </c>
      <c r="BN102" s="544">
        <f t="shared" si="337"/>
        <v>0</v>
      </c>
      <c r="BO102" s="544">
        <f t="shared" si="337"/>
        <v>0</v>
      </c>
      <c r="BP102" s="544">
        <f t="shared" si="337"/>
        <v>0</v>
      </c>
      <c r="BQ102" s="544">
        <f t="shared" si="337"/>
        <v>0</v>
      </c>
      <c r="BR102" s="544">
        <f t="shared" si="341"/>
        <v>0</v>
      </c>
      <c r="BS102" s="544">
        <f t="shared" si="341"/>
        <v>0</v>
      </c>
      <c r="BT102" s="545">
        <f t="shared" si="341"/>
        <v>15384</v>
      </c>
      <c r="BU102" s="544">
        <f t="shared" si="341"/>
        <v>0</v>
      </c>
      <c r="BV102" s="544">
        <f t="shared" si="341"/>
        <v>0</v>
      </c>
      <c r="BW102" s="544">
        <f t="shared" si="341"/>
        <v>0</v>
      </c>
      <c r="BX102" s="546">
        <f t="shared" si="338"/>
        <v>0</v>
      </c>
      <c r="BY102" s="547">
        <f t="shared" si="339"/>
        <v>0</v>
      </c>
      <c r="BZ102" s="547">
        <f t="shared" si="340"/>
        <v>0</v>
      </c>
      <c r="CB102" s="547"/>
    </row>
    <row r="103" spans="1:80" s="536" customFormat="1" ht="15" customHeight="1">
      <c r="A103" s="536" t="s">
        <v>129</v>
      </c>
      <c r="B103" s="234"/>
      <c r="C103" s="537"/>
      <c r="D103" s="538"/>
      <c r="E103" s="539">
        <v>37500</v>
      </c>
      <c r="F103" s="538" t="s">
        <v>250</v>
      </c>
      <c r="G103" s="540"/>
      <c r="H103" s="540"/>
      <c r="I103" s="540"/>
      <c r="J103" s="540"/>
      <c r="K103" s="540"/>
      <c r="L103" s="540">
        <v>0</v>
      </c>
      <c r="M103" s="540">
        <v>0</v>
      </c>
      <c r="N103" s="540">
        <v>0</v>
      </c>
      <c r="O103" s="540">
        <v>0</v>
      </c>
      <c r="P103" s="540">
        <v>0</v>
      </c>
      <c r="Q103" s="540">
        <v>0</v>
      </c>
      <c r="R103" s="540">
        <v>0</v>
      </c>
      <c r="S103" s="540">
        <v>0</v>
      </c>
      <c r="T103" s="540">
        <v>0</v>
      </c>
      <c r="U103" s="541">
        <v>0</v>
      </c>
      <c r="V103" s="541">
        <v>0</v>
      </c>
      <c r="W103" s="541">
        <v>0</v>
      </c>
      <c r="X103" s="541">
        <v>0</v>
      </c>
      <c r="Y103" s="541">
        <v>0</v>
      </c>
      <c r="Z103" s="542">
        <v>0.32</v>
      </c>
      <c r="AA103" s="542">
        <v>0.68</v>
      </c>
      <c r="AB103" s="540"/>
      <c r="AC103" s="543">
        <f t="shared" ref="AC103:AC111" si="342">SUM(G103:AB103)</f>
        <v>1</v>
      </c>
      <c r="AD103" s="538"/>
      <c r="AE103" s="544">
        <f t="shared" ref="AE103:AE111" si="343">G103*$E103</f>
        <v>0</v>
      </c>
      <c r="AF103" s="544">
        <f t="shared" ref="AF103:AF111" si="344">H103*$E103</f>
        <v>0</v>
      </c>
      <c r="AG103" s="544">
        <f t="shared" ref="AG103:AG111" si="345">I103*$E103</f>
        <v>0</v>
      </c>
      <c r="AH103" s="544">
        <f t="shared" ref="AH103:AH111" si="346">J103*$E103</f>
        <v>0</v>
      </c>
      <c r="AI103" s="544">
        <f t="shared" ref="AI103:AI111" si="347">K103*$E103</f>
        <v>0</v>
      </c>
      <c r="AJ103" s="544">
        <f t="shared" ref="AJ103:AJ111" si="348">L103*$E103</f>
        <v>0</v>
      </c>
      <c r="AK103" s="539">
        <f t="shared" ref="AK103:AK111" si="349">M103*$E103</f>
        <v>0</v>
      </c>
      <c r="AL103" s="539">
        <f t="shared" ref="AL103:AL111" si="350">N103*$E103</f>
        <v>0</v>
      </c>
      <c r="AM103" s="539">
        <f t="shared" ref="AM103:AM111" si="351">O103*$E103</f>
        <v>0</v>
      </c>
      <c r="AN103" s="539">
        <f t="shared" ref="AN103:AN111" si="352">P103*$E103</f>
        <v>0</v>
      </c>
      <c r="AO103" s="539">
        <f t="shared" ref="AO103:AO111" si="353">Q103*$E103</f>
        <v>0</v>
      </c>
      <c r="AP103" s="539">
        <f t="shared" ref="AP103:AP111" si="354">R103*$E103</f>
        <v>0</v>
      </c>
      <c r="AQ103" s="539">
        <f t="shared" ref="AQ103:AQ111" si="355">S103*$E103</f>
        <v>0</v>
      </c>
      <c r="AR103" s="539">
        <f t="shared" ref="AR103:AR111" si="356">T103*$E103</f>
        <v>0</v>
      </c>
      <c r="AS103" s="545">
        <f t="shared" ref="AS103:AS111" si="357">U103*$E103</f>
        <v>0</v>
      </c>
      <c r="AT103" s="545">
        <f t="shared" ref="AT103:AT111" si="358">V103*$E103</f>
        <v>0</v>
      </c>
      <c r="AU103" s="545">
        <f t="shared" ref="AU103:AU111" si="359">W103*$E103</f>
        <v>0</v>
      </c>
      <c r="AV103" s="545">
        <f t="shared" ref="AV103:AV111" si="360">X103*$E103</f>
        <v>0</v>
      </c>
      <c r="AW103" s="545">
        <f t="shared" ref="AW103:AW111" si="361">Y103*$E103</f>
        <v>0</v>
      </c>
      <c r="AX103" s="545">
        <f t="shared" ref="AX103:AX111" si="362">Z103*$E103</f>
        <v>12000</v>
      </c>
      <c r="AY103" s="549">
        <f t="shared" ref="AY103:AY111" si="363">AA103*$E103</f>
        <v>25500.000000000004</v>
      </c>
      <c r="AZ103" s="545">
        <f t="shared" ref="AZ103:AZ111" si="364">AB103*$E103</f>
        <v>0</v>
      </c>
      <c r="BA103" s="544"/>
      <c r="BB103" s="544">
        <f t="shared" si="337"/>
        <v>0</v>
      </c>
      <c r="BC103" s="544">
        <f t="shared" si="337"/>
        <v>0</v>
      </c>
      <c r="BD103" s="539">
        <f t="shared" si="337"/>
        <v>0</v>
      </c>
      <c r="BE103" s="544">
        <f t="shared" si="337"/>
        <v>0</v>
      </c>
      <c r="BF103" s="544">
        <f t="shared" si="337"/>
        <v>0</v>
      </c>
      <c r="BG103" s="544">
        <f t="shared" si="337"/>
        <v>0</v>
      </c>
      <c r="BH103" s="544">
        <f t="shared" si="337"/>
        <v>0</v>
      </c>
      <c r="BI103" s="544">
        <f t="shared" si="337"/>
        <v>0</v>
      </c>
      <c r="BJ103" s="544">
        <f t="shared" si="337"/>
        <v>0</v>
      </c>
      <c r="BK103" s="544">
        <f t="shared" si="337"/>
        <v>0</v>
      </c>
      <c r="BL103" s="544">
        <f t="shared" si="337"/>
        <v>0</v>
      </c>
      <c r="BM103" s="544">
        <f t="shared" si="337"/>
        <v>0</v>
      </c>
      <c r="BN103" s="544">
        <f t="shared" si="337"/>
        <v>0</v>
      </c>
      <c r="BO103" s="544">
        <f t="shared" si="337"/>
        <v>0</v>
      </c>
      <c r="BP103" s="544">
        <f t="shared" si="337"/>
        <v>0</v>
      </c>
      <c r="BQ103" s="544">
        <f t="shared" si="337"/>
        <v>0</v>
      </c>
      <c r="BR103" s="544">
        <f t="shared" si="341"/>
        <v>0</v>
      </c>
      <c r="BS103" s="544">
        <f t="shared" si="341"/>
        <v>0</v>
      </c>
      <c r="BT103" s="545">
        <f t="shared" si="341"/>
        <v>37500</v>
      </c>
      <c r="BU103" s="544">
        <f t="shared" si="341"/>
        <v>0</v>
      </c>
      <c r="BV103" s="544">
        <f t="shared" si="341"/>
        <v>0</v>
      </c>
      <c r="BW103" s="544">
        <f t="shared" si="341"/>
        <v>0</v>
      </c>
      <c r="BX103" s="546">
        <f t="shared" ref="BX103:BX111" si="365">SUM(AE103:AZ103)-SUM(BB103:BW103)</f>
        <v>0</v>
      </c>
      <c r="BY103" s="547">
        <f t="shared" ref="BY103:BY111" si="366">E103-SUM(BB103:BW103)</f>
        <v>0</v>
      </c>
      <c r="BZ103" s="547">
        <f t="shared" ref="BZ103:BZ111" si="367">+E103-SUM(AE103:AZ103)</f>
        <v>0</v>
      </c>
      <c r="CB103" s="547"/>
    </row>
    <row r="104" spans="1:80" s="536" customFormat="1" ht="15" customHeight="1">
      <c r="A104" s="536" t="s">
        <v>129</v>
      </c>
      <c r="B104" s="392" t="s">
        <v>312</v>
      </c>
      <c r="C104" s="537"/>
      <c r="D104" s="538"/>
      <c r="E104" s="539">
        <v>42000</v>
      </c>
      <c r="F104" s="538" t="s">
        <v>250</v>
      </c>
      <c r="G104" s="540"/>
      <c r="H104" s="540"/>
      <c r="I104" s="540"/>
      <c r="J104" s="540"/>
      <c r="K104" s="540"/>
      <c r="L104" s="540">
        <v>0</v>
      </c>
      <c r="M104" s="540">
        <v>0</v>
      </c>
      <c r="N104" s="540">
        <v>0</v>
      </c>
      <c r="O104" s="540">
        <v>0</v>
      </c>
      <c r="P104" s="540">
        <v>0</v>
      </c>
      <c r="Q104" s="540">
        <v>0</v>
      </c>
      <c r="R104" s="540">
        <v>0</v>
      </c>
      <c r="S104" s="540">
        <v>0</v>
      </c>
      <c r="T104" s="540">
        <v>0</v>
      </c>
      <c r="U104" s="541">
        <v>0</v>
      </c>
      <c r="V104" s="541">
        <v>0</v>
      </c>
      <c r="W104" s="541">
        <v>0</v>
      </c>
      <c r="X104" s="541">
        <v>0</v>
      </c>
      <c r="Y104" s="541">
        <v>0</v>
      </c>
      <c r="Z104" s="542">
        <v>0.33333333333333331</v>
      </c>
      <c r="AA104" s="542">
        <v>0.66666666666666663</v>
      </c>
      <c r="AB104" s="540"/>
      <c r="AC104" s="543">
        <f t="shared" si="342"/>
        <v>1</v>
      </c>
      <c r="AD104" s="538"/>
      <c r="AE104" s="544">
        <f t="shared" si="343"/>
        <v>0</v>
      </c>
      <c r="AF104" s="544">
        <f t="shared" si="344"/>
        <v>0</v>
      </c>
      <c r="AG104" s="544">
        <f t="shared" si="345"/>
        <v>0</v>
      </c>
      <c r="AH104" s="544">
        <f t="shared" si="346"/>
        <v>0</v>
      </c>
      <c r="AI104" s="544">
        <f t="shared" si="347"/>
        <v>0</v>
      </c>
      <c r="AJ104" s="544">
        <f t="shared" si="348"/>
        <v>0</v>
      </c>
      <c r="AK104" s="539">
        <f t="shared" si="349"/>
        <v>0</v>
      </c>
      <c r="AL104" s="539">
        <f t="shared" si="350"/>
        <v>0</v>
      </c>
      <c r="AM104" s="539">
        <f t="shared" si="351"/>
        <v>0</v>
      </c>
      <c r="AN104" s="539">
        <f t="shared" si="352"/>
        <v>0</v>
      </c>
      <c r="AO104" s="539">
        <f t="shared" si="353"/>
        <v>0</v>
      </c>
      <c r="AP104" s="539">
        <f t="shared" si="354"/>
        <v>0</v>
      </c>
      <c r="AQ104" s="539">
        <f t="shared" si="355"/>
        <v>0</v>
      </c>
      <c r="AR104" s="539">
        <f t="shared" si="356"/>
        <v>0</v>
      </c>
      <c r="AS104" s="545">
        <f t="shared" si="357"/>
        <v>0</v>
      </c>
      <c r="AT104" s="545">
        <f t="shared" si="358"/>
        <v>0</v>
      </c>
      <c r="AU104" s="545">
        <f t="shared" si="359"/>
        <v>0</v>
      </c>
      <c r="AV104" s="545">
        <f t="shared" si="360"/>
        <v>0</v>
      </c>
      <c r="AW104" s="545">
        <f t="shared" si="361"/>
        <v>0</v>
      </c>
      <c r="AX104" s="545">
        <f t="shared" si="362"/>
        <v>14000</v>
      </c>
      <c r="AY104" s="549">
        <f t="shared" si="363"/>
        <v>28000</v>
      </c>
      <c r="AZ104" s="545">
        <f t="shared" si="364"/>
        <v>0</v>
      </c>
      <c r="BA104" s="544"/>
      <c r="BB104" s="544">
        <f t="shared" si="337"/>
        <v>0</v>
      </c>
      <c r="BC104" s="544">
        <f t="shared" si="337"/>
        <v>0</v>
      </c>
      <c r="BD104" s="539">
        <f t="shared" si="337"/>
        <v>0</v>
      </c>
      <c r="BE104" s="544">
        <f t="shared" si="337"/>
        <v>0</v>
      </c>
      <c r="BF104" s="544">
        <f t="shared" si="337"/>
        <v>0</v>
      </c>
      <c r="BG104" s="544">
        <f t="shared" si="337"/>
        <v>0</v>
      </c>
      <c r="BH104" s="544">
        <f t="shared" si="337"/>
        <v>0</v>
      </c>
      <c r="BI104" s="544">
        <f t="shared" si="337"/>
        <v>0</v>
      </c>
      <c r="BJ104" s="544">
        <f t="shared" si="337"/>
        <v>0</v>
      </c>
      <c r="BK104" s="544">
        <f t="shared" si="337"/>
        <v>0</v>
      </c>
      <c r="BL104" s="544">
        <f t="shared" si="337"/>
        <v>0</v>
      </c>
      <c r="BM104" s="544">
        <f t="shared" si="337"/>
        <v>0</v>
      </c>
      <c r="BN104" s="544">
        <f t="shared" si="337"/>
        <v>0</v>
      </c>
      <c r="BO104" s="544">
        <f t="shared" si="337"/>
        <v>0</v>
      </c>
      <c r="BP104" s="544">
        <f t="shared" si="337"/>
        <v>0</v>
      </c>
      <c r="BQ104" s="544">
        <f t="shared" si="337"/>
        <v>0</v>
      </c>
      <c r="BR104" s="544">
        <f t="shared" si="341"/>
        <v>0</v>
      </c>
      <c r="BS104" s="544">
        <f t="shared" si="341"/>
        <v>0</v>
      </c>
      <c r="BT104" s="545">
        <f t="shared" si="341"/>
        <v>42000</v>
      </c>
      <c r="BU104" s="544">
        <f t="shared" si="341"/>
        <v>0</v>
      </c>
      <c r="BV104" s="544">
        <f t="shared" si="341"/>
        <v>0</v>
      </c>
      <c r="BW104" s="544">
        <f t="shared" si="341"/>
        <v>0</v>
      </c>
      <c r="BX104" s="546">
        <f t="shared" si="365"/>
        <v>0</v>
      </c>
      <c r="BY104" s="547">
        <f t="shared" si="366"/>
        <v>0</v>
      </c>
      <c r="BZ104" s="547">
        <f t="shared" si="367"/>
        <v>0</v>
      </c>
      <c r="CB104" s="547"/>
    </row>
    <row r="105" spans="1:80" s="536" customFormat="1" ht="15" customHeight="1">
      <c r="A105" s="536" t="s">
        <v>129</v>
      </c>
      <c r="B105" s="392"/>
      <c r="C105" s="537"/>
      <c r="D105" s="538"/>
      <c r="E105" s="539">
        <v>7671.2</v>
      </c>
      <c r="F105" s="538" t="s">
        <v>267</v>
      </c>
      <c r="G105" s="540"/>
      <c r="H105" s="540"/>
      <c r="I105" s="540"/>
      <c r="J105" s="540"/>
      <c r="K105" s="540"/>
      <c r="L105" s="540">
        <v>0</v>
      </c>
      <c r="M105" s="540">
        <v>0</v>
      </c>
      <c r="N105" s="540">
        <v>0</v>
      </c>
      <c r="O105" s="540">
        <v>0</v>
      </c>
      <c r="P105" s="540">
        <v>0</v>
      </c>
      <c r="Q105" s="540">
        <v>0</v>
      </c>
      <c r="R105" s="540">
        <v>0</v>
      </c>
      <c r="S105" s="540">
        <v>0</v>
      </c>
      <c r="T105" s="540">
        <v>0</v>
      </c>
      <c r="U105" s="541">
        <v>0</v>
      </c>
      <c r="V105" s="541">
        <v>0</v>
      </c>
      <c r="W105" s="541">
        <v>0</v>
      </c>
      <c r="X105" s="541">
        <v>0</v>
      </c>
      <c r="Y105" s="541">
        <v>0</v>
      </c>
      <c r="Z105" s="542">
        <v>0</v>
      </c>
      <c r="AA105" s="542">
        <v>0</v>
      </c>
      <c r="AB105" s="540">
        <v>1</v>
      </c>
      <c r="AC105" s="543">
        <f t="shared" ref="AC105:AC109" si="368">SUM(G105:AB105)</f>
        <v>1</v>
      </c>
      <c r="AD105" s="538"/>
      <c r="AE105" s="544">
        <f t="shared" ref="AE105:AE109" si="369">G105*$E105</f>
        <v>0</v>
      </c>
      <c r="AF105" s="544">
        <f t="shared" ref="AF105:AF109" si="370">H105*$E105</f>
        <v>0</v>
      </c>
      <c r="AG105" s="544">
        <f t="shared" ref="AG105:AG109" si="371">I105*$E105</f>
        <v>0</v>
      </c>
      <c r="AH105" s="544">
        <f t="shared" ref="AH105:AH109" si="372">J105*$E105</f>
        <v>0</v>
      </c>
      <c r="AI105" s="544">
        <f t="shared" ref="AI105:AI109" si="373">K105*$E105</f>
        <v>0</v>
      </c>
      <c r="AJ105" s="544">
        <f t="shared" ref="AJ105:AJ109" si="374">L105*$E105</f>
        <v>0</v>
      </c>
      <c r="AK105" s="539">
        <f t="shared" ref="AK105:AK109" si="375">M105*$E105</f>
        <v>0</v>
      </c>
      <c r="AL105" s="539">
        <f t="shared" ref="AL105:AL109" si="376">N105*$E105</f>
        <v>0</v>
      </c>
      <c r="AM105" s="539">
        <f t="shared" ref="AM105:AM109" si="377">O105*$E105</f>
        <v>0</v>
      </c>
      <c r="AN105" s="539">
        <f t="shared" ref="AN105:AN109" si="378">P105*$E105</f>
        <v>0</v>
      </c>
      <c r="AO105" s="539">
        <f t="shared" ref="AO105:AO109" si="379">Q105*$E105</f>
        <v>0</v>
      </c>
      <c r="AP105" s="539">
        <f t="shared" ref="AP105:AP109" si="380">R105*$E105</f>
        <v>0</v>
      </c>
      <c r="AQ105" s="539">
        <f t="shared" ref="AQ105:AQ109" si="381">S105*$E105</f>
        <v>0</v>
      </c>
      <c r="AR105" s="539">
        <f t="shared" ref="AR105:AR109" si="382">T105*$E105</f>
        <v>0</v>
      </c>
      <c r="AS105" s="545">
        <f t="shared" ref="AS105:AS109" si="383">U105*$E105</f>
        <v>0</v>
      </c>
      <c r="AT105" s="545">
        <f t="shared" ref="AT105:AT109" si="384">V105*$E105</f>
        <v>0</v>
      </c>
      <c r="AU105" s="545">
        <f t="shared" ref="AU105:AU109" si="385">W105*$E105</f>
        <v>0</v>
      </c>
      <c r="AV105" s="545">
        <f t="shared" ref="AV105:AV109" si="386">X105*$E105</f>
        <v>0</v>
      </c>
      <c r="AW105" s="545">
        <f t="shared" ref="AW105:AW109" si="387">Y105*$E105</f>
        <v>0</v>
      </c>
      <c r="AX105" s="545">
        <f t="shared" ref="AX105:AX109" si="388">Z105*$E105</f>
        <v>0</v>
      </c>
      <c r="AY105" s="545">
        <f t="shared" ref="AY105:AY109" si="389">AA105*$E105</f>
        <v>0</v>
      </c>
      <c r="AZ105" s="545">
        <f t="shared" ref="AZ105:AZ109" si="390">AB105*$E105</f>
        <v>7671.2</v>
      </c>
      <c r="BA105" s="544"/>
      <c r="BB105" s="544">
        <f t="shared" si="337"/>
        <v>0</v>
      </c>
      <c r="BC105" s="544">
        <f t="shared" si="337"/>
        <v>0</v>
      </c>
      <c r="BD105" s="539">
        <f t="shared" si="337"/>
        <v>0</v>
      </c>
      <c r="BE105" s="544">
        <f t="shared" si="337"/>
        <v>0</v>
      </c>
      <c r="BF105" s="544">
        <f t="shared" si="337"/>
        <v>0</v>
      </c>
      <c r="BG105" s="544">
        <f t="shared" si="337"/>
        <v>0</v>
      </c>
      <c r="BH105" s="544">
        <f t="shared" si="337"/>
        <v>0</v>
      </c>
      <c r="BI105" s="544">
        <f t="shared" si="337"/>
        <v>0</v>
      </c>
      <c r="BJ105" s="544">
        <f t="shared" si="337"/>
        <v>0</v>
      </c>
      <c r="BK105" s="544">
        <f t="shared" si="337"/>
        <v>0</v>
      </c>
      <c r="BL105" s="544">
        <f t="shared" si="337"/>
        <v>0</v>
      </c>
      <c r="BM105" s="544">
        <f t="shared" si="337"/>
        <v>0</v>
      </c>
      <c r="BN105" s="544">
        <f t="shared" si="337"/>
        <v>0</v>
      </c>
      <c r="BO105" s="544">
        <f t="shared" si="337"/>
        <v>0</v>
      </c>
      <c r="BP105" s="544">
        <f t="shared" si="337"/>
        <v>0</v>
      </c>
      <c r="BQ105" s="544">
        <f t="shared" si="337"/>
        <v>0</v>
      </c>
      <c r="BR105" s="544">
        <f t="shared" si="341"/>
        <v>0</v>
      </c>
      <c r="BS105" s="544">
        <f t="shared" si="341"/>
        <v>0</v>
      </c>
      <c r="BT105" s="545">
        <f t="shared" si="341"/>
        <v>0</v>
      </c>
      <c r="BU105" s="544">
        <f t="shared" si="341"/>
        <v>0</v>
      </c>
      <c r="BV105" s="545">
        <f t="shared" si="341"/>
        <v>7671.2</v>
      </c>
      <c r="BW105" s="544">
        <f t="shared" si="341"/>
        <v>0</v>
      </c>
      <c r="BX105" s="546">
        <f t="shared" ref="BX105:BX109" si="391">SUM(AE105:AZ105)-SUM(BB105:BW105)</f>
        <v>0</v>
      </c>
      <c r="BY105" s="547">
        <f t="shared" ref="BY105:BY109" si="392">E105-SUM(BB105:BW105)</f>
        <v>0</v>
      </c>
      <c r="BZ105" s="547">
        <f t="shared" ref="BZ105:BZ109" si="393">+E105-SUM(AE105:AZ105)</f>
        <v>0</v>
      </c>
      <c r="CB105" s="547"/>
    </row>
    <row r="106" spans="1:80" s="536" customFormat="1" ht="15" customHeight="1">
      <c r="A106" s="536" t="s">
        <v>129</v>
      </c>
      <c r="B106" s="392"/>
      <c r="C106" s="537"/>
      <c r="D106" s="538"/>
      <c r="E106" s="539">
        <v>7671.2</v>
      </c>
      <c r="F106" s="538" t="s">
        <v>267</v>
      </c>
      <c r="G106" s="540"/>
      <c r="H106" s="540"/>
      <c r="I106" s="540"/>
      <c r="J106" s="540"/>
      <c r="K106" s="540"/>
      <c r="L106" s="540">
        <v>0</v>
      </c>
      <c r="M106" s="540">
        <v>0</v>
      </c>
      <c r="N106" s="540">
        <v>0</v>
      </c>
      <c r="O106" s="540">
        <v>0</v>
      </c>
      <c r="P106" s="540">
        <v>0</v>
      </c>
      <c r="Q106" s="540">
        <v>0</v>
      </c>
      <c r="R106" s="540">
        <v>0</v>
      </c>
      <c r="S106" s="540">
        <v>0</v>
      </c>
      <c r="T106" s="540">
        <v>0</v>
      </c>
      <c r="U106" s="541">
        <v>0</v>
      </c>
      <c r="V106" s="541">
        <v>0</v>
      </c>
      <c r="W106" s="541">
        <v>0</v>
      </c>
      <c r="X106" s="541">
        <v>0</v>
      </c>
      <c r="Y106" s="541">
        <v>0</v>
      </c>
      <c r="Z106" s="542">
        <v>0</v>
      </c>
      <c r="AA106" s="542">
        <v>0</v>
      </c>
      <c r="AB106" s="540">
        <v>1</v>
      </c>
      <c r="AC106" s="543">
        <f t="shared" si="368"/>
        <v>1</v>
      </c>
      <c r="AD106" s="538"/>
      <c r="AE106" s="544">
        <f t="shared" si="369"/>
        <v>0</v>
      </c>
      <c r="AF106" s="544">
        <f t="shared" si="370"/>
        <v>0</v>
      </c>
      <c r="AG106" s="544">
        <f t="shared" si="371"/>
        <v>0</v>
      </c>
      <c r="AH106" s="544">
        <f t="shared" si="372"/>
        <v>0</v>
      </c>
      <c r="AI106" s="544">
        <f t="shared" si="373"/>
        <v>0</v>
      </c>
      <c r="AJ106" s="544">
        <f t="shared" si="374"/>
        <v>0</v>
      </c>
      <c r="AK106" s="539">
        <f t="shared" si="375"/>
        <v>0</v>
      </c>
      <c r="AL106" s="539">
        <f t="shared" si="376"/>
        <v>0</v>
      </c>
      <c r="AM106" s="539">
        <f t="shared" si="377"/>
        <v>0</v>
      </c>
      <c r="AN106" s="539">
        <f t="shared" si="378"/>
        <v>0</v>
      </c>
      <c r="AO106" s="539">
        <f t="shared" si="379"/>
        <v>0</v>
      </c>
      <c r="AP106" s="539">
        <f t="shared" si="380"/>
        <v>0</v>
      </c>
      <c r="AQ106" s="539">
        <f t="shared" si="381"/>
        <v>0</v>
      </c>
      <c r="AR106" s="539">
        <f t="shared" si="382"/>
        <v>0</v>
      </c>
      <c r="AS106" s="545">
        <f t="shared" si="383"/>
        <v>0</v>
      </c>
      <c r="AT106" s="545">
        <f t="shared" si="384"/>
        <v>0</v>
      </c>
      <c r="AU106" s="545">
        <f t="shared" si="385"/>
        <v>0</v>
      </c>
      <c r="AV106" s="545">
        <f t="shared" si="386"/>
        <v>0</v>
      </c>
      <c r="AW106" s="545">
        <f t="shared" si="387"/>
        <v>0</v>
      </c>
      <c r="AX106" s="545">
        <f t="shared" si="388"/>
        <v>0</v>
      </c>
      <c r="AY106" s="545">
        <f t="shared" si="389"/>
        <v>0</v>
      </c>
      <c r="AZ106" s="545">
        <f t="shared" si="390"/>
        <v>7671.2</v>
      </c>
      <c r="BA106" s="544"/>
      <c r="BB106" s="544">
        <f t="shared" si="337"/>
        <v>0</v>
      </c>
      <c r="BC106" s="544">
        <f t="shared" si="337"/>
        <v>0</v>
      </c>
      <c r="BD106" s="539">
        <f t="shared" si="337"/>
        <v>0</v>
      </c>
      <c r="BE106" s="544">
        <f t="shared" si="337"/>
        <v>0</v>
      </c>
      <c r="BF106" s="544">
        <f t="shared" si="337"/>
        <v>0</v>
      </c>
      <c r="BG106" s="544">
        <f t="shared" si="337"/>
        <v>0</v>
      </c>
      <c r="BH106" s="544">
        <f t="shared" si="337"/>
        <v>0</v>
      </c>
      <c r="BI106" s="544">
        <f t="shared" si="337"/>
        <v>0</v>
      </c>
      <c r="BJ106" s="544">
        <f t="shared" si="337"/>
        <v>0</v>
      </c>
      <c r="BK106" s="544">
        <f t="shared" si="337"/>
        <v>0</v>
      </c>
      <c r="BL106" s="544">
        <f t="shared" si="337"/>
        <v>0</v>
      </c>
      <c r="BM106" s="544">
        <f t="shared" si="337"/>
        <v>0</v>
      </c>
      <c r="BN106" s="544">
        <f t="shared" si="337"/>
        <v>0</v>
      </c>
      <c r="BO106" s="544">
        <f t="shared" si="337"/>
        <v>0</v>
      </c>
      <c r="BP106" s="544">
        <f t="shared" si="337"/>
        <v>0</v>
      </c>
      <c r="BQ106" s="544">
        <f t="shared" si="337"/>
        <v>0</v>
      </c>
      <c r="BR106" s="544">
        <f t="shared" si="341"/>
        <v>0</v>
      </c>
      <c r="BS106" s="544">
        <f t="shared" si="341"/>
        <v>0</v>
      </c>
      <c r="BT106" s="545">
        <f t="shared" si="341"/>
        <v>0</v>
      </c>
      <c r="BU106" s="544">
        <f t="shared" si="341"/>
        <v>0</v>
      </c>
      <c r="BV106" s="545">
        <f t="shared" si="341"/>
        <v>7671.2</v>
      </c>
      <c r="BW106" s="544">
        <f t="shared" si="341"/>
        <v>0</v>
      </c>
      <c r="BX106" s="546">
        <f t="shared" si="391"/>
        <v>0</v>
      </c>
      <c r="BY106" s="547">
        <f t="shared" si="392"/>
        <v>0</v>
      </c>
      <c r="BZ106" s="547">
        <f t="shared" si="393"/>
        <v>0</v>
      </c>
      <c r="CB106" s="547"/>
    </row>
    <row r="107" spans="1:80" s="536" customFormat="1" ht="15" customHeight="1">
      <c r="A107" s="536" t="s">
        <v>129</v>
      </c>
      <c r="B107" s="392"/>
      <c r="C107" s="537"/>
      <c r="D107" s="538"/>
      <c r="E107" s="539">
        <v>7409.76</v>
      </c>
      <c r="F107" s="538" t="s">
        <v>267</v>
      </c>
      <c r="G107" s="540"/>
      <c r="H107" s="540"/>
      <c r="I107" s="540"/>
      <c r="J107" s="540"/>
      <c r="K107" s="540"/>
      <c r="L107" s="540">
        <v>0</v>
      </c>
      <c r="M107" s="540">
        <v>0</v>
      </c>
      <c r="N107" s="540">
        <v>0</v>
      </c>
      <c r="O107" s="540">
        <v>0</v>
      </c>
      <c r="P107" s="540">
        <v>0</v>
      </c>
      <c r="Q107" s="540">
        <v>0</v>
      </c>
      <c r="R107" s="540">
        <v>0</v>
      </c>
      <c r="S107" s="540">
        <v>0</v>
      </c>
      <c r="T107" s="540">
        <v>0</v>
      </c>
      <c r="U107" s="541">
        <v>0</v>
      </c>
      <c r="V107" s="541">
        <v>0</v>
      </c>
      <c r="W107" s="541">
        <v>0</v>
      </c>
      <c r="X107" s="541">
        <v>0</v>
      </c>
      <c r="Y107" s="541">
        <v>0</v>
      </c>
      <c r="Z107" s="542">
        <v>0</v>
      </c>
      <c r="AA107" s="542">
        <v>0</v>
      </c>
      <c r="AB107" s="540">
        <v>1</v>
      </c>
      <c r="AC107" s="543">
        <f t="shared" si="368"/>
        <v>1</v>
      </c>
      <c r="AD107" s="538"/>
      <c r="AE107" s="544">
        <f t="shared" si="369"/>
        <v>0</v>
      </c>
      <c r="AF107" s="544">
        <f t="shared" si="370"/>
        <v>0</v>
      </c>
      <c r="AG107" s="544">
        <f t="shared" si="371"/>
        <v>0</v>
      </c>
      <c r="AH107" s="544">
        <f t="shared" si="372"/>
        <v>0</v>
      </c>
      <c r="AI107" s="544">
        <f t="shared" si="373"/>
        <v>0</v>
      </c>
      <c r="AJ107" s="544">
        <f t="shared" si="374"/>
        <v>0</v>
      </c>
      <c r="AK107" s="539">
        <f t="shared" si="375"/>
        <v>0</v>
      </c>
      <c r="AL107" s="539">
        <f t="shared" si="376"/>
        <v>0</v>
      </c>
      <c r="AM107" s="539">
        <f t="shared" si="377"/>
        <v>0</v>
      </c>
      <c r="AN107" s="539">
        <f t="shared" si="378"/>
        <v>0</v>
      </c>
      <c r="AO107" s="539">
        <f t="shared" si="379"/>
        <v>0</v>
      </c>
      <c r="AP107" s="539">
        <f t="shared" si="380"/>
        <v>0</v>
      </c>
      <c r="AQ107" s="539">
        <f t="shared" si="381"/>
        <v>0</v>
      </c>
      <c r="AR107" s="539">
        <f t="shared" si="382"/>
        <v>0</v>
      </c>
      <c r="AS107" s="545">
        <f t="shared" si="383"/>
        <v>0</v>
      </c>
      <c r="AT107" s="545">
        <f t="shared" si="384"/>
        <v>0</v>
      </c>
      <c r="AU107" s="545">
        <f t="shared" si="385"/>
        <v>0</v>
      </c>
      <c r="AV107" s="545">
        <f t="shared" si="386"/>
        <v>0</v>
      </c>
      <c r="AW107" s="545">
        <f t="shared" si="387"/>
        <v>0</v>
      </c>
      <c r="AX107" s="545">
        <f t="shared" si="388"/>
        <v>0</v>
      </c>
      <c r="AY107" s="545">
        <f t="shared" si="389"/>
        <v>0</v>
      </c>
      <c r="AZ107" s="545">
        <f t="shared" si="390"/>
        <v>7409.76</v>
      </c>
      <c r="BA107" s="544"/>
      <c r="BB107" s="544">
        <f t="shared" si="337"/>
        <v>0</v>
      </c>
      <c r="BC107" s="544">
        <f t="shared" si="337"/>
        <v>0</v>
      </c>
      <c r="BD107" s="539">
        <f t="shared" si="337"/>
        <v>0</v>
      </c>
      <c r="BE107" s="544">
        <f t="shared" si="337"/>
        <v>0</v>
      </c>
      <c r="BF107" s="544">
        <f t="shared" si="337"/>
        <v>0</v>
      </c>
      <c r="BG107" s="544">
        <f t="shared" si="337"/>
        <v>0</v>
      </c>
      <c r="BH107" s="544">
        <f t="shared" si="337"/>
        <v>0</v>
      </c>
      <c r="BI107" s="544">
        <f t="shared" si="337"/>
        <v>0</v>
      </c>
      <c r="BJ107" s="544">
        <f t="shared" si="337"/>
        <v>0</v>
      </c>
      <c r="BK107" s="544">
        <f t="shared" si="337"/>
        <v>0</v>
      </c>
      <c r="BL107" s="544">
        <f t="shared" si="337"/>
        <v>0</v>
      </c>
      <c r="BM107" s="544">
        <f t="shared" si="337"/>
        <v>0</v>
      </c>
      <c r="BN107" s="544">
        <f t="shared" si="337"/>
        <v>0</v>
      </c>
      <c r="BO107" s="544">
        <f t="shared" si="337"/>
        <v>0</v>
      </c>
      <c r="BP107" s="544">
        <f t="shared" si="337"/>
        <v>0</v>
      </c>
      <c r="BQ107" s="544">
        <f t="shared" ref="BB107:BQ110" si="394">IF(BQ$3=$F107,$E107,0)</f>
        <v>0</v>
      </c>
      <c r="BR107" s="544">
        <f t="shared" si="341"/>
        <v>0</v>
      </c>
      <c r="BS107" s="544">
        <f t="shared" si="341"/>
        <v>0</v>
      </c>
      <c r="BT107" s="545">
        <f t="shared" si="341"/>
        <v>0</v>
      </c>
      <c r="BU107" s="544">
        <f t="shared" si="341"/>
        <v>0</v>
      </c>
      <c r="BV107" s="545">
        <f t="shared" si="341"/>
        <v>7409.76</v>
      </c>
      <c r="BW107" s="544">
        <f t="shared" si="341"/>
        <v>0</v>
      </c>
      <c r="BX107" s="546">
        <f t="shared" si="391"/>
        <v>0</v>
      </c>
      <c r="BY107" s="547">
        <f t="shared" si="392"/>
        <v>0</v>
      </c>
      <c r="BZ107" s="547">
        <f t="shared" si="393"/>
        <v>0</v>
      </c>
      <c r="CB107" s="547"/>
    </row>
    <row r="108" spans="1:80" s="536" customFormat="1" ht="15" customHeight="1">
      <c r="A108" s="536" t="s">
        <v>129</v>
      </c>
      <c r="B108" s="392"/>
      <c r="C108" s="537"/>
      <c r="D108" s="538"/>
      <c r="E108" s="539">
        <v>7671.2</v>
      </c>
      <c r="F108" s="538" t="s">
        <v>267</v>
      </c>
      <c r="G108" s="540"/>
      <c r="H108" s="540"/>
      <c r="I108" s="540"/>
      <c r="J108" s="540"/>
      <c r="K108" s="540"/>
      <c r="L108" s="540">
        <v>0</v>
      </c>
      <c r="M108" s="540">
        <v>0</v>
      </c>
      <c r="N108" s="540">
        <v>0</v>
      </c>
      <c r="O108" s="540">
        <v>0</v>
      </c>
      <c r="P108" s="540">
        <v>0</v>
      </c>
      <c r="Q108" s="540">
        <v>0</v>
      </c>
      <c r="R108" s="540">
        <v>0</v>
      </c>
      <c r="S108" s="540">
        <v>0</v>
      </c>
      <c r="T108" s="540">
        <v>0</v>
      </c>
      <c r="U108" s="541">
        <v>0</v>
      </c>
      <c r="V108" s="541">
        <v>0</v>
      </c>
      <c r="W108" s="541">
        <v>0</v>
      </c>
      <c r="X108" s="541">
        <v>0</v>
      </c>
      <c r="Y108" s="541">
        <v>0</v>
      </c>
      <c r="Z108" s="542">
        <v>0</v>
      </c>
      <c r="AA108" s="542">
        <v>0</v>
      </c>
      <c r="AB108" s="540">
        <v>1</v>
      </c>
      <c r="AC108" s="543">
        <f t="shared" si="368"/>
        <v>1</v>
      </c>
      <c r="AD108" s="538"/>
      <c r="AE108" s="544">
        <f t="shared" si="369"/>
        <v>0</v>
      </c>
      <c r="AF108" s="544">
        <f t="shared" si="370"/>
        <v>0</v>
      </c>
      <c r="AG108" s="544">
        <f t="shared" si="371"/>
        <v>0</v>
      </c>
      <c r="AH108" s="544">
        <f t="shared" si="372"/>
        <v>0</v>
      </c>
      <c r="AI108" s="544">
        <f t="shared" si="373"/>
        <v>0</v>
      </c>
      <c r="AJ108" s="544">
        <f t="shared" si="374"/>
        <v>0</v>
      </c>
      <c r="AK108" s="539">
        <f t="shared" si="375"/>
        <v>0</v>
      </c>
      <c r="AL108" s="539">
        <f t="shared" si="376"/>
        <v>0</v>
      </c>
      <c r="AM108" s="539">
        <f t="shared" si="377"/>
        <v>0</v>
      </c>
      <c r="AN108" s="539">
        <f t="shared" si="378"/>
        <v>0</v>
      </c>
      <c r="AO108" s="539">
        <f t="shared" si="379"/>
        <v>0</v>
      </c>
      <c r="AP108" s="539">
        <f t="shared" si="380"/>
        <v>0</v>
      </c>
      <c r="AQ108" s="539">
        <f t="shared" si="381"/>
        <v>0</v>
      </c>
      <c r="AR108" s="539">
        <f t="shared" si="382"/>
        <v>0</v>
      </c>
      <c r="AS108" s="545">
        <f t="shared" si="383"/>
        <v>0</v>
      </c>
      <c r="AT108" s="545">
        <f t="shared" si="384"/>
        <v>0</v>
      </c>
      <c r="AU108" s="545">
        <f t="shared" si="385"/>
        <v>0</v>
      </c>
      <c r="AV108" s="545">
        <f t="shared" si="386"/>
        <v>0</v>
      </c>
      <c r="AW108" s="545">
        <f t="shared" si="387"/>
        <v>0</v>
      </c>
      <c r="AX108" s="545">
        <f t="shared" si="388"/>
        <v>0</v>
      </c>
      <c r="AY108" s="545">
        <f t="shared" si="389"/>
        <v>0</v>
      </c>
      <c r="AZ108" s="545">
        <f t="shared" si="390"/>
        <v>7671.2</v>
      </c>
      <c r="BA108" s="544"/>
      <c r="BB108" s="544">
        <f t="shared" si="394"/>
        <v>0</v>
      </c>
      <c r="BC108" s="544">
        <f t="shared" si="394"/>
        <v>0</v>
      </c>
      <c r="BD108" s="539">
        <f t="shared" si="394"/>
        <v>0</v>
      </c>
      <c r="BE108" s="544">
        <f t="shared" si="394"/>
        <v>0</v>
      </c>
      <c r="BF108" s="544">
        <f t="shared" si="394"/>
        <v>0</v>
      </c>
      <c r="BG108" s="544">
        <f t="shared" si="394"/>
        <v>0</v>
      </c>
      <c r="BH108" s="544">
        <f t="shared" si="394"/>
        <v>0</v>
      </c>
      <c r="BI108" s="544">
        <f t="shared" si="394"/>
        <v>0</v>
      </c>
      <c r="BJ108" s="544">
        <f t="shared" si="394"/>
        <v>0</v>
      </c>
      <c r="BK108" s="544">
        <f t="shared" si="394"/>
        <v>0</v>
      </c>
      <c r="BL108" s="544">
        <f t="shared" si="394"/>
        <v>0</v>
      </c>
      <c r="BM108" s="544">
        <f t="shared" si="394"/>
        <v>0</v>
      </c>
      <c r="BN108" s="544">
        <f t="shared" si="394"/>
        <v>0</v>
      </c>
      <c r="BO108" s="544">
        <f t="shared" si="394"/>
        <v>0</v>
      </c>
      <c r="BP108" s="544">
        <f t="shared" si="394"/>
        <v>0</v>
      </c>
      <c r="BQ108" s="544">
        <f t="shared" si="394"/>
        <v>0</v>
      </c>
      <c r="BR108" s="544">
        <f t="shared" si="341"/>
        <v>0</v>
      </c>
      <c r="BS108" s="544">
        <f t="shared" si="341"/>
        <v>0</v>
      </c>
      <c r="BT108" s="545">
        <f t="shared" si="341"/>
        <v>0</v>
      </c>
      <c r="BU108" s="544">
        <f t="shared" si="341"/>
        <v>0</v>
      </c>
      <c r="BV108" s="545">
        <f t="shared" si="341"/>
        <v>7671.2</v>
      </c>
      <c r="BW108" s="544">
        <f t="shared" si="341"/>
        <v>0</v>
      </c>
      <c r="BX108" s="546">
        <f t="shared" si="391"/>
        <v>0</v>
      </c>
      <c r="BY108" s="547">
        <f t="shared" si="392"/>
        <v>0</v>
      </c>
      <c r="BZ108" s="547">
        <f t="shared" si="393"/>
        <v>0</v>
      </c>
      <c r="CB108" s="547"/>
    </row>
    <row r="109" spans="1:80" s="536" customFormat="1" ht="15" customHeight="1">
      <c r="A109" s="536" t="s">
        <v>129</v>
      </c>
      <c r="B109" s="392"/>
      <c r="C109" s="537"/>
      <c r="D109" s="538"/>
      <c r="E109" s="539">
        <v>6972.88</v>
      </c>
      <c r="F109" s="538" t="s">
        <v>267</v>
      </c>
      <c r="G109" s="540"/>
      <c r="H109" s="540"/>
      <c r="I109" s="540"/>
      <c r="J109" s="540"/>
      <c r="K109" s="540"/>
      <c r="L109" s="540">
        <v>0</v>
      </c>
      <c r="M109" s="540">
        <v>0</v>
      </c>
      <c r="N109" s="540">
        <v>0</v>
      </c>
      <c r="O109" s="540">
        <v>0</v>
      </c>
      <c r="P109" s="540">
        <v>0</v>
      </c>
      <c r="Q109" s="540">
        <v>0</v>
      </c>
      <c r="R109" s="540">
        <v>0</v>
      </c>
      <c r="S109" s="540">
        <v>0</v>
      </c>
      <c r="T109" s="540">
        <v>0</v>
      </c>
      <c r="U109" s="541">
        <v>0</v>
      </c>
      <c r="V109" s="541">
        <v>0</v>
      </c>
      <c r="W109" s="541">
        <v>0</v>
      </c>
      <c r="X109" s="541">
        <v>0</v>
      </c>
      <c r="Y109" s="541">
        <v>0</v>
      </c>
      <c r="Z109" s="542">
        <v>0</v>
      </c>
      <c r="AA109" s="542">
        <v>0</v>
      </c>
      <c r="AB109" s="540">
        <v>1</v>
      </c>
      <c r="AC109" s="543">
        <f t="shared" si="368"/>
        <v>1</v>
      </c>
      <c r="AD109" s="538"/>
      <c r="AE109" s="544">
        <f t="shared" si="369"/>
        <v>0</v>
      </c>
      <c r="AF109" s="544">
        <f t="shared" si="370"/>
        <v>0</v>
      </c>
      <c r="AG109" s="544">
        <f t="shared" si="371"/>
        <v>0</v>
      </c>
      <c r="AH109" s="544">
        <f t="shared" si="372"/>
        <v>0</v>
      </c>
      <c r="AI109" s="544">
        <f t="shared" si="373"/>
        <v>0</v>
      </c>
      <c r="AJ109" s="544">
        <f t="shared" si="374"/>
        <v>0</v>
      </c>
      <c r="AK109" s="539">
        <f t="shared" si="375"/>
        <v>0</v>
      </c>
      <c r="AL109" s="539">
        <f t="shared" si="376"/>
        <v>0</v>
      </c>
      <c r="AM109" s="539">
        <f t="shared" si="377"/>
        <v>0</v>
      </c>
      <c r="AN109" s="539">
        <f t="shared" si="378"/>
        <v>0</v>
      </c>
      <c r="AO109" s="539">
        <f t="shared" si="379"/>
        <v>0</v>
      </c>
      <c r="AP109" s="539">
        <f t="shared" si="380"/>
        <v>0</v>
      </c>
      <c r="AQ109" s="539">
        <f t="shared" si="381"/>
        <v>0</v>
      </c>
      <c r="AR109" s="539">
        <f t="shared" si="382"/>
        <v>0</v>
      </c>
      <c r="AS109" s="545">
        <f t="shared" si="383"/>
        <v>0</v>
      </c>
      <c r="AT109" s="545">
        <f t="shared" si="384"/>
        <v>0</v>
      </c>
      <c r="AU109" s="545">
        <f t="shared" si="385"/>
        <v>0</v>
      </c>
      <c r="AV109" s="545">
        <f t="shared" si="386"/>
        <v>0</v>
      </c>
      <c r="AW109" s="545">
        <f t="shared" si="387"/>
        <v>0</v>
      </c>
      <c r="AX109" s="545">
        <f t="shared" si="388"/>
        <v>0</v>
      </c>
      <c r="AY109" s="545">
        <f t="shared" si="389"/>
        <v>0</v>
      </c>
      <c r="AZ109" s="545">
        <f t="shared" si="390"/>
        <v>6972.88</v>
      </c>
      <c r="BA109" s="544"/>
      <c r="BB109" s="544">
        <f t="shared" si="394"/>
        <v>0</v>
      </c>
      <c r="BC109" s="544">
        <f t="shared" si="394"/>
        <v>0</v>
      </c>
      <c r="BD109" s="539">
        <f t="shared" si="394"/>
        <v>0</v>
      </c>
      <c r="BE109" s="544">
        <f t="shared" si="394"/>
        <v>0</v>
      </c>
      <c r="BF109" s="544">
        <f t="shared" si="394"/>
        <v>0</v>
      </c>
      <c r="BG109" s="544">
        <f t="shared" si="394"/>
        <v>0</v>
      </c>
      <c r="BH109" s="544">
        <f t="shared" si="394"/>
        <v>0</v>
      </c>
      <c r="BI109" s="544">
        <f t="shared" si="394"/>
        <v>0</v>
      </c>
      <c r="BJ109" s="544">
        <f t="shared" si="394"/>
        <v>0</v>
      </c>
      <c r="BK109" s="544">
        <f t="shared" si="394"/>
        <v>0</v>
      </c>
      <c r="BL109" s="544">
        <f t="shared" si="394"/>
        <v>0</v>
      </c>
      <c r="BM109" s="544">
        <f t="shared" si="394"/>
        <v>0</v>
      </c>
      <c r="BN109" s="544">
        <f t="shared" si="394"/>
        <v>0</v>
      </c>
      <c r="BO109" s="544">
        <f t="shared" si="394"/>
        <v>0</v>
      </c>
      <c r="BP109" s="544">
        <f t="shared" si="394"/>
        <v>0</v>
      </c>
      <c r="BQ109" s="544">
        <f t="shared" si="394"/>
        <v>0</v>
      </c>
      <c r="BR109" s="544">
        <f t="shared" si="341"/>
        <v>0</v>
      </c>
      <c r="BS109" s="544">
        <f t="shared" si="341"/>
        <v>0</v>
      </c>
      <c r="BT109" s="545">
        <f t="shared" si="341"/>
        <v>0</v>
      </c>
      <c r="BU109" s="544">
        <f t="shared" si="341"/>
        <v>0</v>
      </c>
      <c r="BV109" s="545">
        <f t="shared" si="341"/>
        <v>6972.88</v>
      </c>
      <c r="BW109" s="544">
        <f t="shared" si="341"/>
        <v>0</v>
      </c>
      <c r="BX109" s="546">
        <f t="shared" si="391"/>
        <v>0</v>
      </c>
      <c r="BY109" s="547">
        <f t="shared" si="392"/>
        <v>0</v>
      </c>
      <c r="BZ109" s="547">
        <f t="shared" si="393"/>
        <v>0</v>
      </c>
      <c r="CB109" s="547"/>
    </row>
    <row r="110" spans="1:80" s="536" customFormat="1" ht="15" customHeight="1">
      <c r="A110" s="536" t="s">
        <v>129</v>
      </c>
      <c r="B110" s="392"/>
      <c r="C110" s="537"/>
      <c r="D110" s="328"/>
      <c r="E110" s="539">
        <v>500</v>
      </c>
      <c r="F110" s="538" t="s">
        <v>267</v>
      </c>
      <c r="G110" s="540"/>
      <c r="H110" s="540"/>
      <c r="I110" s="540"/>
      <c r="J110" s="540"/>
      <c r="K110" s="540"/>
      <c r="L110" s="540">
        <v>0</v>
      </c>
      <c r="M110" s="540">
        <v>0</v>
      </c>
      <c r="N110" s="540">
        <v>0</v>
      </c>
      <c r="O110" s="540">
        <v>0</v>
      </c>
      <c r="P110" s="540">
        <v>0</v>
      </c>
      <c r="Q110" s="540">
        <v>0</v>
      </c>
      <c r="R110" s="540">
        <v>0</v>
      </c>
      <c r="S110" s="540">
        <v>0</v>
      </c>
      <c r="T110" s="540">
        <v>0</v>
      </c>
      <c r="U110" s="541">
        <v>0</v>
      </c>
      <c r="V110" s="541">
        <v>0</v>
      </c>
      <c r="W110" s="541">
        <v>0</v>
      </c>
      <c r="X110" s="541">
        <v>0</v>
      </c>
      <c r="Y110" s="541">
        <v>0</v>
      </c>
      <c r="Z110" s="542">
        <v>0</v>
      </c>
      <c r="AA110" s="542">
        <v>1</v>
      </c>
      <c r="AB110" s="540">
        <v>0</v>
      </c>
      <c r="AC110" s="543">
        <f t="shared" ref="AC110" si="395">SUM(G110:AB110)</f>
        <v>1</v>
      </c>
      <c r="AD110" s="538"/>
      <c r="AE110" s="544">
        <f t="shared" ref="AE110" si="396">G110*$E110</f>
        <v>0</v>
      </c>
      <c r="AF110" s="544">
        <f t="shared" ref="AF110" si="397">H110*$E110</f>
        <v>0</v>
      </c>
      <c r="AG110" s="544">
        <f t="shared" ref="AG110" si="398">I110*$E110</f>
        <v>0</v>
      </c>
      <c r="AH110" s="544">
        <f t="shared" ref="AH110" si="399">J110*$E110</f>
        <v>0</v>
      </c>
      <c r="AI110" s="544">
        <f t="shared" ref="AI110" si="400">K110*$E110</f>
        <v>0</v>
      </c>
      <c r="AJ110" s="544">
        <f t="shared" ref="AJ110" si="401">L110*$E110</f>
        <v>0</v>
      </c>
      <c r="AK110" s="539">
        <f t="shared" ref="AK110" si="402">M110*$E110</f>
        <v>0</v>
      </c>
      <c r="AL110" s="539">
        <f t="shared" ref="AL110" si="403">N110*$E110</f>
        <v>0</v>
      </c>
      <c r="AM110" s="539">
        <f t="shared" ref="AM110" si="404">O110*$E110</f>
        <v>0</v>
      </c>
      <c r="AN110" s="539">
        <f t="shared" ref="AN110" si="405">P110*$E110</f>
        <v>0</v>
      </c>
      <c r="AO110" s="539">
        <f t="shared" ref="AO110" si="406">Q110*$E110</f>
        <v>0</v>
      </c>
      <c r="AP110" s="539">
        <f t="shared" ref="AP110" si="407">R110*$E110</f>
        <v>0</v>
      </c>
      <c r="AQ110" s="539">
        <f t="shared" ref="AQ110" si="408">S110*$E110</f>
        <v>0</v>
      </c>
      <c r="AR110" s="539">
        <f t="shared" ref="AR110" si="409">T110*$E110</f>
        <v>0</v>
      </c>
      <c r="AS110" s="545">
        <f t="shared" ref="AS110" si="410">U110*$E110</f>
        <v>0</v>
      </c>
      <c r="AT110" s="545">
        <f t="shared" ref="AT110" si="411">V110*$E110</f>
        <v>0</v>
      </c>
      <c r="AU110" s="545">
        <f t="shared" ref="AU110" si="412">W110*$E110</f>
        <v>0</v>
      </c>
      <c r="AV110" s="545">
        <f t="shared" ref="AV110" si="413">X110*$E110</f>
        <v>0</v>
      </c>
      <c r="AW110" s="545">
        <f t="shared" ref="AW110" si="414">Y110*$E110</f>
        <v>0</v>
      </c>
      <c r="AX110" s="545">
        <f t="shared" ref="AX110" si="415">Z110*$E110</f>
        <v>0</v>
      </c>
      <c r="AY110" s="549">
        <f t="shared" ref="AY110" si="416">AA110*$E110</f>
        <v>500</v>
      </c>
      <c r="AZ110" s="545">
        <f t="shared" ref="AZ110" si="417">AB110*$E110</f>
        <v>0</v>
      </c>
      <c r="BA110" s="544"/>
      <c r="BB110" s="544">
        <f t="shared" si="394"/>
        <v>0</v>
      </c>
      <c r="BC110" s="544">
        <f t="shared" si="394"/>
        <v>0</v>
      </c>
      <c r="BD110" s="539">
        <f t="shared" si="394"/>
        <v>0</v>
      </c>
      <c r="BE110" s="544">
        <f t="shared" si="394"/>
        <v>0</v>
      </c>
      <c r="BF110" s="544">
        <f t="shared" si="394"/>
        <v>0</v>
      </c>
      <c r="BG110" s="544">
        <f t="shared" si="394"/>
        <v>0</v>
      </c>
      <c r="BH110" s="544">
        <f t="shared" si="394"/>
        <v>0</v>
      </c>
      <c r="BI110" s="544">
        <f t="shared" si="394"/>
        <v>0</v>
      </c>
      <c r="BJ110" s="544">
        <f t="shared" si="394"/>
        <v>0</v>
      </c>
      <c r="BK110" s="544">
        <f t="shared" si="394"/>
        <v>0</v>
      </c>
      <c r="BL110" s="544">
        <f t="shared" si="394"/>
        <v>0</v>
      </c>
      <c r="BM110" s="544">
        <f t="shared" si="394"/>
        <v>0</v>
      </c>
      <c r="BN110" s="544">
        <f t="shared" si="394"/>
        <v>0</v>
      </c>
      <c r="BO110" s="544">
        <f t="shared" si="394"/>
        <v>0</v>
      </c>
      <c r="BP110" s="544">
        <f t="shared" si="394"/>
        <v>0</v>
      </c>
      <c r="BQ110" s="544">
        <f t="shared" si="394"/>
        <v>0</v>
      </c>
      <c r="BR110" s="544">
        <f t="shared" si="341"/>
        <v>0</v>
      </c>
      <c r="BS110" s="544">
        <f t="shared" si="341"/>
        <v>0</v>
      </c>
      <c r="BT110" s="545">
        <f t="shared" si="341"/>
        <v>0</v>
      </c>
      <c r="BU110" s="544">
        <f t="shared" si="341"/>
        <v>0</v>
      </c>
      <c r="BV110" s="545">
        <f t="shared" si="341"/>
        <v>500</v>
      </c>
      <c r="BW110" s="544">
        <f t="shared" si="341"/>
        <v>0</v>
      </c>
      <c r="BX110" s="546">
        <f t="shared" ref="BX110" si="418">SUM(AE110:AZ110)-SUM(BB110:BW110)</f>
        <v>0</v>
      </c>
      <c r="BY110" s="547">
        <f t="shared" ref="BY110" si="419">E110-SUM(BB110:BW110)</f>
        <v>0</v>
      </c>
      <c r="BZ110" s="547">
        <f t="shared" ref="BZ110" si="420">+E110-SUM(AE110:AZ110)</f>
        <v>0</v>
      </c>
      <c r="CB110" s="547"/>
    </row>
    <row r="111" spans="1:80" s="234" customFormat="1" ht="15" customHeight="1">
      <c r="A111" s="234" t="s">
        <v>129</v>
      </c>
      <c r="B111" s="234" t="s">
        <v>305</v>
      </c>
      <c r="C111" s="306"/>
      <c r="D111" s="328"/>
      <c r="E111" s="386">
        <v>1500</v>
      </c>
      <c r="F111" s="328" t="s">
        <v>250</v>
      </c>
      <c r="G111" s="329"/>
      <c r="H111" s="329"/>
      <c r="I111" s="329"/>
      <c r="J111" s="329"/>
      <c r="K111" s="329"/>
      <c r="L111" s="329">
        <v>0</v>
      </c>
      <c r="M111" s="329">
        <v>0</v>
      </c>
      <c r="N111" s="329">
        <v>0</v>
      </c>
      <c r="O111" s="329">
        <v>0</v>
      </c>
      <c r="P111" s="329">
        <v>0</v>
      </c>
      <c r="Q111" s="329">
        <v>0</v>
      </c>
      <c r="R111" s="329">
        <v>0</v>
      </c>
      <c r="S111" s="329">
        <v>0</v>
      </c>
      <c r="T111" s="329">
        <v>0</v>
      </c>
      <c r="U111" s="389">
        <v>0</v>
      </c>
      <c r="V111" s="389">
        <v>0</v>
      </c>
      <c r="W111" s="389">
        <v>0</v>
      </c>
      <c r="X111" s="389">
        <v>0</v>
      </c>
      <c r="Y111" s="389">
        <v>0</v>
      </c>
      <c r="Z111" s="502">
        <v>0.49371333333333339</v>
      </c>
      <c r="AA111" s="502">
        <v>0.50628666666666666</v>
      </c>
      <c r="AB111" s="329"/>
      <c r="AC111" s="426">
        <f t="shared" si="342"/>
        <v>1</v>
      </c>
      <c r="AD111" s="328"/>
      <c r="AE111" s="330">
        <f t="shared" si="343"/>
        <v>0</v>
      </c>
      <c r="AF111" s="330">
        <f t="shared" si="344"/>
        <v>0</v>
      </c>
      <c r="AG111" s="330">
        <f t="shared" si="345"/>
        <v>0</v>
      </c>
      <c r="AH111" s="330">
        <f t="shared" si="346"/>
        <v>0</v>
      </c>
      <c r="AI111" s="330">
        <f t="shared" si="347"/>
        <v>0</v>
      </c>
      <c r="AJ111" s="330">
        <f t="shared" si="348"/>
        <v>0</v>
      </c>
      <c r="AK111" s="386">
        <f t="shared" si="349"/>
        <v>0</v>
      </c>
      <c r="AL111" s="386">
        <f t="shared" si="350"/>
        <v>0</v>
      </c>
      <c r="AM111" s="386">
        <f t="shared" si="351"/>
        <v>0</v>
      </c>
      <c r="AN111" s="386">
        <f t="shared" si="352"/>
        <v>0</v>
      </c>
      <c r="AO111" s="386">
        <f t="shared" si="353"/>
        <v>0</v>
      </c>
      <c r="AP111" s="386">
        <f t="shared" si="354"/>
        <v>0</v>
      </c>
      <c r="AQ111" s="386">
        <f t="shared" si="355"/>
        <v>0</v>
      </c>
      <c r="AR111" s="386">
        <f t="shared" si="356"/>
        <v>0</v>
      </c>
      <c r="AS111" s="326">
        <f t="shared" si="357"/>
        <v>0</v>
      </c>
      <c r="AT111" s="326">
        <f t="shared" si="358"/>
        <v>0</v>
      </c>
      <c r="AU111" s="326">
        <f t="shared" si="359"/>
        <v>0</v>
      </c>
      <c r="AV111" s="326">
        <f t="shared" si="360"/>
        <v>0</v>
      </c>
      <c r="AW111" s="326">
        <f t="shared" si="361"/>
        <v>0</v>
      </c>
      <c r="AX111" s="326">
        <f t="shared" si="362"/>
        <v>740.57</v>
      </c>
      <c r="AY111" s="326">
        <f t="shared" si="363"/>
        <v>759.43</v>
      </c>
      <c r="AZ111" s="326">
        <f t="shared" si="364"/>
        <v>0</v>
      </c>
      <c r="BA111" s="330"/>
      <c r="BB111" s="330">
        <f t="shared" si="337"/>
        <v>0</v>
      </c>
      <c r="BC111" s="330">
        <f t="shared" si="337"/>
        <v>0</v>
      </c>
      <c r="BD111" s="386">
        <f t="shared" si="337"/>
        <v>0</v>
      </c>
      <c r="BE111" s="330">
        <f t="shared" si="337"/>
        <v>0</v>
      </c>
      <c r="BF111" s="330">
        <f t="shared" si="337"/>
        <v>0</v>
      </c>
      <c r="BG111" s="330">
        <f t="shared" si="337"/>
        <v>0</v>
      </c>
      <c r="BH111" s="330">
        <f t="shared" si="337"/>
        <v>0</v>
      </c>
      <c r="BI111" s="330">
        <f t="shared" si="337"/>
        <v>0</v>
      </c>
      <c r="BJ111" s="330">
        <f t="shared" si="337"/>
        <v>0</v>
      </c>
      <c r="BK111" s="330">
        <f t="shared" si="337"/>
        <v>0</v>
      </c>
      <c r="BL111" s="330">
        <f t="shared" si="337"/>
        <v>0</v>
      </c>
      <c r="BM111" s="330">
        <f t="shared" si="337"/>
        <v>0</v>
      </c>
      <c r="BN111" s="330">
        <f t="shared" si="337"/>
        <v>0</v>
      </c>
      <c r="BO111" s="330">
        <f t="shared" si="337"/>
        <v>0</v>
      </c>
      <c r="BP111" s="330">
        <f t="shared" si="337"/>
        <v>0</v>
      </c>
      <c r="BQ111" s="330">
        <f t="shared" si="337"/>
        <v>0</v>
      </c>
      <c r="BR111" s="330">
        <f t="shared" si="341"/>
        <v>0</v>
      </c>
      <c r="BS111" s="330">
        <f t="shared" si="341"/>
        <v>0</v>
      </c>
      <c r="BT111" s="326">
        <f t="shared" si="341"/>
        <v>1500</v>
      </c>
      <c r="BU111" s="330">
        <f t="shared" si="341"/>
        <v>0</v>
      </c>
      <c r="BV111" s="330">
        <f t="shared" si="341"/>
        <v>0</v>
      </c>
      <c r="BW111" s="330">
        <f t="shared" si="341"/>
        <v>0</v>
      </c>
      <c r="BX111" s="351">
        <f t="shared" si="365"/>
        <v>0</v>
      </c>
      <c r="BY111" s="378">
        <f t="shared" si="366"/>
        <v>0</v>
      </c>
      <c r="BZ111" s="378">
        <f t="shared" si="367"/>
        <v>0</v>
      </c>
      <c r="CB111" s="378"/>
    </row>
    <row r="112" spans="1:80" s="234" customFormat="1" ht="15" customHeight="1">
      <c r="A112" s="234" t="s">
        <v>129</v>
      </c>
      <c r="B112" s="234" t="s">
        <v>305</v>
      </c>
      <c r="C112" s="306"/>
      <c r="D112" s="328"/>
      <c r="E112" s="386">
        <v>476.17</v>
      </c>
      <c r="F112" s="328" t="s">
        <v>250</v>
      </c>
      <c r="G112" s="329"/>
      <c r="H112" s="329"/>
      <c r="I112" s="329"/>
      <c r="J112" s="329"/>
      <c r="K112" s="329"/>
      <c r="L112" s="329">
        <v>0</v>
      </c>
      <c r="M112" s="329">
        <v>0</v>
      </c>
      <c r="N112" s="329">
        <v>0</v>
      </c>
      <c r="O112" s="329">
        <v>0</v>
      </c>
      <c r="P112" s="329">
        <v>0</v>
      </c>
      <c r="Q112" s="329">
        <v>0</v>
      </c>
      <c r="R112" s="329">
        <v>0</v>
      </c>
      <c r="S112" s="329">
        <v>0</v>
      </c>
      <c r="T112" s="329">
        <v>0</v>
      </c>
      <c r="U112" s="389">
        <v>0</v>
      </c>
      <c r="V112" s="389">
        <v>0</v>
      </c>
      <c r="W112" s="389">
        <v>0</v>
      </c>
      <c r="X112" s="389">
        <v>0</v>
      </c>
      <c r="Y112" s="389">
        <v>1</v>
      </c>
      <c r="Z112" s="329"/>
      <c r="AA112" s="329"/>
      <c r="AB112" s="329"/>
      <c r="AC112" s="426">
        <f t="shared" si="308"/>
        <v>1</v>
      </c>
      <c r="AD112" s="328"/>
      <c r="AE112" s="330">
        <f t="shared" ref="AE112:AE138" si="421">G112*$E112</f>
        <v>0</v>
      </c>
      <c r="AF112" s="330">
        <f t="shared" ref="AF112:AF138" si="422">H112*$E112</f>
        <v>0</v>
      </c>
      <c r="AG112" s="330">
        <f t="shared" ref="AG112:AG138" si="423">I112*$E112</f>
        <v>0</v>
      </c>
      <c r="AH112" s="330">
        <f t="shared" ref="AH112:AH138" si="424">J112*$E112</f>
        <v>0</v>
      </c>
      <c r="AI112" s="330">
        <f t="shared" ref="AI112:AI138" si="425">K112*$E112</f>
        <v>0</v>
      </c>
      <c r="AJ112" s="330">
        <f t="shared" ref="AJ112:AJ138" si="426">L112*$E112</f>
        <v>0</v>
      </c>
      <c r="AK112" s="386">
        <f t="shared" ref="AK112:AK138" si="427">M112*$E112</f>
        <v>0</v>
      </c>
      <c r="AL112" s="386">
        <f t="shared" ref="AL112:AL138" si="428">N112*$E112</f>
        <v>0</v>
      </c>
      <c r="AM112" s="386">
        <f t="shared" ref="AM112:AM138" si="429">O112*$E112</f>
        <v>0</v>
      </c>
      <c r="AN112" s="386">
        <f t="shared" ref="AN112:AN138" si="430">P112*$E112</f>
        <v>0</v>
      </c>
      <c r="AO112" s="386">
        <f t="shared" ref="AO112:AO138" si="431">Q112*$E112</f>
        <v>0</v>
      </c>
      <c r="AP112" s="386">
        <f t="shared" ref="AP112:AP138" si="432">R112*$E112</f>
        <v>0</v>
      </c>
      <c r="AQ112" s="386">
        <f t="shared" ref="AQ112:AQ138" si="433">S112*$E112</f>
        <v>0</v>
      </c>
      <c r="AR112" s="386">
        <f t="shared" ref="AR112:AR138" si="434">T112*$E112</f>
        <v>0</v>
      </c>
      <c r="AS112" s="326">
        <f t="shared" ref="AS112:AS138" si="435">U112*$E112</f>
        <v>0</v>
      </c>
      <c r="AT112" s="326">
        <f t="shared" ref="AT112:AT138" si="436">V112*$E112</f>
        <v>0</v>
      </c>
      <c r="AU112" s="326">
        <f t="shared" ref="AU112:AU138" si="437">W112*$E112</f>
        <v>0</v>
      </c>
      <c r="AV112" s="326">
        <f t="shared" ref="AV112:AV138" si="438">X112*$E112</f>
        <v>0</v>
      </c>
      <c r="AW112" s="326">
        <f t="shared" ref="AW112:AW138" si="439">Y112*$E112</f>
        <v>476.17</v>
      </c>
      <c r="AX112" s="326">
        <f t="shared" ref="AX112:AX138" si="440">Z112*$E112</f>
        <v>0</v>
      </c>
      <c r="AY112" s="326">
        <f t="shared" ref="AY112:AY138" si="441">AA112*$E112</f>
        <v>0</v>
      </c>
      <c r="AZ112" s="326">
        <f t="shared" ref="AZ112:AZ138" si="442">AB112*$E112</f>
        <v>0</v>
      </c>
      <c r="BA112" s="330"/>
      <c r="BB112" s="330">
        <f t="shared" si="310"/>
        <v>0</v>
      </c>
      <c r="BC112" s="330">
        <f t="shared" si="310"/>
        <v>0</v>
      </c>
      <c r="BD112" s="386">
        <f t="shared" si="310"/>
        <v>0</v>
      </c>
      <c r="BE112" s="330">
        <f t="shared" si="273"/>
        <v>0</v>
      </c>
      <c r="BF112" s="330">
        <f t="shared" si="310"/>
        <v>0</v>
      </c>
      <c r="BG112" s="330">
        <f t="shared" si="310"/>
        <v>0</v>
      </c>
      <c r="BH112" s="330">
        <f t="shared" si="310"/>
        <v>0</v>
      </c>
      <c r="BI112" s="330">
        <f t="shared" si="310"/>
        <v>0</v>
      </c>
      <c r="BJ112" s="330">
        <f t="shared" si="310"/>
        <v>0</v>
      </c>
      <c r="BK112" s="330">
        <f t="shared" si="310"/>
        <v>0</v>
      </c>
      <c r="BL112" s="330">
        <f t="shared" si="310"/>
        <v>0</v>
      </c>
      <c r="BM112" s="330">
        <f t="shared" si="310"/>
        <v>0</v>
      </c>
      <c r="BN112" s="330">
        <f t="shared" si="310"/>
        <v>0</v>
      </c>
      <c r="BO112" s="330">
        <f t="shared" si="310"/>
        <v>0</v>
      </c>
      <c r="BP112" s="330">
        <f t="shared" si="310"/>
        <v>0</v>
      </c>
      <c r="BQ112" s="330">
        <f t="shared" si="310"/>
        <v>0</v>
      </c>
      <c r="BR112" s="330">
        <f t="shared" si="310"/>
        <v>0</v>
      </c>
      <c r="BS112" s="330">
        <f t="shared" ref="BS112:BW113" si="443">IF(BS$3=$F112,$E112,0)</f>
        <v>0</v>
      </c>
      <c r="BT112" s="326">
        <f t="shared" si="443"/>
        <v>476.17</v>
      </c>
      <c r="BU112" s="330">
        <f t="shared" si="443"/>
        <v>0</v>
      </c>
      <c r="BV112" s="330">
        <f t="shared" si="443"/>
        <v>0</v>
      </c>
      <c r="BW112" s="330">
        <f t="shared" si="443"/>
        <v>0</v>
      </c>
      <c r="BX112" s="351">
        <f t="shared" ref="BX112:BX141" si="444">SUM(AE112:AZ112)-SUM(BB112:BW112)</f>
        <v>0</v>
      </c>
      <c r="BY112" s="378">
        <f t="shared" ref="BY112:BY141" si="445">E112-SUM(BB112:BW112)</f>
        <v>0</v>
      </c>
      <c r="BZ112" s="378">
        <f t="shared" ref="BZ112:BZ141" si="446">+E112-SUM(AE112:AZ112)</f>
        <v>0</v>
      </c>
    </row>
    <row r="113" spans="1:78" s="234" customFormat="1" ht="15" customHeight="1">
      <c r="A113" s="392" t="s">
        <v>129</v>
      </c>
      <c r="B113" s="392" t="s">
        <v>284</v>
      </c>
      <c r="C113" s="306"/>
      <c r="D113" s="328"/>
      <c r="E113" s="386">
        <v>7179.2</v>
      </c>
      <c r="F113" s="328" t="s">
        <v>250</v>
      </c>
      <c r="G113" s="329"/>
      <c r="H113" s="329"/>
      <c r="I113" s="329"/>
      <c r="J113" s="329"/>
      <c r="K113" s="329"/>
      <c r="L113" s="329">
        <v>0</v>
      </c>
      <c r="M113" s="329">
        <v>0</v>
      </c>
      <c r="N113" s="329">
        <v>0</v>
      </c>
      <c r="O113" s="329">
        <v>0</v>
      </c>
      <c r="P113" s="329">
        <v>0</v>
      </c>
      <c r="Q113" s="329">
        <v>0</v>
      </c>
      <c r="R113" s="329">
        <v>0</v>
      </c>
      <c r="S113" s="329">
        <v>0</v>
      </c>
      <c r="T113" s="329">
        <v>0</v>
      </c>
      <c r="U113" s="389">
        <v>0</v>
      </c>
      <c r="V113" s="389">
        <v>0</v>
      </c>
      <c r="W113" s="389">
        <v>0</v>
      </c>
      <c r="X113" s="389">
        <v>0</v>
      </c>
      <c r="Y113" s="389">
        <v>1</v>
      </c>
      <c r="Z113" s="329"/>
      <c r="AA113" s="329"/>
      <c r="AB113" s="329"/>
      <c r="AC113" s="426">
        <f t="shared" si="308"/>
        <v>1</v>
      </c>
      <c r="AD113" s="328"/>
      <c r="AE113" s="330">
        <f t="shared" si="421"/>
        <v>0</v>
      </c>
      <c r="AF113" s="330">
        <f t="shared" si="422"/>
        <v>0</v>
      </c>
      <c r="AG113" s="330">
        <f t="shared" si="423"/>
        <v>0</v>
      </c>
      <c r="AH113" s="330">
        <f t="shared" si="424"/>
        <v>0</v>
      </c>
      <c r="AI113" s="330">
        <f t="shared" si="425"/>
        <v>0</v>
      </c>
      <c r="AJ113" s="330">
        <f t="shared" si="426"/>
        <v>0</v>
      </c>
      <c r="AK113" s="386">
        <f t="shared" si="427"/>
        <v>0</v>
      </c>
      <c r="AL113" s="386">
        <f t="shared" si="428"/>
        <v>0</v>
      </c>
      <c r="AM113" s="386">
        <f t="shared" si="429"/>
        <v>0</v>
      </c>
      <c r="AN113" s="386">
        <f t="shared" si="430"/>
        <v>0</v>
      </c>
      <c r="AO113" s="386">
        <f t="shared" si="431"/>
        <v>0</v>
      </c>
      <c r="AP113" s="386">
        <f t="shared" si="432"/>
        <v>0</v>
      </c>
      <c r="AQ113" s="386">
        <f t="shared" si="433"/>
        <v>0</v>
      </c>
      <c r="AR113" s="386">
        <f t="shared" si="434"/>
        <v>0</v>
      </c>
      <c r="AS113" s="326">
        <f t="shared" si="435"/>
        <v>0</v>
      </c>
      <c r="AT113" s="326">
        <f t="shared" si="436"/>
        <v>0</v>
      </c>
      <c r="AU113" s="326">
        <f t="shared" si="437"/>
        <v>0</v>
      </c>
      <c r="AV113" s="326">
        <f t="shared" si="438"/>
        <v>0</v>
      </c>
      <c r="AW113" s="326">
        <f t="shared" si="439"/>
        <v>7179.2</v>
      </c>
      <c r="AX113" s="326">
        <f t="shared" si="440"/>
        <v>0</v>
      </c>
      <c r="AY113" s="326">
        <f t="shared" si="441"/>
        <v>0</v>
      </c>
      <c r="AZ113" s="326">
        <f t="shared" si="442"/>
        <v>0</v>
      </c>
      <c r="BA113" s="330"/>
      <c r="BB113" s="330">
        <f t="shared" si="310"/>
        <v>0</v>
      </c>
      <c r="BC113" s="330">
        <f t="shared" si="310"/>
        <v>0</v>
      </c>
      <c r="BD113" s="386">
        <f t="shared" si="310"/>
        <v>0</v>
      </c>
      <c r="BE113" s="330">
        <f t="shared" si="273"/>
        <v>0</v>
      </c>
      <c r="BF113" s="330">
        <f t="shared" si="310"/>
        <v>0</v>
      </c>
      <c r="BG113" s="330">
        <f t="shared" si="310"/>
        <v>0</v>
      </c>
      <c r="BH113" s="330">
        <f t="shared" si="310"/>
        <v>0</v>
      </c>
      <c r="BI113" s="330">
        <f t="shared" si="310"/>
        <v>0</v>
      </c>
      <c r="BJ113" s="330">
        <f t="shared" si="310"/>
        <v>0</v>
      </c>
      <c r="BK113" s="330">
        <f t="shared" si="310"/>
        <v>0</v>
      </c>
      <c r="BL113" s="330">
        <f t="shared" si="310"/>
        <v>0</v>
      </c>
      <c r="BM113" s="330">
        <f t="shared" si="310"/>
        <v>0</v>
      </c>
      <c r="BN113" s="330">
        <f t="shared" si="310"/>
        <v>0</v>
      </c>
      <c r="BO113" s="330">
        <f t="shared" si="310"/>
        <v>0</v>
      </c>
      <c r="BP113" s="330">
        <f t="shared" si="310"/>
        <v>0</v>
      </c>
      <c r="BQ113" s="330">
        <f t="shared" si="310"/>
        <v>0</v>
      </c>
      <c r="BR113" s="330">
        <f t="shared" si="310"/>
        <v>0</v>
      </c>
      <c r="BS113" s="330">
        <f t="shared" si="443"/>
        <v>0</v>
      </c>
      <c r="BT113" s="326">
        <f t="shared" si="443"/>
        <v>7179.2</v>
      </c>
      <c r="BU113" s="330">
        <f t="shared" si="443"/>
        <v>0</v>
      </c>
      <c r="BV113" s="330">
        <f t="shared" si="443"/>
        <v>0</v>
      </c>
      <c r="BW113" s="330">
        <f t="shared" si="443"/>
        <v>0</v>
      </c>
      <c r="BX113" s="351">
        <f t="shared" si="444"/>
        <v>0</v>
      </c>
      <c r="BY113" s="378">
        <f t="shared" si="445"/>
        <v>0</v>
      </c>
      <c r="BZ113" s="378">
        <f t="shared" si="446"/>
        <v>0</v>
      </c>
    </row>
    <row r="114" spans="1:78" s="234" customFormat="1" ht="15" customHeight="1">
      <c r="A114" s="234" t="s">
        <v>130</v>
      </c>
      <c r="C114" s="331"/>
      <c r="D114" s="328"/>
      <c r="E114" s="391">
        <v>61250</v>
      </c>
      <c r="F114" s="388" t="s">
        <v>189</v>
      </c>
      <c r="G114" s="329"/>
      <c r="H114" s="329">
        <v>0</v>
      </c>
      <c r="I114" s="329">
        <v>0.4</v>
      </c>
      <c r="J114" s="329">
        <v>0.6</v>
      </c>
      <c r="K114" s="329">
        <v>0</v>
      </c>
      <c r="L114" s="329"/>
      <c r="M114" s="329"/>
      <c r="N114" s="329"/>
      <c r="O114" s="329"/>
      <c r="P114" s="329"/>
      <c r="Q114" s="329"/>
      <c r="R114" s="329"/>
      <c r="S114" s="388"/>
      <c r="T114" s="388"/>
      <c r="U114" s="388"/>
      <c r="V114" s="388"/>
      <c r="W114" s="388"/>
      <c r="X114" s="388"/>
      <c r="Y114" s="388"/>
      <c r="Z114" s="388"/>
      <c r="AA114" s="388"/>
      <c r="AB114" s="388"/>
      <c r="AC114" s="426">
        <f t="shared" si="308"/>
        <v>1</v>
      </c>
      <c r="AD114" s="328"/>
      <c r="AE114" s="386">
        <f t="shared" si="421"/>
        <v>0</v>
      </c>
      <c r="AF114" s="386">
        <f t="shared" si="422"/>
        <v>0</v>
      </c>
      <c r="AG114" s="386">
        <f t="shared" si="423"/>
        <v>24500</v>
      </c>
      <c r="AH114" s="386">
        <f t="shared" si="424"/>
        <v>36750</v>
      </c>
      <c r="AI114" s="386">
        <f t="shared" si="425"/>
        <v>0</v>
      </c>
      <c r="AJ114" s="386">
        <f t="shared" si="426"/>
        <v>0</v>
      </c>
      <c r="AK114" s="386">
        <f t="shared" si="427"/>
        <v>0</v>
      </c>
      <c r="AL114" s="386">
        <f t="shared" si="428"/>
        <v>0</v>
      </c>
      <c r="AM114" s="386">
        <f t="shared" si="429"/>
        <v>0</v>
      </c>
      <c r="AN114" s="386">
        <f t="shared" si="430"/>
        <v>0</v>
      </c>
      <c r="AO114" s="393">
        <f t="shared" si="431"/>
        <v>0</v>
      </c>
      <c r="AP114" s="330">
        <f t="shared" si="432"/>
        <v>0</v>
      </c>
      <c r="AQ114" s="330">
        <f t="shared" si="433"/>
        <v>0</v>
      </c>
      <c r="AR114" s="330">
        <f t="shared" si="434"/>
        <v>0</v>
      </c>
      <c r="AS114" s="330">
        <f t="shared" si="435"/>
        <v>0</v>
      </c>
      <c r="AT114" s="330">
        <f t="shared" si="436"/>
        <v>0</v>
      </c>
      <c r="AU114" s="330">
        <f t="shared" si="437"/>
        <v>0</v>
      </c>
      <c r="AV114" s="330">
        <f t="shared" si="438"/>
        <v>0</v>
      </c>
      <c r="AW114" s="330">
        <f t="shared" si="439"/>
        <v>0</v>
      </c>
      <c r="AX114" s="330">
        <f t="shared" si="440"/>
        <v>0</v>
      </c>
      <c r="AY114" s="330">
        <f t="shared" si="441"/>
        <v>0</v>
      </c>
      <c r="AZ114" s="330">
        <f t="shared" si="442"/>
        <v>0</v>
      </c>
      <c r="BA114" s="330"/>
      <c r="BB114" s="330">
        <f t="shared" ref="BB114:BK115" si="447">IF(BB$3=$F114,$E114,0)</f>
        <v>0</v>
      </c>
      <c r="BC114" s="330">
        <f t="shared" si="447"/>
        <v>61250</v>
      </c>
      <c r="BD114" s="330">
        <f t="shared" si="447"/>
        <v>0</v>
      </c>
      <c r="BE114" s="330">
        <f t="shared" si="447"/>
        <v>0</v>
      </c>
      <c r="BF114" s="330">
        <f t="shared" si="447"/>
        <v>0</v>
      </c>
      <c r="BG114" s="330">
        <f t="shared" si="447"/>
        <v>0</v>
      </c>
      <c r="BH114" s="330">
        <f t="shared" si="447"/>
        <v>0</v>
      </c>
      <c r="BI114" s="330">
        <f t="shared" si="447"/>
        <v>0</v>
      </c>
      <c r="BJ114" s="330">
        <f t="shared" si="447"/>
        <v>0</v>
      </c>
      <c r="BK114" s="330">
        <f t="shared" si="447"/>
        <v>0</v>
      </c>
      <c r="BL114" s="330">
        <f t="shared" ref="BL114:BW115" si="448">IF(BL$3=$F114,$E114,0)</f>
        <v>0</v>
      </c>
      <c r="BM114" s="330">
        <f t="shared" si="448"/>
        <v>0</v>
      </c>
      <c r="BN114" s="330">
        <f t="shared" si="448"/>
        <v>0</v>
      </c>
      <c r="BO114" s="330">
        <f t="shared" si="448"/>
        <v>0</v>
      </c>
      <c r="BP114" s="330">
        <f t="shared" si="448"/>
        <v>0</v>
      </c>
      <c r="BQ114" s="330">
        <f t="shared" si="448"/>
        <v>0</v>
      </c>
      <c r="BR114" s="330">
        <f t="shared" si="448"/>
        <v>0</v>
      </c>
      <c r="BS114" s="330">
        <f t="shared" si="448"/>
        <v>0</v>
      </c>
      <c r="BT114" s="330">
        <f t="shared" si="448"/>
        <v>0</v>
      </c>
      <c r="BU114" s="330">
        <f t="shared" si="448"/>
        <v>0</v>
      </c>
      <c r="BV114" s="330">
        <f t="shared" si="448"/>
        <v>0</v>
      </c>
      <c r="BW114" s="330">
        <f t="shared" si="448"/>
        <v>0</v>
      </c>
      <c r="BX114" s="351">
        <f t="shared" si="444"/>
        <v>0</v>
      </c>
      <c r="BY114" s="378">
        <f t="shared" si="445"/>
        <v>0</v>
      </c>
      <c r="BZ114" s="378">
        <f t="shared" si="446"/>
        <v>0</v>
      </c>
    </row>
    <row r="115" spans="1:78" s="234" customFormat="1" ht="15" customHeight="1">
      <c r="A115" s="234" t="s">
        <v>130</v>
      </c>
      <c r="C115" s="331"/>
      <c r="D115" s="328"/>
      <c r="E115" s="386">
        <v>121200</v>
      </c>
      <c r="F115" s="328" t="s">
        <v>161</v>
      </c>
      <c r="G115" s="329"/>
      <c r="H115" s="329"/>
      <c r="I115" s="329"/>
      <c r="J115" s="329">
        <v>0.33333332999999998</v>
      </c>
      <c r="K115" s="329">
        <v>0.16666665999999999</v>
      </c>
      <c r="L115" s="329">
        <v>0.33333332999999998</v>
      </c>
      <c r="M115" s="329">
        <v>0.16666668000000007</v>
      </c>
      <c r="N115" s="329"/>
      <c r="O115" s="329"/>
      <c r="P115" s="329"/>
      <c r="Q115" s="329"/>
      <c r="R115" s="329"/>
      <c r="S115" s="388"/>
      <c r="T115" s="388"/>
      <c r="U115" s="388"/>
      <c r="V115" s="388"/>
      <c r="W115" s="388"/>
      <c r="X115" s="388"/>
      <c r="Y115" s="388"/>
      <c r="Z115" s="388"/>
      <c r="AA115" s="388"/>
      <c r="AB115" s="388"/>
      <c r="AC115" s="426">
        <f t="shared" si="308"/>
        <v>1</v>
      </c>
      <c r="AD115" s="328"/>
      <c r="AE115" s="386">
        <f t="shared" si="421"/>
        <v>0</v>
      </c>
      <c r="AF115" s="386">
        <f t="shared" si="422"/>
        <v>0</v>
      </c>
      <c r="AG115" s="386">
        <f t="shared" si="423"/>
        <v>0</v>
      </c>
      <c r="AH115" s="386">
        <f t="shared" si="424"/>
        <v>40399.999596000001</v>
      </c>
      <c r="AI115" s="386">
        <f t="shared" si="425"/>
        <v>20199.999191999999</v>
      </c>
      <c r="AJ115" s="386">
        <f t="shared" si="426"/>
        <v>40399.999596000001</v>
      </c>
      <c r="AK115" s="386">
        <f t="shared" si="427"/>
        <v>20200.001616000009</v>
      </c>
      <c r="AL115" s="386">
        <f t="shared" si="428"/>
        <v>0</v>
      </c>
      <c r="AM115" s="386">
        <f t="shared" si="429"/>
        <v>0</v>
      </c>
      <c r="AN115" s="386">
        <f t="shared" si="430"/>
        <v>0</v>
      </c>
      <c r="AO115" s="393">
        <f t="shared" si="431"/>
        <v>0</v>
      </c>
      <c r="AP115" s="330">
        <f t="shared" si="432"/>
        <v>0</v>
      </c>
      <c r="AQ115" s="330">
        <f t="shared" si="433"/>
        <v>0</v>
      </c>
      <c r="AR115" s="330">
        <f t="shared" si="434"/>
        <v>0</v>
      </c>
      <c r="AS115" s="330">
        <f t="shared" si="435"/>
        <v>0</v>
      </c>
      <c r="AT115" s="330">
        <f t="shared" si="436"/>
        <v>0</v>
      </c>
      <c r="AU115" s="330">
        <f t="shared" si="437"/>
        <v>0</v>
      </c>
      <c r="AV115" s="330">
        <f t="shared" si="438"/>
        <v>0</v>
      </c>
      <c r="AW115" s="330">
        <f t="shared" si="439"/>
        <v>0</v>
      </c>
      <c r="AX115" s="330">
        <f t="shared" si="440"/>
        <v>0</v>
      </c>
      <c r="AY115" s="330">
        <f t="shared" si="441"/>
        <v>0</v>
      </c>
      <c r="AZ115" s="330">
        <f t="shared" si="442"/>
        <v>0</v>
      </c>
      <c r="BA115" s="330"/>
      <c r="BB115" s="330">
        <f t="shared" si="447"/>
        <v>0</v>
      </c>
      <c r="BC115" s="330">
        <f t="shared" si="447"/>
        <v>0</v>
      </c>
      <c r="BD115" s="330">
        <f t="shared" si="447"/>
        <v>121200</v>
      </c>
      <c r="BE115" s="330">
        <f t="shared" si="447"/>
        <v>0</v>
      </c>
      <c r="BF115" s="330">
        <f t="shared" si="447"/>
        <v>0</v>
      </c>
      <c r="BG115" s="330">
        <f t="shared" si="447"/>
        <v>0</v>
      </c>
      <c r="BH115" s="330">
        <f t="shared" si="447"/>
        <v>0</v>
      </c>
      <c r="BI115" s="330">
        <f t="shared" si="447"/>
        <v>0</v>
      </c>
      <c r="BJ115" s="330">
        <f t="shared" si="447"/>
        <v>0</v>
      </c>
      <c r="BK115" s="330">
        <f t="shared" si="447"/>
        <v>0</v>
      </c>
      <c r="BL115" s="330">
        <f t="shared" si="448"/>
        <v>0</v>
      </c>
      <c r="BM115" s="330">
        <f t="shared" si="448"/>
        <v>0</v>
      </c>
      <c r="BN115" s="330">
        <f t="shared" si="448"/>
        <v>0</v>
      </c>
      <c r="BO115" s="330">
        <f t="shared" si="448"/>
        <v>0</v>
      </c>
      <c r="BP115" s="330">
        <f t="shared" si="448"/>
        <v>0</v>
      </c>
      <c r="BQ115" s="330">
        <f t="shared" si="448"/>
        <v>0</v>
      </c>
      <c r="BR115" s="330">
        <f t="shared" si="448"/>
        <v>0</v>
      </c>
      <c r="BS115" s="330">
        <f t="shared" si="448"/>
        <v>0</v>
      </c>
      <c r="BT115" s="330">
        <f t="shared" si="448"/>
        <v>0</v>
      </c>
      <c r="BU115" s="330">
        <f t="shared" si="448"/>
        <v>0</v>
      </c>
      <c r="BV115" s="330">
        <f t="shared" si="448"/>
        <v>0</v>
      </c>
      <c r="BW115" s="330">
        <f t="shared" si="448"/>
        <v>0</v>
      </c>
      <c r="BX115" s="351">
        <f t="shared" si="444"/>
        <v>0</v>
      </c>
      <c r="BY115" s="378">
        <f t="shared" si="445"/>
        <v>0</v>
      </c>
      <c r="BZ115" s="378">
        <f t="shared" si="446"/>
        <v>0</v>
      </c>
    </row>
    <row r="116" spans="1:78" s="234" customFormat="1" ht="15" customHeight="1">
      <c r="A116" s="234" t="s">
        <v>130</v>
      </c>
      <c r="C116" s="331"/>
      <c r="D116" s="328"/>
      <c r="E116" s="386">
        <v>90020.47</v>
      </c>
      <c r="F116" s="328" t="s">
        <v>193</v>
      </c>
      <c r="G116" s="329"/>
      <c r="H116" s="329"/>
      <c r="I116" s="329"/>
      <c r="J116" s="329"/>
      <c r="K116" s="329">
        <v>0</v>
      </c>
      <c r="L116" s="329">
        <v>0.4660994327179141</v>
      </c>
      <c r="M116" s="387">
        <v>0.10413809214726383</v>
      </c>
      <c r="N116" s="394">
        <v>7.9981808581981409E-2</v>
      </c>
      <c r="O116" s="329">
        <v>6.8870335824729637E-2</v>
      </c>
      <c r="P116" s="329">
        <v>5.7593234072206019E-2</v>
      </c>
      <c r="Q116" s="329">
        <v>7.2129927781981143E-2</v>
      </c>
      <c r="R116" s="329">
        <v>6.2286722119980042E-2</v>
      </c>
      <c r="S116" s="329">
        <v>0</v>
      </c>
      <c r="T116" s="329">
        <v>8.8900446753943846E-2</v>
      </c>
      <c r="U116" s="329">
        <v>0</v>
      </c>
      <c r="V116" s="329">
        <v>0</v>
      </c>
      <c r="W116" s="389">
        <v>0</v>
      </c>
      <c r="X116" s="389">
        <v>0</v>
      </c>
      <c r="Y116" s="388"/>
      <c r="Z116" s="388"/>
      <c r="AA116" s="388"/>
      <c r="AB116" s="388"/>
      <c r="AC116" s="426">
        <f t="shared" si="308"/>
        <v>1</v>
      </c>
      <c r="AD116" s="328"/>
      <c r="AE116" s="386">
        <f t="shared" si="421"/>
        <v>0</v>
      </c>
      <c r="AF116" s="386">
        <f t="shared" si="422"/>
        <v>0</v>
      </c>
      <c r="AG116" s="386">
        <f t="shared" si="423"/>
        <v>0</v>
      </c>
      <c r="AH116" s="386">
        <f t="shared" si="424"/>
        <v>0</v>
      </c>
      <c r="AI116" s="386">
        <f t="shared" si="425"/>
        <v>0</v>
      </c>
      <c r="AJ116" s="386">
        <f t="shared" si="426"/>
        <v>41958.490000000005</v>
      </c>
      <c r="AK116" s="386">
        <f t="shared" si="427"/>
        <v>9374.56</v>
      </c>
      <c r="AL116" s="386">
        <f t="shared" si="428"/>
        <v>7200</v>
      </c>
      <c r="AM116" s="386">
        <f t="shared" si="429"/>
        <v>6199.74</v>
      </c>
      <c r="AN116" s="386">
        <f t="shared" si="430"/>
        <v>5184.57</v>
      </c>
      <c r="AO116" s="393">
        <f t="shared" si="431"/>
        <v>6493.17</v>
      </c>
      <c r="AP116" s="386">
        <f t="shared" si="432"/>
        <v>5607.08</v>
      </c>
      <c r="AQ116" s="330">
        <f t="shared" si="433"/>
        <v>0</v>
      </c>
      <c r="AR116" s="326">
        <f t="shared" si="434"/>
        <v>8002.86</v>
      </c>
      <c r="AS116" s="326">
        <f t="shared" si="435"/>
        <v>0</v>
      </c>
      <c r="AT116" s="326">
        <f t="shared" si="436"/>
        <v>0</v>
      </c>
      <c r="AU116" s="330">
        <f t="shared" si="437"/>
        <v>0</v>
      </c>
      <c r="AV116" s="330">
        <f t="shared" si="438"/>
        <v>0</v>
      </c>
      <c r="AW116" s="330">
        <f t="shared" si="439"/>
        <v>0</v>
      </c>
      <c r="AX116" s="330">
        <f t="shared" si="440"/>
        <v>0</v>
      </c>
      <c r="AY116" s="330">
        <f t="shared" si="441"/>
        <v>0</v>
      </c>
      <c r="AZ116" s="330">
        <f t="shared" si="442"/>
        <v>0</v>
      </c>
      <c r="BA116" s="330"/>
      <c r="BB116" s="330">
        <f>IF(BB$3=$F116,$E116,0)</f>
        <v>0</v>
      </c>
      <c r="BC116" s="330">
        <f>IF(BC$3=$F116,$E116,0)</f>
        <v>0</v>
      </c>
      <c r="BD116" s="330">
        <f>IF(BD$3=$F116,$E116,0)</f>
        <v>0</v>
      </c>
      <c r="BE116" s="330">
        <v>124265.64</v>
      </c>
      <c r="BF116" s="330">
        <f t="shared" ref="BF116:BR116" si="449">IF(BF$3=$F116,$E116,0)</f>
        <v>0</v>
      </c>
      <c r="BG116" s="330">
        <f t="shared" si="449"/>
        <v>0</v>
      </c>
      <c r="BH116" s="330">
        <f t="shared" si="449"/>
        <v>0</v>
      </c>
      <c r="BI116" s="330">
        <f t="shared" si="449"/>
        <v>0</v>
      </c>
      <c r="BJ116" s="330">
        <f t="shared" si="449"/>
        <v>0</v>
      </c>
      <c r="BK116" s="330">
        <f t="shared" si="449"/>
        <v>0</v>
      </c>
      <c r="BL116" s="330">
        <f t="shared" si="449"/>
        <v>0</v>
      </c>
      <c r="BM116" s="330">
        <f t="shared" si="449"/>
        <v>0</v>
      </c>
      <c r="BN116" s="330">
        <f t="shared" si="449"/>
        <v>0</v>
      </c>
      <c r="BO116" s="330">
        <f t="shared" si="449"/>
        <v>0</v>
      </c>
      <c r="BP116" s="330">
        <f t="shared" si="449"/>
        <v>0</v>
      </c>
      <c r="BQ116" s="330">
        <f t="shared" si="449"/>
        <v>0</v>
      </c>
      <c r="BR116" s="330">
        <f t="shared" si="449"/>
        <v>0</v>
      </c>
      <c r="BS116" s="330">
        <v>-34245.17</v>
      </c>
      <c r="BT116" s="330">
        <f>IF(BT$3=$F116,$E116,0)</f>
        <v>0</v>
      </c>
      <c r="BU116" s="330">
        <f>IF(BU$3=$F116,$E116,0)</f>
        <v>0</v>
      </c>
      <c r="BV116" s="330">
        <f>IF(BV$3=$F116,$E116,0)</f>
        <v>0</v>
      </c>
      <c r="BW116" s="330">
        <f>IF(BW$3=$F116,$E116,0)</f>
        <v>0</v>
      </c>
      <c r="BX116" s="351">
        <f t="shared" si="444"/>
        <v>0</v>
      </c>
      <c r="BY116" s="378">
        <f t="shared" si="445"/>
        <v>0</v>
      </c>
      <c r="BZ116" s="378">
        <f t="shared" si="446"/>
        <v>0</v>
      </c>
    </row>
    <row r="117" spans="1:78" s="234" customFormat="1" ht="15" customHeight="1">
      <c r="A117" s="234" t="s">
        <v>132</v>
      </c>
      <c r="C117" s="331"/>
      <c r="D117" s="328"/>
      <c r="E117" s="386">
        <v>5000</v>
      </c>
      <c r="F117" s="328" t="s">
        <v>193</v>
      </c>
      <c r="G117" s="388"/>
      <c r="H117" s="388"/>
      <c r="I117" s="388"/>
      <c r="J117" s="329">
        <v>1</v>
      </c>
      <c r="K117" s="329"/>
      <c r="L117" s="329"/>
      <c r="M117" s="329"/>
      <c r="N117" s="329"/>
      <c r="O117" s="388"/>
      <c r="P117" s="388"/>
      <c r="Q117" s="388"/>
      <c r="R117" s="388"/>
      <c r="S117" s="388"/>
      <c r="T117" s="388"/>
      <c r="U117" s="388"/>
      <c r="V117" s="388"/>
      <c r="W117" s="388"/>
      <c r="X117" s="388"/>
      <c r="Y117" s="388"/>
      <c r="Z117" s="388"/>
      <c r="AA117" s="388"/>
      <c r="AB117" s="388"/>
      <c r="AC117" s="426">
        <f t="shared" si="308"/>
        <v>1</v>
      </c>
      <c r="AD117" s="328"/>
      <c r="AE117" s="386">
        <f t="shared" si="421"/>
        <v>0</v>
      </c>
      <c r="AF117" s="386">
        <f t="shared" si="422"/>
        <v>0</v>
      </c>
      <c r="AG117" s="386">
        <f t="shared" si="423"/>
        <v>0</v>
      </c>
      <c r="AH117" s="386">
        <f t="shared" si="424"/>
        <v>5000</v>
      </c>
      <c r="AI117" s="386">
        <f t="shared" si="425"/>
        <v>0</v>
      </c>
      <c r="AJ117" s="386">
        <f t="shared" si="426"/>
        <v>0</v>
      </c>
      <c r="AK117" s="386">
        <f t="shared" si="427"/>
        <v>0</v>
      </c>
      <c r="AL117" s="386">
        <f t="shared" si="428"/>
        <v>0</v>
      </c>
      <c r="AM117" s="386">
        <f t="shared" si="429"/>
        <v>0</v>
      </c>
      <c r="AN117" s="386">
        <f t="shared" si="430"/>
        <v>0</v>
      </c>
      <c r="AO117" s="393">
        <f t="shared" si="431"/>
        <v>0</v>
      </c>
      <c r="AP117" s="330">
        <f t="shared" si="432"/>
        <v>0</v>
      </c>
      <c r="AQ117" s="330">
        <f t="shared" si="433"/>
        <v>0</v>
      </c>
      <c r="AR117" s="330">
        <f t="shared" si="434"/>
        <v>0</v>
      </c>
      <c r="AS117" s="330">
        <f t="shared" si="435"/>
        <v>0</v>
      </c>
      <c r="AT117" s="330">
        <f t="shared" si="436"/>
        <v>0</v>
      </c>
      <c r="AU117" s="330">
        <f t="shared" si="437"/>
        <v>0</v>
      </c>
      <c r="AV117" s="330">
        <f t="shared" si="438"/>
        <v>0</v>
      </c>
      <c r="AW117" s="330">
        <f t="shared" si="439"/>
        <v>0</v>
      </c>
      <c r="AX117" s="330">
        <f t="shared" si="440"/>
        <v>0</v>
      </c>
      <c r="AY117" s="330">
        <f t="shared" si="441"/>
        <v>0</v>
      </c>
      <c r="AZ117" s="330">
        <f t="shared" si="442"/>
        <v>0</v>
      </c>
      <c r="BA117" s="330"/>
      <c r="BB117" s="330">
        <f t="shared" ref="BB117:BW117" si="450">IF(BB$3=$F117,$E117,0)</f>
        <v>0</v>
      </c>
      <c r="BC117" s="330">
        <f t="shared" si="450"/>
        <v>0</v>
      </c>
      <c r="BD117" s="330">
        <f t="shared" si="450"/>
        <v>0</v>
      </c>
      <c r="BE117" s="330">
        <f t="shared" si="450"/>
        <v>5000</v>
      </c>
      <c r="BF117" s="330">
        <f t="shared" si="450"/>
        <v>0</v>
      </c>
      <c r="BG117" s="330">
        <f t="shared" si="450"/>
        <v>0</v>
      </c>
      <c r="BH117" s="330">
        <f t="shared" si="450"/>
        <v>0</v>
      </c>
      <c r="BI117" s="330">
        <f t="shared" si="450"/>
        <v>0</v>
      </c>
      <c r="BJ117" s="330">
        <f t="shared" si="450"/>
        <v>0</v>
      </c>
      <c r="BK117" s="330">
        <f t="shared" si="450"/>
        <v>0</v>
      </c>
      <c r="BL117" s="330">
        <f t="shared" si="450"/>
        <v>0</v>
      </c>
      <c r="BM117" s="330">
        <f t="shared" si="450"/>
        <v>0</v>
      </c>
      <c r="BN117" s="330">
        <f t="shared" si="450"/>
        <v>0</v>
      </c>
      <c r="BO117" s="330">
        <f t="shared" si="450"/>
        <v>0</v>
      </c>
      <c r="BP117" s="330">
        <f t="shared" si="450"/>
        <v>0</v>
      </c>
      <c r="BQ117" s="330">
        <f t="shared" si="450"/>
        <v>0</v>
      </c>
      <c r="BR117" s="330">
        <f t="shared" si="450"/>
        <v>0</v>
      </c>
      <c r="BS117" s="330">
        <f t="shared" si="450"/>
        <v>0</v>
      </c>
      <c r="BT117" s="330">
        <f t="shared" si="450"/>
        <v>0</v>
      </c>
      <c r="BU117" s="330">
        <f t="shared" si="450"/>
        <v>0</v>
      </c>
      <c r="BV117" s="330">
        <f t="shared" si="450"/>
        <v>0</v>
      </c>
      <c r="BW117" s="330">
        <f t="shared" si="450"/>
        <v>0</v>
      </c>
      <c r="BX117" s="351">
        <f t="shared" si="444"/>
        <v>0</v>
      </c>
      <c r="BY117" s="378">
        <f t="shared" si="445"/>
        <v>0</v>
      </c>
      <c r="BZ117" s="378">
        <f t="shared" si="446"/>
        <v>0</v>
      </c>
    </row>
    <row r="118" spans="1:78" s="234" customFormat="1" ht="15" customHeight="1">
      <c r="A118" s="234" t="s">
        <v>130</v>
      </c>
      <c r="B118" s="234" t="s">
        <v>306</v>
      </c>
      <c r="C118" s="331"/>
      <c r="D118" s="328"/>
      <c r="E118" s="386">
        <v>57832.03</v>
      </c>
      <c r="F118" s="328" t="s">
        <v>190</v>
      </c>
      <c r="G118" s="388"/>
      <c r="H118" s="388"/>
      <c r="I118" s="388"/>
      <c r="J118" s="388"/>
      <c r="K118" s="395">
        <v>0.33333344860970643</v>
      </c>
      <c r="L118" s="395">
        <v>0.44444436759352907</v>
      </c>
      <c r="M118" s="395">
        <v>0.22222218379676453</v>
      </c>
      <c r="N118" s="329"/>
      <c r="O118" s="329"/>
      <c r="P118" s="388"/>
      <c r="Q118" s="388"/>
      <c r="R118" s="388"/>
      <c r="S118" s="388"/>
      <c r="T118" s="329">
        <f>1-S118-Q118-P118-O118-M118-L118-N118-K118</f>
        <v>0</v>
      </c>
      <c r="U118" s="388"/>
      <c r="V118" s="388"/>
      <c r="W118" s="388"/>
      <c r="X118" s="388"/>
      <c r="Y118" s="388"/>
      <c r="Z118" s="388"/>
      <c r="AA118" s="388"/>
      <c r="AB118" s="388"/>
      <c r="AC118" s="426">
        <f t="shared" si="308"/>
        <v>1</v>
      </c>
      <c r="AD118" s="328"/>
      <c r="AE118" s="386">
        <f t="shared" si="421"/>
        <v>0</v>
      </c>
      <c r="AF118" s="386">
        <f t="shared" si="422"/>
        <v>0</v>
      </c>
      <c r="AG118" s="386">
        <f t="shared" si="423"/>
        <v>0</v>
      </c>
      <c r="AH118" s="386">
        <f t="shared" si="424"/>
        <v>0</v>
      </c>
      <c r="AI118" s="386">
        <f t="shared" si="425"/>
        <v>19277.349999999999</v>
      </c>
      <c r="AJ118" s="386">
        <f t="shared" si="426"/>
        <v>25703.119999999999</v>
      </c>
      <c r="AK118" s="386">
        <f t="shared" si="427"/>
        <v>12851.56</v>
      </c>
      <c r="AL118" s="386">
        <f t="shared" si="428"/>
        <v>0</v>
      </c>
      <c r="AM118" s="386">
        <f t="shared" si="429"/>
        <v>0</v>
      </c>
      <c r="AN118" s="386">
        <f t="shared" si="430"/>
        <v>0</v>
      </c>
      <c r="AO118" s="393">
        <f t="shared" si="431"/>
        <v>0</v>
      </c>
      <c r="AP118" s="330">
        <f t="shared" si="432"/>
        <v>0</v>
      </c>
      <c r="AQ118" s="330">
        <f t="shared" si="433"/>
        <v>0</v>
      </c>
      <c r="AR118" s="330">
        <f t="shared" si="434"/>
        <v>0</v>
      </c>
      <c r="AS118" s="330">
        <f t="shared" si="435"/>
        <v>0</v>
      </c>
      <c r="AT118" s="330">
        <f t="shared" si="436"/>
        <v>0</v>
      </c>
      <c r="AU118" s="330">
        <f t="shared" si="437"/>
        <v>0</v>
      </c>
      <c r="AV118" s="330">
        <f t="shared" si="438"/>
        <v>0</v>
      </c>
      <c r="AW118" s="330">
        <f t="shared" si="439"/>
        <v>0</v>
      </c>
      <c r="AX118" s="330">
        <f t="shared" si="440"/>
        <v>0</v>
      </c>
      <c r="AY118" s="330">
        <f t="shared" si="441"/>
        <v>0</v>
      </c>
      <c r="AZ118" s="330">
        <f t="shared" si="442"/>
        <v>0</v>
      </c>
      <c r="BA118" s="330"/>
      <c r="BB118" s="330">
        <f t="shared" ref="BB118:BK125" si="451">IF(BB$3=$F118,$E118,0)</f>
        <v>0</v>
      </c>
      <c r="BC118" s="330">
        <f t="shared" si="451"/>
        <v>0</v>
      </c>
      <c r="BD118" s="330">
        <f t="shared" si="451"/>
        <v>0</v>
      </c>
      <c r="BE118" s="330">
        <f t="shared" si="451"/>
        <v>0</v>
      </c>
      <c r="BF118" s="386">
        <f t="shared" si="451"/>
        <v>57832.03</v>
      </c>
      <c r="BG118" s="330">
        <f t="shared" si="451"/>
        <v>0</v>
      </c>
      <c r="BH118" s="330">
        <f t="shared" si="451"/>
        <v>0</v>
      </c>
      <c r="BI118" s="330">
        <f t="shared" si="451"/>
        <v>0</v>
      </c>
      <c r="BJ118" s="330">
        <f t="shared" si="451"/>
        <v>0</v>
      </c>
      <c r="BK118" s="330">
        <f t="shared" si="451"/>
        <v>0</v>
      </c>
      <c r="BL118" s="330">
        <f t="shared" ref="BL118:BW125" si="452">IF(BL$3=$F118,$E118,0)</f>
        <v>0</v>
      </c>
      <c r="BM118" s="330">
        <f t="shared" si="452"/>
        <v>0</v>
      </c>
      <c r="BN118" s="330">
        <f t="shared" si="452"/>
        <v>0</v>
      </c>
      <c r="BO118" s="330">
        <f t="shared" si="452"/>
        <v>0</v>
      </c>
      <c r="BP118" s="330">
        <f t="shared" si="452"/>
        <v>0</v>
      </c>
      <c r="BQ118" s="330">
        <f t="shared" si="452"/>
        <v>0</v>
      </c>
      <c r="BR118" s="330">
        <f t="shared" si="452"/>
        <v>0</v>
      </c>
      <c r="BS118" s="330">
        <f t="shared" si="452"/>
        <v>0</v>
      </c>
      <c r="BT118" s="330">
        <f t="shared" si="452"/>
        <v>0</v>
      </c>
      <c r="BU118" s="330">
        <f t="shared" si="452"/>
        <v>0</v>
      </c>
      <c r="BV118" s="330">
        <f t="shared" si="452"/>
        <v>0</v>
      </c>
      <c r="BW118" s="330">
        <f t="shared" si="452"/>
        <v>0</v>
      </c>
      <c r="BX118" s="351">
        <f t="shared" si="444"/>
        <v>0</v>
      </c>
      <c r="BY118" s="378">
        <f t="shared" si="445"/>
        <v>0</v>
      </c>
      <c r="BZ118" s="378">
        <f t="shared" si="446"/>
        <v>0</v>
      </c>
    </row>
    <row r="119" spans="1:78" s="234" customFormat="1" ht="15" customHeight="1">
      <c r="A119" s="234" t="s">
        <v>130</v>
      </c>
      <c r="C119" s="331"/>
      <c r="D119" s="328"/>
      <c r="E119" s="391">
        <f>12250*12</f>
        <v>147000</v>
      </c>
      <c r="F119" s="388" t="s">
        <v>190</v>
      </c>
      <c r="G119" s="329"/>
      <c r="H119" s="329"/>
      <c r="I119" s="329"/>
      <c r="J119" s="329"/>
      <c r="K119" s="329">
        <v>8.3333333333333301E-2</v>
      </c>
      <c r="L119" s="329">
        <v>0.16666666666666599</v>
      </c>
      <c r="M119" s="329">
        <v>0.25</v>
      </c>
      <c r="N119" s="329">
        <v>0.33333333333333331</v>
      </c>
      <c r="O119" s="329">
        <v>0.16666666666666669</v>
      </c>
      <c r="P119" s="329">
        <v>0</v>
      </c>
      <c r="Q119" s="329"/>
      <c r="R119" s="329"/>
      <c r="S119" s="388"/>
      <c r="T119" s="388"/>
      <c r="U119" s="388"/>
      <c r="V119" s="388"/>
      <c r="W119" s="388"/>
      <c r="X119" s="388"/>
      <c r="Y119" s="388"/>
      <c r="Z119" s="388"/>
      <c r="AA119" s="388"/>
      <c r="AB119" s="388"/>
      <c r="AC119" s="426">
        <f t="shared" si="308"/>
        <v>0.99999999999999933</v>
      </c>
      <c r="AD119" s="328"/>
      <c r="AE119" s="386">
        <f t="shared" si="421"/>
        <v>0</v>
      </c>
      <c r="AF119" s="386">
        <f t="shared" si="422"/>
        <v>0</v>
      </c>
      <c r="AG119" s="386">
        <f t="shared" si="423"/>
        <v>0</v>
      </c>
      <c r="AH119" s="386">
        <f t="shared" si="424"/>
        <v>0</v>
      </c>
      <c r="AI119" s="386">
        <f t="shared" si="425"/>
        <v>12249.999999999995</v>
      </c>
      <c r="AJ119" s="386">
        <f t="shared" si="426"/>
        <v>24499.999999999902</v>
      </c>
      <c r="AK119" s="386">
        <f t="shared" si="427"/>
        <v>36750</v>
      </c>
      <c r="AL119" s="386">
        <f t="shared" si="428"/>
        <v>49000</v>
      </c>
      <c r="AM119" s="386">
        <f t="shared" si="429"/>
        <v>24500.000000000004</v>
      </c>
      <c r="AN119" s="386">
        <f t="shared" si="430"/>
        <v>0</v>
      </c>
      <c r="AO119" s="393">
        <f t="shared" si="431"/>
        <v>0</v>
      </c>
      <c r="AP119" s="330">
        <f t="shared" si="432"/>
        <v>0</v>
      </c>
      <c r="AQ119" s="330">
        <f t="shared" si="433"/>
        <v>0</v>
      </c>
      <c r="AR119" s="330">
        <f t="shared" si="434"/>
        <v>0</v>
      </c>
      <c r="AS119" s="330">
        <f t="shared" si="435"/>
        <v>0</v>
      </c>
      <c r="AT119" s="330">
        <f t="shared" si="436"/>
        <v>0</v>
      </c>
      <c r="AU119" s="330">
        <f t="shared" si="437"/>
        <v>0</v>
      </c>
      <c r="AV119" s="330">
        <f t="shared" si="438"/>
        <v>0</v>
      </c>
      <c r="AW119" s="330">
        <f t="shared" si="439"/>
        <v>0</v>
      </c>
      <c r="AX119" s="330">
        <f t="shared" si="440"/>
        <v>0</v>
      </c>
      <c r="AY119" s="330">
        <f t="shared" si="441"/>
        <v>0</v>
      </c>
      <c r="AZ119" s="330">
        <f t="shared" si="442"/>
        <v>0</v>
      </c>
      <c r="BA119" s="330"/>
      <c r="BB119" s="330">
        <f t="shared" si="451"/>
        <v>0</v>
      </c>
      <c r="BC119" s="330">
        <f t="shared" si="451"/>
        <v>0</v>
      </c>
      <c r="BD119" s="330">
        <f t="shared" si="451"/>
        <v>0</v>
      </c>
      <c r="BE119" s="330">
        <f t="shared" si="451"/>
        <v>0</v>
      </c>
      <c r="BF119" s="330">
        <f t="shared" si="451"/>
        <v>147000</v>
      </c>
      <c r="BG119" s="330">
        <f t="shared" si="451"/>
        <v>0</v>
      </c>
      <c r="BH119" s="330">
        <f t="shared" si="451"/>
        <v>0</v>
      </c>
      <c r="BI119" s="330">
        <f t="shared" si="451"/>
        <v>0</v>
      </c>
      <c r="BJ119" s="330">
        <f t="shared" si="451"/>
        <v>0</v>
      </c>
      <c r="BK119" s="330">
        <f t="shared" si="451"/>
        <v>0</v>
      </c>
      <c r="BL119" s="330">
        <f t="shared" si="452"/>
        <v>0</v>
      </c>
      <c r="BM119" s="330">
        <f t="shared" si="452"/>
        <v>0</v>
      </c>
      <c r="BN119" s="330">
        <f t="shared" si="452"/>
        <v>0</v>
      </c>
      <c r="BO119" s="330">
        <f t="shared" si="452"/>
        <v>0</v>
      </c>
      <c r="BP119" s="330">
        <f t="shared" si="452"/>
        <v>0</v>
      </c>
      <c r="BQ119" s="330">
        <f t="shared" si="452"/>
        <v>0</v>
      </c>
      <c r="BR119" s="330">
        <f t="shared" si="452"/>
        <v>0</v>
      </c>
      <c r="BS119" s="330">
        <f t="shared" si="452"/>
        <v>0</v>
      </c>
      <c r="BT119" s="330">
        <f t="shared" si="452"/>
        <v>0</v>
      </c>
      <c r="BU119" s="330">
        <f t="shared" si="452"/>
        <v>0</v>
      </c>
      <c r="BV119" s="330">
        <f t="shared" si="452"/>
        <v>0</v>
      </c>
      <c r="BW119" s="330">
        <f t="shared" si="452"/>
        <v>0</v>
      </c>
      <c r="BX119" s="351">
        <f t="shared" si="444"/>
        <v>0</v>
      </c>
      <c r="BY119" s="378">
        <f t="shared" si="445"/>
        <v>0</v>
      </c>
      <c r="BZ119" s="378">
        <f t="shared" si="446"/>
        <v>0</v>
      </c>
    </row>
    <row r="120" spans="1:78" s="234" customFormat="1" ht="15" customHeight="1">
      <c r="A120" s="234" t="s">
        <v>132</v>
      </c>
      <c r="C120" s="331"/>
      <c r="D120" s="328"/>
      <c r="E120" s="386">
        <v>961.64</v>
      </c>
      <c r="F120" s="328" t="s">
        <v>190</v>
      </c>
      <c r="G120" s="388"/>
      <c r="H120" s="388"/>
      <c r="I120" s="388"/>
      <c r="J120" s="329"/>
      <c r="K120" s="329">
        <v>1</v>
      </c>
      <c r="L120" s="329"/>
      <c r="M120" s="329"/>
      <c r="N120" s="329"/>
      <c r="O120" s="388"/>
      <c r="P120" s="388"/>
      <c r="Q120" s="388"/>
      <c r="R120" s="388"/>
      <c r="S120" s="388"/>
      <c r="T120" s="388"/>
      <c r="U120" s="388"/>
      <c r="V120" s="388"/>
      <c r="W120" s="388"/>
      <c r="X120" s="388"/>
      <c r="Y120" s="388"/>
      <c r="Z120" s="388"/>
      <c r="AA120" s="388"/>
      <c r="AB120" s="388"/>
      <c r="AC120" s="426">
        <f t="shared" si="308"/>
        <v>1</v>
      </c>
      <c r="AD120" s="328"/>
      <c r="AE120" s="386">
        <f t="shared" si="421"/>
        <v>0</v>
      </c>
      <c r="AF120" s="386">
        <f t="shared" si="422"/>
        <v>0</v>
      </c>
      <c r="AG120" s="386">
        <f t="shared" si="423"/>
        <v>0</v>
      </c>
      <c r="AH120" s="386">
        <f t="shared" si="424"/>
        <v>0</v>
      </c>
      <c r="AI120" s="386">
        <f t="shared" si="425"/>
        <v>961.64</v>
      </c>
      <c r="AJ120" s="386">
        <f t="shared" si="426"/>
        <v>0</v>
      </c>
      <c r="AK120" s="386">
        <f t="shared" si="427"/>
        <v>0</v>
      </c>
      <c r="AL120" s="386">
        <f t="shared" si="428"/>
        <v>0</v>
      </c>
      <c r="AM120" s="386">
        <f t="shared" si="429"/>
        <v>0</v>
      </c>
      <c r="AN120" s="386">
        <f t="shared" si="430"/>
        <v>0</v>
      </c>
      <c r="AO120" s="393">
        <f t="shared" si="431"/>
        <v>0</v>
      </c>
      <c r="AP120" s="330">
        <f t="shared" si="432"/>
        <v>0</v>
      </c>
      <c r="AQ120" s="330">
        <f t="shared" si="433"/>
        <v>0</v>
      </c>
      <c r="AR120" s="330">
        <f t="shared" si="434"/>
        <v>0</v>
      </c>
      <c r="AS120" s="330">
        <f t="shared" si="435"/>
        <v>0</v>
      </c>
      <c r="AT120" s="330">
        <f t="shared" si="436"/>
        <v>0</v>
      </c>
      <c r="AU120" s="330">
        <f t="shared" si="437"/>
        <v>0</v>
      </c>
      <c r="AV120" s="330">
        <f t="shared" si="438"/>
        <v>0</v>
      </c>
      <c r="AW120" s="330">
        <f t="shared" si="439"/>
        <v>0</v>
      </c>
      <c r="AX120" s="330">
        <f t="shared" si="440"/>
        <v>0</v>
      </c>
      <c r="AY120" s="330">
        <f t="shared" si="441"/>
        <v>0</v>
      </c>
      <c r="AZ120" s="330">
        <f t="shared" si="442"/>
        <v>0</v>
      </c>
      <c r="BA120" s="330"/>
      <c r="BB120" s="330">
        <f t="shared" si="451"/>
        <v>0</v>
      </c>
      <c r="BC120" s="330">
        <f t="shared" si="451"/>
        <v>0</v>
      </c>
      <c r="BD120" s="330">
        <f t="shared" si="451"/>
        <v>0</v>
      </c>
      <c r="BE120" s="330">
        <f t="shared" si="451"/>
        <v>0</v>
      </c>
      <c r="BF120" s="330">
        <f t="shared" si="451"/>
        <v>961.64</v>
      </c>
      <c r="BG120" s="330">
        <f t="shared" si="451"/>
        <v>0</v>
      </c>
      <c r="BH120" s="330">
        <f t="shared" si="451"/>
        <v>0</v>
      </c>
      <c r="BI120" s="330">
        <f t="shared" si="451"/>
        <v>0</v>
      </c>
      <c r="BJ120" s="330">
        <f t="shared" si="451"/>
        <v>0</v>
      </c>
      <c r="BK120" s="330">
        <f t="shared" si="451"/>
        <v>0</v>
      </c>
      <c r="BL120" s="330">
        <f t="shared" si="452"/>
        <v>0</v>
      </c>
      <c r="BM120" s="330">
        <f t="shared" si="452"/>
        <v>0</v>
      </c>
      <c r="BN120" s="330">
        <f t="shared" si="452"/>
        <v>0</v>
      </c>
      <c r="BO120" s="330">
        <f t="shared" si="452"/>
        <v>0</v>
      </c>
      <c r="BP120" s="330">
        <f t="shared" si="452"/>
        <v>0</v>
      </c>
      <c r="BQ120" s="330">
        <f t="shared" si="452"/>
        <v>0</v>
      </c>
      <c r="BR120" s="330">
        <f t="shared" si="452"/>
        <v>0</v>
      </c>
      <c r="BS120" s="330">
        <f t="shared" si="452"/>
        <v>0</v>
      </c>
      <c r="BT120" s="330">
        <f t="shared" si="452"/>
        <v>0</v>
      </c>
      <c r="BU120" s="330">
        <f t="shared" si="452"/>
        <v>0</v>
      </c>
      <c r="BV120" s="330">
        <f t="shared" si="452"/>
        <v>0</v>
      </c>
      <c r="BW120" s="330">
        <f t="shared" si="452"/>
        <v>0</v>
      </c>
      <c r="BX120" s="351">
        <f t="shared" si="444"/>
        <v>0</v>
      </c>
      <c r="BY120" s="378">
        <f t="shared" si="445"/>
        <v>0</v>
      </c>
      <c r="BZ120" s="378">
        <f t="shared" si="446"/>
        <v>0</v>
      </c>
    </row>
    <row r="121" spans="1:78" s="234" customFormat="1" ht="15" customHeight="1">
      <c r="A121" s="234" t="s">
        <v>131</v>
      </c>
      <c r="C121" s="331"/>
      <c r="D121" s="328"/>
      <c r="E121" s="386">
        <v>1030229</v>
      </c>
      <c r="F121" s="328" t="s">
        <v>163</v>
      </c>
      <c r="G121" s="329"/>
      <c r="H121" s="329"/>
      <c r="I121" s="329"/>
      <c r="J121" s="329"/>
      <c r="K121" s="329"/>
      <c r="L121" s="329">
        <v>0</v>
      </c>
      <c r="M121" s="329">
        <v>0.1</v>
      </c>
      <c r="N121" s="329">
        <v>0</v>
      </c>
      <c r="O121" s="329">
        <v>0</v>
      </c>
      <c r="P121" s="329">
        <v>0.30002038381757845</v>
      </c>
      <c r="Q121" s="329">
        <v>0</v>
      </c>
      <c r="R121" s="329">
        <v>0.19997961618242158</v>
      </c>
      <c r="S121" s="329">
        <f>1-(R121+Q121+P121+O121+N121+M121)</f>
        <v>0.4</v>
      </c>
      <c r="T121" s="388"/>
      <c r="U121" s="388"/>
      <c r="V121" s="388"/>
      <c r="W121" s="388"/>
      <c r="X121" s="388"/>
      <c r="Y121" s="388"/>
      <c r="Z121" s="388"/>
      <c r="AA121" s="388"/>
      <c r="AB121" s="388"/>
      <c r="AC121" s="426">
        <f t="shared" si="308"/>
        <v>1</v>
      </c>
      <c r="AD121" s="328"/>
      <c r="AE121" s="386">
        <f t="shared" si="421"/>
        <v>0</v>
      </c>
      <c r="AF121" s="386">
        <f t="shared" si="422"/>
        <v>0</v>
      </c>
      <c r="AG121" s="386">
        <f t="shared" si="423"/>
        <v>0</v>
      </c>
      <c r="AH121" s="386">
        <f t="shared" si="424"/>
        <v>0</v>
      </c>
      <c r="AI121" s="386">
        <f t="shared" si="425"/>
        <v>0</v>
      </c>
      <c r="AJ121" s="386">
        <f t="shared" si="426"/>
        <v>0</v>
      </c>
      <c r="AK121" s="386">
        <f t="shared" si="427"/>
        <v>103022.90000000001</v>
      </c>
      <c r="AL121" s="386">
        <f t="shared" si="428"/>
        <v>0</v>
      </c>
      <c r="AM121" s="386">
        <f t="shared" si="429"/>
        <v>0</v>
      </c>
      <c r="AN121" s="386">
        <f t="shared" si="430"/>
        <v>309089.7</v>
      </c>
      <c r="AO121" s="393">
        <f t="shared" si="431"/>
        <v>0</v>
      </c>
      <c r="AP121" s="330">
        <f t="shared" si="432"/>
        <v>206024.8</v>
      </c>
      <c r="AQ121" s="330">
        <f t="shared" si="433"/>
        <v>412091.60000000003</v>
      </c>
      <c r="AR121" s="330">
        <f t="shared" si="434"/>
        <v>0</v>
      </c>
      <c r="AS121" s="330">
        <f t="shared" si="435"/>
        <v>0</v>
      </c>
      <c r="AT121" s="330">
        <f t="shared" si="436"/>
        <v>0</v>
      </c>
      <c r="AU121" s="330">
        <f t="shared" si="437"/>
        <v>0</v>
      </c>
      <c r="AV121" s="330">
        <f t="shared" si="438"/>
        <v>0</v>
      </c>
      <c r="AW121" s="330">
        <f t="shared" si="439"/>
        <v>0</v>
      </c>
      <c r="AX121" s="330">
        <f t="shared" si="440"/>
        <v>0</v>
      </c>
      <c r="AY121" s="330">
        <f t="shared" si="441"/>
        <v>0</v>
      </c>
      <c r="AZ121" s="330">
        <f t="shared" si="442"/>
        <v>0</v>
      </c>
      <c r="BA121" s="330"/>
      <c r="BB121" s="330">
        <f t="shared" si="451"/>
        <v>0</v>
      </c>
      <c r="BC121" s="330">
        <f t="shared" si="451"/>
        <v>0</v>
      </c>
      <c r="BD121" s="330">
        <f t="shared" si="451"/>
        <v>0</v>
      </c>
      <c r="BE121" s="330">
        <f t="shared" si="451"/>
        <v>0</v>
      </c>
      <c r="BF121" s="330">
        <f t="shared" si="451"/>
        <v>0</v>
      </c>
      <c r="BG121" s="330">
        <f t="shared" si="451"/>
        <v>1030229</v>
      </c>
      <c r="BH121" s="330">
        <f t="shared" si="451"/>
        <v>0</v>
      </c>
      <c r="BI121" s="330">
        <f t="shared" si="451"/>
        <v>0</v>
      </c>
      <c r="BJ121" s="330">
        <f t="shared" si="451"/>
        <v>0</v>
      </c>
      <c r="BK121" s="330">
        <f t="shared" si="451"/>
        <v>0</v>
      </c>
      <c r="BL121" s="330">
        <f t="shared" si="452"/>
        <v>0</v>
      </c>
      <c r="BM121" s="330">
        <f t="shared" si="452"/>
        <v>0</v>
      </c>
      <c r="BN121" s="330">
        <f t="shared" si="452"/>
        <v>0</v>
      </c>
      <c r="BO121" s="330">
        <f t="shared" si="452"/>
        <v>0</v>
      </c>
      <c r="BP121" s="330">
        <f t="shared" si="452"/>
        <v>0</v>
      </c>
      <c r="BQ121" s="330">
        <f t="shared" si="452"/>
        <v>0</v>
      </c>
      <c r="BR121" s="330">
        <f t="shared" si="452"/>
        <v>0</v>
      </c>
      <c r="BS121" s="330">
        <f t="shared" si="452"/>
        <v>0</v>
      </c>
      <c r="BT121" s="330">
        <f t="shared" si="452"/>
        <v>0</v>
      </c>
      <c r="BU121" s="330">
        <f t="shared" si="452"/>
        <v>0</v>
      </c>
      <c r="BV121" s="330">
        <f t="shared" si="452"/>
        <v>0</v>
      </c>
      <c r="BW121" s="330">
        <f t="shared" si="452"/>
        <v>0</v>
      </c>
      <c r="BX121" s="351">
        <f t="shared" si="444"/>
        <v>0</v>
      </c>
      <c r="BY121" s="378">
        <f t="shared" si="445"/>
        <v>0</v>
      </c>
      <c r="BZ121" s="378">
        <f t="shared" si="446"/>
        <v>0</v>
      </c>
    </row>
    <row r="122" spans="1:78" s="234" customFormat="1" ht="15" customHeight="1">
      <c r="A122" s="234" t="s">
        <v>130</v>
      </c>
      <c r="C122" s="331"/>
      <c r="D122" s="328"/>
      <c r="E122" s="386">
        <v>0</v>
      </c>
      <c r="F122" s="328" t="s">
        <v>240</v>
      </c>
      <c r="G122" s="388"/>
      <c r="H122" s="388"/>
      <c r="I122" s="388"/>
      <c r="J122" s="388"/>
      <c r="K122" s="395">
        <v>0</v>
      </c>
      <c r="L122" s="395">
        <v>0</v>
      </c>
      <c r="M122" s="395">
        <v>0</v>
      </c>
      <c r="N122" s="329"/>
      <c r="O122" s="329"/>
      <c r="P122" s="388"/>
      <c r="Q122" s="388"/>
      <c r="R122" s="388"/>
      <c r="S122" s="388">
        <v>0</v>
      </c>
      <c r="T122" s="329">
        <v>1</v>
      </c>
      <c r="U122" s="388"/>
      <c r="V122" s="388"/>
      <c r="W122" s="388"/>
      <c r="X122" s="388"/>
      <c r="Y122" s="388"/>
      <c r="Z122" s="388"/>
      <c r="AA122" s="388"/>
      <c r="AB122" s="388"/>
      <c r="AC122" s="426">
        <f t="shared" si="308"/>
        <v>1</v>
      </c>
      <c r="AD122" s="328"/>
      <c r="AE122" s="386">
        <f t="shared" si="421"/>
        <v>0</v>
      </c>
      <c r="AF122" s="386">
        <f t="shared" si="422"/>
        <v>0</v>
      </c>
      <c r="AG122" s="386">
        <f t="shared" si="423"/>
        <v>0</v>
      </c>
      <c r="AH122" s="386">
        <f t="shared" si="424"/>
        <v>0</v>
      </c>
      <c r="AI122" s="386">
        <f t="shared" si="425"/>
        <v>0</v>
      </c>
      <c r="AJ122" s="386">
        <f t="shared" si="426"/>
        <v>0</v>
      </c>
      <c r="AK122" s="386">
        <f t="shared" si="427"/>
        <v>0</v>
      </c>
      <c r="AL122" s="386">
        <f t="shared" si="428"/>
        <v>0</v>
      </c>
      <c r="AM122" s="386">
        <f t="shared" si="429"/>
        <v>0</v>
      </c>
      <c r="AN122" s="386">
        <f t="shared" si="430"/>
        <v>0</v>
      </c>
      <c r="AO122" s="393">
        <f t="shared" si="431"/>
        <v>0</v>
      </c>
      <c r="AP122" s="330">
        <f t="shared" si="432"/>
        <v>0</v>
      </c>
      <c r="AQ122" s="330">
        <f t="shared" si="433"/>
        <v>0</v>
      </c>
      <c r="AR122" s="330">
        <f t="shared" si="434"/>
        <v>0</v>
      </c>
      <c r="AS122" s="330">
        <f t="shared" si="435"/>
        <v>0</v>
      </c>
      <c r="AT122" s="330">
        <f t="shared" si="436"/>
        <v>0</v>
      </c>
      <c r="AU122" s="330">
        <f t="shared" si="437"/>
        <v>0</v>
      </c>
      <c r="AV122" s="330">
        <f t="shared" si="438"/>
        <v>0</v>
      </c>
      <c r="AW122" s="330">
        <f t="shared" si="439"/>
        <v>0</v>
      </c>
      <c r="AX122" s="330">
        <f t="shared" si="440"/>
        <v>0</v>
      </c>
      <c r="AY122" s="330">
        <f t="shared" si="441"/>
        <v>0</v>
      </c>
      <c r="AZ122" s="330">
        <f t="shared" si="442"/>
        <v>0</v>
      </c>
      <c r="BA122" s="330"/>
      <c r="BB122" s="330">
        <f t="shared" si="451"/>
        <v>0</v>
      </c>
      <c r="BC122" s="330">
        <f t="shared" si="451"/>
        <v>0</v>
      </c>
      <c r="BD122" s="330">
        <f t="shared" si="451"/>
        <v>0</v>
      </c>
      <c r="BE122" s="330">
        <f t="shared" si="451"/>
        <v>0</v>
      </c>
      <c r="BF122" s="386">
        <f t="shared" si="451"/>
        <v>0</v>
      </c>
      <c r="BG122" s="330">
        <f t="shared" si="451"/>
        <v>0</v>
      </c>
      <c r="BH122" s="330">
        <f t="shared" si="451"/>
        <v>0</v>
      </c>
      <c r="BI122" s="330">
        <f t="shared" si="451"/>
        <v>0</v>
      </c>
      <c r="BJ122" s="330">
        <f t="shared" si="451"/>
        <v>0</v>
      </c>
      <c r="BK122" s="330">
        <f t="shared" si="451"/>
        <v>0</v>
      </c>
      <c r="BL122" s="330">
        <f t="shared" si="452"/>
        <v>0</v>
      </c>
      <c r="BM122" s="330">
        <f t="shared" si="452"/>
        <v>0</v>
      </c>
      <c r="BN122" s="330">
        <f t="shared" si="452"/>
        <v>0</v>
      </c>
      <c r="BO122" s="330">
        <f t="shared" si="452"/>
        <v>0</v>
      </c>
      <c r="BP122" s="330">
        <f t="shared" si="452"/>
        <v>0</v>
      </c>
      <c r="BQ122" s="330">
        <f t="shared" si="452"/>
        <v>0</v>
      </c>
      <c r="BR122" s="330">
        <f t="shared" si="452"/>
        <v>0</v>
      </c>
      <c r="BS122" s="330">
        <f t="shared" si="452"/>
        <v>0</v>
      </c>
      <c r="BT122" s="330">
        <f t="shared" si="452"/>
        <v>0</v>
      </c>
      <c r="BU122" s="330">
        <f t="shared" si="452"/>
        <v>0</v>
      </c>
      <c r="BV122" s="330">
        <f t="shared" si="452"/>
        <v>0</v>
      </c>
      <c r="BW122" s="330">
        <f t="shared" si="452"/>
        <v>0</v>
      </c>
      <c r="BX122" s="351">
        <f t="shared" si="444"/>
        <v>0</v>
      </c>
      <c r="BY122" s="378">
        <f t="shared" si="445"/>
        <v>0</v>
      </c>
      <c r="BZ122" s="378">
        <f t="shared" si="446"/>
        <v>0</v>
      </c>
    </row>
    <row r="123" spans="1:78" s="234" customFormat="1" ht="15" customHeight="1">
      <c r="A123" s="234" t="s">
        <v>132</v>
      </c>
      <c r="C123" s="331"/>
      <c r="D123" s="328"/>
      <c r="E123" s="386">
        <v>24797.88</v>
      </c>
      <c r="F123" s="328" t="s">
        <v>229</v>
      </c>
      <c r="G123" s="388"/>
      <c r="H123" s="388"/>
      <c r="I123" s="388"/>
      <c r="J123" s="329">
        <v>0</v>
      </c>
      <c r="K123" s="329">
        <v>0</v>
      </c>
      <c r="L123" s="329">
        <v>0</v>
      </c>
      <c r="M123" s="329">
        <v>0</v>
      </c>
      <c r="N123" s="329">
        <v>0</v>
      </c>
      <c r="O123" s="329">
        <v>0</v>
      </c>
      <c r="P123" s="329">
        <v>1</v>
      </c>
      <c r="Q123" s="388">
        <v>0</v>
      </c>
      <c r="R123" s="329">
        <v>0</v>
      </c>
      <c r="S123" s="329">
        <v>0</v>
      </c>
      <c r="T123" s="329">
        <v>0</v>
      </c>
      <c r="U123" s="329">
        <v>0</v>
      </c>
      <c r="V123" s="329">
        <v>0</v>
      </c>
      <c r="W123" s="329"/>
      <c r="X123" s="329"/>
      <c r="Y123" s="329"/>
      <c r="Z123" s="329"/>
      <c r="AA123" s="329"/>
      <c r="AB123" s="329"/>
      <c r="AC123" s="426">
        <f t="shared" si="308"/>
        <v>1</v>
      </c>
      <c r="AD123" s="328"/>
      <c r="AE123" s="386">
        <f t="shared" si="421"/>
        <v>0</v>
      </c>
      <c r="AF123" s="386">
        <f t="shared" si="422"/>
        <v>0</v>
      </c>
      <c r="AG123" s="386">
        <f t="shared" si="423"/>
        <v>0</v>
      </c>
      <c r="AH123" s="386">
        <f t="shared" si="424"/>
        <v>0</v>
      </c>
      <c r="AI123" s="386">
        <f t="shared" si="425"/>
        <v>0</v>
      </c>
      <c r="AJ123" s="386">
        <f t="shared" si="426"/>
        <v>0</v>
      </c>
      <c r="AK123" s="386">
        <f t="shared" si="427"/>
        <v>0</v>
      </c>
      <c r="AL123" s="386">
        <f t="shared" si="428"/>
        <v>0</v>
      </c>
      <c r="AM123" s="386">
        <f t="shared" si="429"/>
        <v>0</v>
      </c>
      <c r="AN123" s="386">
        <f t="shared" si="430"/>
        <v>24797.88</v>
      </c>
      <c r="AO123" s="393">
        <f t="shared" si="431"/>
        <v>0</v>
      </c>
      <c r="AP123" s="330">
        <f t="shared" si="432"/>
        <v>0</v>
      </c>
      <c r="AQ123" s="330">
        <f t="shared" si="433"/>
        <v>0</v>
      </c>
      <c r="AR123" s="330">
        <f t="shared" si="434"/>
        <v>0</v>
      </c>
      <c r="AS123" s="330">
        <f t="shared" si="435"/>
        <v>0</v>
      </c>
      <c r="AT123" s="330">
        <f t="shared" si="436"/>
        <v>0</v>
      </c>
      <c r="AU123" s="330">
        <f t="shared" si="437"/>
        <v>0</v>
      </c>
      <c r="AV123" s="330">
        <f t="shared" si="438"/>
        <v>0</v>
      </c>
      <c r="AW123" s="330">
        <f t="shared" si="439"/>
        <v>0</v>
      </c>
      <c r="AX123" s="330">
        <f t="shared" si="440"/>
        <v>0</v>
      </c>
      <c r="AY123" s="330">
        <f t="shared" si="441"/>
        <v>0</v>
      </c>
      <c r="AZ123" s="330">
        <f t="shared" si="442"/>
        <v>0</v>
      </c>
      <c r="BA123" s="330"/>
      <c r="BB123" s="330">
        <f t="shared" si="451"/>
        <v>0</v>
      </c>
      <c r="BC123" s="330">
        <f t="shared" si="451"/>
        <v>0</v>
      </c>
      <c r="BD123" s="330">
        <f t="shared" si="451"/>
        <v>0</v>
      </c>
      <c r="BE123" s="330">
        <f t="shared" si="451"/>
        <v>0</v>
      </c>
      <c r="BF123" s="330">
        <f t="shared" si="451"/>
        <v>0</v>
      </c>
      <c r="BG123" s="330">
        <f t="shared" si="451"/>
        <v>0</v>
      </c>
      <c r="BH123" s="330">
        <f t="shared" si="451"/>
        <v>0</v>
      </c>
      <c r="BI123" s="330">
        <f t="shared" si="451"/>
        <v>0</v>
      </c>
      <c r="BJ123" s="330">
        <f t="shared" si="451"/>
        <v>0</v>
      </c>
      <c r="BK123" s="330">
        <f t="shared" si="451"/>
        <v>24797.88</v>
      </c>
      <c r="BL123" s="330">
        <f t="shared" si="452"/>
        <v>0</v>
      </c>
      <c r="BM123" s="330">
        <f t="shared" si="452"/>
        <v>0</v>
      </c>
      <c r="BN123" s="330">
        <f t="shared" si="452"/>
        <v>0</v>
      </c>
      <c r="BO123" s="330">
        <f t="shared" si="452"/>
        <v>0</v>
      </c>
      <c r="BP123" s="330">
        <f t="shared" si="452"/>
        <v>0</v>
      </c>
      <c r="BQ123" s="330">
        <f t="shared" si="452"/>
        <v>0</v>
      </c>
      <c r="BR123" s="330">
        <f t="shared" si="452"/>
        <v>0</v>
      </c>
      <c r="BS123" s="330">
        <f t="shared" si="452"/>
        <v>0</v>
      </c>
      <c r="BT123" s="330">
        <f t="shared" si="452"/>
        <v>0</v>
      </c>
      <c r="BU123" s="330">
        <f t="shared" si="452"/>
        <v>0</v>
      </c>
      <c r="BV123" s="330">
        <f t="shared" si="452"/>
        <v>0</v>
      </c>
      <c r="BW123" s="330">
        <f t="shared" si="452"/>
        <v>0</v>
      </c>
      <c r="BX123" s="351">
        <f t="shared" si="444"/>
        <v>0</v>
      </c>
      <c r="BY123" s="378">
        <f t="shared" si="445"/>
        <v>0</v>
      </c>
      <c r="BZ123" s="378">
        <f t="shared" si="446"/>
        <v>0</v>
      </c>
    </row>
    <row r="124" spans="1:78" s="234" customFormat="1" ht="15" customHeight="1">
      <c r="A124" s="234" t="s">
        <v>132</v>
      </c>
      <c r="C124" s="331"/>
      <c r="D124" s="328"/>
      <c r="E124" s="386">
        <v>9884.25</v>
      </c>
      <c r="F124" s="328" t="s">
        <v>221</v>
      </c>
      <c r="G124" s="388"/>
      <c r="H124" s="388"/>
      <c r="I124" s="388"/>
      <c r="J124" s="329">
        <v>0</v>
      </c>
      <c r="K124" s="329">
        <v>0</v>
      </c>
      <c r="L124" s="329">
        <v>0</v>
      </c>
      <c r="M124" s="329">
        <v>0</v>
      </c>
      <c r="N124" s="329">
        <v>0</v>
      </c>
      <c r="O124" s="329">
        <v>0</v>
      </c>
      <c r="P124" s="329">
        <v>0</v>
      </c>
      <c r="Q124" s="329">
        <v>0</v>
      </c>
      <c r="R124" s="329">
        <v>1</v>
      </c>
      <c r="S124" s="329">
        <v>0</v>
      </c>
      <c r="T124" s="329">
        <v>0</v>
      </c>
      <c r="U124" s="329">
        <v>0</v>
      </c>
      <c r="V124" s="329">
        <v>0</v>
      </c>
      <c r="W124" s="329"/>
      <c r="X124" s="329"/>
      <c r="Y124" s="329"/>
      <c r="Z124" s="329"/>
      <c r="AA124" s="329"/>
      <c r="AB124" s="329"/>
      <c r="AC124" s="426">
        <f t="shared" si="308"/>
        <v>1</v>
      </c>
      <c r="AD124" s="328"/>
      <c r="AE124" s="386">
        <f t="shared" si="421"/>
        <v>0</v>
      </c>
      <c r="AF124" s="386">
        <f t="shared" si="422"/>
        <v>0</v>
      </c>
      <c r="AG124" s="386">
        <f t="shared" si="423"/>
        <v>0</v>
      </c>
      <c r="AH124" s="386">
        <f t="shared" si="424"/>
        <v>0</v>
      </c>
      <c r="AI124" s="386">
        <f t="shared" si="425"/>
        <v>0</v>
      </c>
      <c r="AJ124" s="386">
        <f t="shared" si="426"/>
        <v>0</v>
      </c>
      <c r="AK124" s="386">
        <f t="shared" si="427"/>
        <v>0</v>
      </c>
      <c r="AL124" s="386">
        <f t="shared" si="428"/>
        <v>0</v>
      </c>
      <c r="AM124" s="386">
        <f t="shared" si="429"/>
        <v>0</v>
      </c>
      <c r="AN124" s="386">
        <f t="shared" si="430"/>
        <v>0</v>
      </c>
      <c r="AO124" s="393">
        <f t="shared" si="431"/>
        <v>0</v>
      </c>
      <c r="AP124" s="330">
        <f t="shared" si="432"/>
        <v>9884.25</v>
      </c>
      <c r="AQ124" s="330">
        <f t="shared" si="433"/>
        <v>0</v>
      </c>
      <c r="AR124" s="330">
        <f t="shared" si="434"/>
        <v>0</v>
      </c>
      <c r="AS124" s="330">
        <f t="shared" si="435"/>
        <v>0</v>
      </c>
      <c r="AT124" s="330">
        <f t="shared" si="436"/>
        <v>0</v>
      </c>
      <c r="AU124" s="330">
        <f t="shared" si="437"/>
        <v>0</v>
      </c>
      <c r="AV124" s="330">
        <f t="shared" si="438"/>
        <v>0</v>
      </c>
      <c r="AW124" s="330">
        <f t="shared" si="439"/>
        <v>0</v>
      </c>
      <c r="AX124" s="330">
        <f t="shared" si="440"/>
        <v>0</v>
      </c>
      <c r="AY124" s="330">
        <f t="shared" si="441"/>
        <v>0</v>
      </c>
      <c r="AZ124" s="330">
        <f t="shared" si="442"/>
        <v>0</v>
      </c>
      <c r="BA124" s="330"/>
      <c r="BB124" s="330">
        <f t="shared" si="451"/>
        <v>0</v>
      </c>
      <c r="BC124" s="330">
        <f t="shared" si="451"/>
        <v>0</v>
      </c>
      <c r="BD124" s="330">
        <f t="shared" si="451"/>
        <v>0</v>
      </c>
      <c r="BE124" s="330">
        <f t="shared" si="451"/>
        <v>0</v>
      </c>
      <c r="BF124" s="330">
        <f t="shared" si="451"/>
        <v>0</v>
      </c>
      <c r="BG124" s="330">
        <f t="shared" si="451"/>
        <v>0</v>
      </c>
      <c r="BH124" s="330">
        <f t="shared" si="451"/>
        <v>0</v>
      </c>
      <c r="BI124" s="330">
        <f t="shared" si="451"/>
        <v>0</v>
      </c>
      <c r="BJ124" s="330">
        <f t="shared" si="451"/>
        <v>0</v>
      </c>
      <c r="BK124" s="330">
        <f t="shared" si="451"/>
        <v>0</v>
      </c>
      <c r="BL124" s="330">
        <f t="shared" si="452"/>
        <v>0</v>
      </c>
      <c r="BM124" s="330">
        <f t="shared" si="452"/>
        <v>9884.25</v>
      </c>
      <c r="BN124" s="330">
        <f t="shared" si="452"/>
        <v>0</v>
      </c>
      <c r="BO124" s="330">
        <f t="shared" si="452"/>
        <v>0</v>
      </c>
      <c r="BP124" s="330">
        <f t="shared" si="452"/>
        <v>0</v>
      </c>
      <c r="BQ124" s="330">
        <f t="shared" si="452"/>
        <v>0</v>
      </c>
      <c r="BR124" s="330">
        <f t="shared" si="452"/>
        <v>0</v>
      </c>
      <c r="BS124" s="330">
        <f t="shared" si="452"/>
        <v>0</v>
      </c>
      <c r="BT124" s="330">
        <f t="shared" si="452"/>
        <v>0</v>
      </c>
      <c r="BU124" s="330">
        <f t="shared" si="452"/>
        <v>0</v>
      </c>
      <c r="BV124" s="330">
        <f t="shared" si="452"/>
        <v>0</v>
      </c>
      <c r="BW124" s="330">
        <f t="shared" si="452"/>
        <v>0</v>
      </c>
      <c r="BX124" s="351">
        <f t="shared" si="444"/>
        <v>0</v>
      </c>
      <c r="BY124" s="378">
        <f t="shared" si="445"/>
        <v>0</v>
      </c>
      <c r="BZ124" s="378">
        <f t="shared" si="446"/>
        <v>0</v>
      </c>
    </row>
    <row r="125" spans="1:78" s="234" customFormat="1" ht="15" customHeight="1">
      <c r="A125" s="234" t="s">
        <v>130</v>
      </c>
      <c r="C125" s="331"/>
      <c r="D125" s="328"/>
      <c r="E125" s="386">
        <v>0</v>
      </c>
      <c r="F125" s="328" t="s">
        <v>245</v>
      </c>
      <c r="G125" s="329"/>
      <c r="H125" s="329"/>
      <c r="I125" s="329"/>
      <c r="J125" s="329">
        <v>0</v>
      </c>
      <c r="K125" s="329">
        <v>0</v>
      </c>
      <c r="L125" s="329">
        <v>0</v>
      </c>
      <c r="M125" s="329">
        <v>0</v>
      </c>
      <c r="N125" s="329">
        <v>0</v>
      </c>
      <c r="O125" s="329">
        <v>0</v>
      </c>
      <c r="P125" s="329">
        <v>0</v>
      </c>
      <c r="Q125" s="329">
        <v>0</v>
      </c>
      <c r="R125" s="329">
        <v>0</v>
      </c>
      <c r="S125" s="389">
        <v>0</v>
      </c>
      <c r="T125" s="389">
        <v>0</v>
      </c>
      <c r="U125" s="389">
        <v>0</v>
      </c>
      <c r="V125" s="389">
        <v>0</v>
      </c>
      <c r="W125" s="389">
        <v>0</v>
      </c>
      <c r="X125" s="389">
        <v>1</v>
      </c>
      <c r="Y125" s="388"/>
      <c r="Z125" s="388"/>
      <c r="AA125" s="388"/>
      <c r="AB125" s="388"/>
      <c r="AC125" s="426">
        <f t="shared" si="308"/>
        <v>1</v>
      </c>
      <c r="AD125" s="328"/>
      <c r="AE125" s="386">
        <f t="shared" si="421"/>
        <v>0</v>
      </c>
      <c r="AF125" s="386">
        <f t="shared" si="422"/>
        <v>0</v>
      </c>
      <c r="AG125" s="386">
        <f t="shared" si="423"/>
        <v>0</v>
      </c>
      <c r="AH125" s="386">
        <f t="shared" si="424"/>
        <v>0</v>
      </c>
      <c r="AI125" s="386">
        <f t="shared" si="425"/>
        <v>0</v>
      </c>
      <c r="AJ125" s="386">
        <f t="shared" si="426"/>
        <v>0</v>
      </c>
      <c r="AK125" s="386">
        <f t="shared" si="427"/>
        <v>0</v>
      </c>
      <c r="AL125" s="386">
        <f t="shared" si="428"/>
        <v>0</v>
      </c>
      <c r="AM125" s="386">
        <f t="shared" si="429"/>
        <v>0</v>
      </c>
      <c r="AN125" s="386">
        <f t="shared" si="430"/>
        <v>0</v>
      </c>
      <c r="AO125" s="393">
        <f t="shared" si="431"/>
        <v>0</v>
      </c>
      <c r="AP125" s="330">
        <f t="shared" si="432"/>
        <v>0</v>
      </c>
      <c r="AQ125" s="330">
        <f t="shared" si="433"/>
        <v>0</v>
      </c>
      <c r="AR125" s="330">
        <f t="shared" si="434"/>
        <v>0</v>
      </c>
      <c r="AS125" s="330">
        <f t="shared" si="435"/>
        <v>0</v>
      </c>
      <c r="AT125" s="330">
        <f t="shared" si="436"/>
        <v>0</v>
      </c>
      <c r="AU125" s="330">
        <f t="shared" si="437"/>
        <v>0</v>
      </c>
      <c r="AV125" s="330">
        <f t="shared" si="438"/>
        <v>0</v>
      </c>
      <c r="AW125" s="330">
        <f t="shared" si="439"/>
        <v>0</v>
      </c>
      <c r="AX125" s="330">
        <f t="shared" si="440"/>
        <v>0</v>
      </c>
      <c r="AY125" s="330">
        <f t="shared" si="441"/>
        <v>0</v>
      </c>
      <c r="AZ125" s="330">
        <f t="shared" si="442"/>
        <v>0</v>
      </c>
      <c r="BA125" s="330"/>
      <c r="BB125" s="330">
        <f t="shared" si="451"/>
        <v>0</v>
      </c>
      <c r="BC125" s="330">
        <f t="shared" si="451"/>
        <v>0</v>
      </c>
      <c r="BD125" s="330">
        <f t="shared" si="451"/>
        <v>0</v>
      </c>
      <c r="BE125" s="330">
        <f t="shared" si="451"/>
        <v>0</v>
      </c>
      <c r="BF125" s="330">
        <f t="shared" si="451"/>
        <v>0</v>
      </c>
      <c r="BG125" s="330">
        <f t="shared" si="451"/>
        <v>0</v>
      </c>
      <c r="BH125" s="330">
        <f t="shared" si="451"/>
        <v>0</v>
      </c>
      <c r="BI125" s="330">
        <f t="shared" si="451"/>
        <v>0</v>
      </c>
      <c r="BJ125" s="330">
        <f t="shared" si="451"/>
        <v>0</v>
      </c>
      <c r="BK125" s="330">
        <f t="shared" si="451"/>
        <v>0</v>
      </c>
      <c r="BL125" s="330">
        <f t="shared" si="452"/>
        <v>0</v>
      </c>
      <c r="BM125" s="330">
        <f t="shared" si="452"/>
        <v>0</v>
      </c>
      <c r="BN125" s="330">
        <f t="shared" si="452"/>
        <v>0</v>
      </c>
      <c r="BO125" s="330">
        <f t="shared" si="452"/>
        <v>0</v>
      </c>
      <c r="BP125" s="330">
        <f t="shared" si="452"/>
        <v>0</v>
      </c>
      <c r="BQ125" s="330">
        <f t="shared" si="452"/>
        <v>0</v>
      </c>
      <c r="BR125" s="330">
        <f t="shared" si="452"/>
        <v>0</v>
      </c>
      <c r="BS125" s="330">
        <f t="shared" si="452"/>
        <v>0</v>
      </c>
      <c r="BT125" s="330">
        <f t="shared" si="452"/>
        <v>0</v>
      </c>
      <c r="BU125" s="330">
        <f t="shared" si="452"/>
        <v>0</v>
      </c>
      <c r="BV125" s="330">
        <f t="shared" si="452"/>
        <v>0</v>
      </c>
      <c r="BW125" s="330">
        <f t="shared" si="452"/>
        <v>0</v>
      </c>
      <c r="BX125" s="351">
        <f t="shared" si="444"/>
        <v>0</v>
      </c>
      <c r="BY125" s="378">
        <f t="shared" si="445"/>
        <v>0</v>
      </c>
      <c r="BZ125" s="378">
        <f t="shared" si="446"/>
        <v>0</v>
      </c>
    </row>
    <row r="126" spans="1:78" s="234" customFormat="1" ht="15" customHeight="1">
      <c r="A126" s="234" t="s">
        <v>131</v>
      </c>
      <c r="C126" s="331"/>
      <c r="D126" s="328"/>
      <c r="E126" s="386">
        <v>0</v>
      </c>
      <c r="F126" s="328" t="s">
        <v>240</v>
      </c>
      <c r="G126" s="388"/>
      <c r="H126" s="388"/>
      <c r="I126" s="388"/>
      <c r="J126" s="388"/>
      <c r="K126" s="329"/>
      <c r="L126" s="329">
        <v>0</v>
      </c>
      <c r="M126" s="329">
        <v>0</v>
      </c>
      <c r="N126" s="329">
        <v>0</v>
      </c>
      <c r="O126" s="329">
        <v>0</v>
      </c>
      <c r="P126" s="329">
        <v>0</v>
      </c>
      <c r="Q126" s="329">
        <v>0</v>
      </c>
      <c r="R126" s="329">
        <v>0</v>
      </c>
      <c r="S126" s="329">
        <v>0</v>
      </c>
      <c r="T126" s="389">
        <v>0</v>
      </c>
      <c r="U126" s="389">
        <v>0</v>
      </c>
      <c r="V126" s="389">
        <v>0</v>
      </c>
      <c r="W126" s="389">
        <v>0</v>
      </c>
      <c r="X126" s="389">
        <v>0</v>
      </c>
      <c r="Y126" s="388"/>
      <c r="Z126" s="388"/>
      <c r="AA126" s="388"/>
      <c r="AB126" s="388"/>
      <c r="AC126" s="426">
        <f t="shared" si="308"/>
        <v>0</v>
      </c>
      <c r="AD126" s="328"/>
      <c r="AE126" s="386">
        <f t="shared" si="421"/>
        <v>0</v>
      </c>
      <c r="AF126" s="386">
        <f t="shared" si="422"/>
        <v>0</v>
      </c>
      <c r="AG126" s="386">
        <f t="shared" si="423"/>
        <v>0</v>
      </c>
      <c r="AH126" s="386">
        <f t="shared" si="424"/>
        <v>0</v>
      </c>
      <c r="AI126" s="386">
        <f t="shared" si="425"/>
        <v>0</v>
      </c>
      <c r="AJ126" s="386">
        <f t="shared" si="426"/>
        <v>0</v>
      </c>
      <c r="AK126" s="386">
        <f t="shared" si="427"/>
        <v>0</v>
      </c>
      <c r="AL126" s="386">
        <f t="shared" si="428"/>
        <v>0</v>
      </c>
      <c r="AM126" s="386">
        <f t="shared" si="429"/>
        <v>0</v>
      </c>
      <c r="AN126" s="386">
        <f t="shared" si="430"/>
        <v>0</v>
      </c>
      <c r="AO126" s="393">
        <f t="shared" si="431"/>
        <v>0</v>
      </c>
      <c r="AP126" s="330">
        <f t="shared" si="432"/>
        <v>0</v>
      </c>
      <c r="AQ126" s="330">
        <f t="shared" si="433"/>
        <v>0</v>
      </c>
      <c r="AR126" s="330">
        <f t="shared" si="434"/>
        <v>0</v>
      </c>
      <c r="AS126" s="330">
        <f t="shared" si="435"/>
        <v>0</v>
      </c>
      <c r="AT126" s="330">
        <f t="shared" si="436"/>
        <v>0</v>
      </c>
      <c r="AU126" s="330">
        <f t="shared" si="437"/>
        <v>0</v>
      </c>
      <c r="AV126" s="330">
        <f t="shared" si="438"/>
        <v>0</v>
      </c>
      <c r="AW126" s="330">
        <f t="shared" si="439"/>
        <v>0</v>
      </c>
      <c r="AX126" s="330">
        <f t="shared" si="440"/>
        <v>0</v>
      </c>
      <c r="AY126" s="330">
        <f t="shared" si="441"/>
        <v>0</v>
      </c>
      <c r="AZ126" s="330">
        <f t="shared" si="442"/>
        <v>0</v>
      </c>
      <c r="BA126" s="330"/>
      <c r="BB126" s="330">
        <f t="shared" ref="BB126:BW126" si="453">IF(BB$3=$F126,$E126,0)</f>
        <v>0</v>
      </c>
      <c r="BC126" s="330">
        <f t="shared" si="453"/>
        <v>0</v>
      </c>
      <c r="BD126" s="330">
        <f t="shared" si="453"/>
        <v>0</v>
      </c>
      <c r="BE126" s="330">
        <f t="shared" si="453"/>
        <v>0</v>
      </c>
      <c r="BF126" s="330">
        <f t="shared" si="453"/>
        <v>0</v>
      </c>
      <c r="BG126" s="330">
        <f t="shared" si="453"/>
        <v>0</v>
      </c>
      <c r="BH126" s="330">
        <f t="shared" si="453"/>
        <v>0</v>
      </c>
      <c r="BI126" s="330">
        <f t="shared" si="453"/>
        <v>0</v>
      </c>
      <c r="BJ126" s="330">
        <f t="shared" si="453"/>
        <v>0</v>
      </c>
      <c r="BK126" s="330">
        <f t="shared" si="453"/>
        <v>0</v>
      </c>
      <c r="BL126" s="330">
        <f t="shared" si="453"/>
        <v>0</v>
      </c>
      <c r="BM126" s="330">
        <f t="shared" si="453"/>
        <v>0</v>
      </c>
      <c r="BN126" s="330">
        <f t="shared" si="453"/>
        <v>0</v>
      </c>
      <c r="BO126" s="330">
        <f t="shared" si="453"/>
        <v>0</v>
      </c>
      <c r="BP126" s="330">
        <f t="shared" si="453"/>
        <v>0</v>
      </c>
      <c r="BQ126" s="330">
        <f t="shared" si="453"/>
        <v>0</v>
      </c>
      <c r="BR126" s="330">
        <f t="shared" si="453"/>
        <v>0</v>
      </c>
      <c r="BS126" s="330">
        <f t="shared" si="453"/>
        <v>0</v>
      </c>
      <c r="BT126" s="330">
        <f t="shared" si="453"/>
        <v>0</v>
      </c>
      <c r="BU126" s="330">
        <f t="shared" si="453"/>
        <v>0</v>
      </c>
      <c r="BV126" s="330">
        <f t="shared" si="453"/>
        <v>0</v>
      </c>
      <c r="BW126" s="330">
        <f t="shared" si="453"/>
        <v>0</v>
      </c>
      <c r="BX126" s="351">
        <f t="shared" si="444"/>
        <v>0</v>
      </c>
      <c r="BY126" s="378">
        <f t="shared" si="445"/>
        <v>0</v>
      </c>
      <c r="BZ126" s="378">
        <f t="shared" si="446"/>
        <v>0</v>
      </c>
    </row>
    <row r="127" spans="1:78" s="234" customFormat="1" ht="14.45" customHeight="1">
      <c r="A127" s="234" t="s">
        <v>133</v>
      </c>
      <c r="B127" s="234" t="s">
        <v>285</v>
      </c>
      <c r="C127" s="392"/>
      <c r="D127" s="328"/>
      <c r="E127" s="386">
        <v>8000</v>
      </c>
      <c r="F127" s="328" t="s">
        <v>161</v>
      </c>
      <c r="G127" s="329"/>
      <c r="H127" s="329"/>
      <c r="I127" s="329"/>
      <c r="J127" s="329">
        <v>0.5</v>
      </c>
      <c r="K127" s="329">
        <v>0.5</v>
      </c>
      <c r="L127" s="388"/>
      <c r="M127" s="388"/>
      <c r="N127" s="388"/>
      <c r="O127" s="388"/>
      <c r="P127" s="388"/>
      <c r="Q127" s="388"/>
      <c r="R127" s="329"/>
      <c r="S127" s="329"/>
      <c r="T127" s="329"/>
      <c r="U127" s="329"/>
      <c r="V127" s="329"/>
      <c r="W127" s="329"/>
      <c r="X127" s="329"/>
      <c r="Y127" s="329"/>
      <c r="Z127" s="329"/>
      <c r="AA127" s="329"/>
      <c r="AB127" s="329"/>
      <c r="AC127" s="426">
        <f t="shared" si="308"/>
        <v>1</v>
      </c>
      <c r="AD127" s="328"/>
      <c r="AE127" s="330">
        <f t="shared" si="421"/>
        <v>0</v>
      </c>
      <c r="AF127" s="330">
        <f t="shared" si="422"/>
        <v>0</v>
      </c>
      <c r="AG127" s="330">
        <f t="shared" si="423"/>
        <v>0</v>
      </c>
      <c r="AH127" s="330">
        <f t="shared" si="424"/>
        <v>4000</v>
      </c>
      <c r="AI127" s="330">
        <f t="shared" si="425"/>
        <v>4000</v>
      </c>
      <c r="AJ127" s="386">
        <f t="shared" si="426"/>
        <v>0</v>
      </c>
      <c r="AK127" s="330">
        <f t="shared" si="427"/>
        <v>0</v>
      </c>
      <c r="AL127" s="386">
        <f t="shared" si="428"/>
        <v>0</v>
      </c>
      <c r="AM127" s="386">
        <f t="shared" si="429"/>
        <v>0</v>
      </c>
      <c r="AN127" s="330">
        <f t="shared" si="430"/>
        <v>0</v>
      </c>
      <c r="AO127" s="386">
        <f t="shared" si="431"/>
        <v>0</v>
      </c>
      <c r="AP127" s="330">
        <f t="shared" si="432"/>
        <v>0</v>
      </c>
      <c r="AQ127" s="330">
        <f t="shared" si="433"/>
        <v>0</v>
      </c>
      <c r="AR127" s="330">
        <f t="shared" si="434"/>
        <v>0</v>
      </c>
      <c r="AS127" s="330">
        <f t="shared" si="435"/>
        <v>0</v>
      </c>
      <c r="AT127" s="330">
        <f t="shared" si="436"/>
        <v>0</v>
      </c>
      <c r="AU127" s="330">
        <f t="shared" si="437"/>
        <v>0</v>
      </c>
      <c r="AV127" s="330">
        <f t="shared" si="438"/>
        <v>0</v>
      </c>
      <c r="AW127" s="330">
        <f t="shared" si="439"/>
        <v>0</v>
      </c>
      <c r="AX127" s="330">
        <f t="shared" si="440"/>
        <v>0</v>
      </c>
      <c r="AY127" s="330">
        <f t="shared" si="441"/>
        <v>0</v>
      </c>
      <c r="AZ127" s="330">
        <f t="shared" si="442"/>
        <v>0</v>
      </c>
      <c r="BA127" s="330"/>
      <c r="BB127" s="330">
        <f t="shared" ref="BB127:BK134" si="454">IF(BB$3=$F127,$E127,0)</f>
        <v>0</v>
      </c>
      <c r="BC127" s="330">
        <f t="shared" si="454"/>
        <v>0</v>
      </c>
      <c r="BD127" s="330">
        <f t="shared" si="454"/>
        <v>8000</v>
      </c>
      <c r="BE127" s="330">
        <f t="shared" si="454"/>
        <v>0</v>
      </c>
      <c r="BF127" s="330">
        <f t="shared" si="454"/>
        <v>0</v>
      </c>
      <c r="BG127" s="330">
        <f t="shared" si="454"/>
        <v>0</v>
      </c>
      <c r="BH127" s="330">
        <f t="shared" si="454"/>
        <v>0</v>
      </c>
      <c r="BI127" s="330">
        <f t="shared" si="454"/>
        <v>0</v>
      </c>
      <c r="BJ127" s="386">
        <f t="shared" si="454"/>
        <v>0</v>
      </c>
      <c r="BK127" s="330">
        <f t="shared" si="454"/>
        <v>0</v>
      </c>
      <c r="BL127" s="330">
        <f t="shared" ref="BL127:BW134" si="455">IF(BL$3=$F127,$E127,0)</f>
        <v>0</v>
      </c>
      <c r="BM127" s="330">
        <f t="shared" si="455"/>
        <v>0</v>
      </c>
      <c r="BN127" s="330">
        <f t="shared" si="455"/>
        <v>0</v>
      </c>
      <c r="BO127" s="330">
        <f t="shared" si="455"/>
        <v>0</v>
      </c>
      <c r="BP127" s="330">
        <f t="shared" si="455"/>
        <v>0</v>
      </c>
      <c r="BQ127" s="330">
        <f t="shared" si="455"/>
        <v>0</v>
      </c>
      <c r="BR127" s="330">
        <f t="shared" si="455"/>
        <v>0</v>
      </c>
      <c r="BS127" s="330">
        <f t="shared" si="455"/>
        <v>0</v>
      </c>
      <c r="BT127" s="330">
        <f t="shared" si="455"/>
        <v>0</v>
      </c>
      <c r="BU127" s="330">
        <f t="shared" si="455"/>
        <v>0</v>
      </c>
      <c r="BV127" s="330">
        <f t="shared" si="455"/>
        <v>0</v>
      </c>
      <c r="BW127" s="330">
        <f t="shared" si="455"/>
        <v>0</v>
      </c>
      <c r="BX127" s="351">
        <f t="shared" si="444"/>
        <v>0</v>
      </c>
      <c r="BY127" s="378">
        <f t="shared" si="445"/>
        <v>0</v>
      </c>
      <c r="BZ127" s="378">
        <f t="shared" si="446"/>
        <v>0</v>
      </c>
    </row>
    <row r="128" spans="1:78" s="234" customFormat="1" ht="14.45" customHeight="1">
      <c r="A128" s="234" t="s">
        <v>133</v>
      </c>
      <c r="B128" s="234" t="s">
        <v>286</v>
      </c>
      <c r="C128" s="392"/>
      <c r="D128" s="328"/>
      <c r="E128" s="386">
        <v>52000</v>
      </c>
      <c r="F128" s="328" t="s">
        <v>161</v>
      </c>
      <c r="G128" s="385"/>
      <c r="H128" s="385"/>
      <c r="I128" s="385"/>
      <c r="J128" s="385">
        <v>0.115384615384615</v>
      </c>
      <c r="K128" s="385">
        <v>0.115384615384615</v>
      </c>
      <c r="L128" s="385">
        <v>0.115384615384615</v>
      </c>
      <c r="M128" s="385">
        <v>0.115384615384615</v>
      </c>
      <c r="N128" s="385">
        <v>0.115384615384615</v>
      </c>
      <c r="O128" s="385">
        <v>0.115384615384615</v>
      </c>
      <c r="P128" s="385">
        <v>0.115384615384615</v>
      </c>
      <c r="Q128" s="385">
        <v>0.115384615384615</v>
      </c>
      <c r="R128" s="385">
        <f>1-(J128+K128+L128+M128+N128+O128+P128+Q128)</f>
        <v>7.6923076923080091E-2</v>
      </c>
      <c r="S128" s="385">
        <v>0</v>
      </c>
      <c r="T128" s="385">
        <v>0</v>
      </c>
      <c r="U128" s="385">
        <v>0</v>
      </c>
      <c r="V128" s="385"/>
      <c r="W128" s="385"/>
      <c r="X128" s="385"/>
      <c r="Y128" s="385"/>
      <c r="Z128" s="385"/>
      <c r="AA128" s="385"/>
      <c r="AB128" s="385"/>
      <c r="AC128" s="426">
        <f t="shared" si="308"/>
        <v>1</v>
      </c>
      <c r="AD128" s="328"/>
      <c r="AE128" s="330">
        <f t="shared" si="421"/>
        <v>0</v>
      </c>
      <c r="AF128" s="330">
        <f t="shared" si="422"/>
        <v>0</v>
      </c>
      <c r="AG128" s="330">
        <f t="shared" si="423"/>
        <v>0</v>
      </c>
      <c r="AH128" s="330">
        <f t="shared" si="424"/>
        <v>5999.99999999998</v>
      </c>
      <c r="AI128" s="330">
        <f t="shared" si="425"/>
        <v>5999.99999999998</v>
      </c>
      <c r="AJ128" s="386">
        <f t="shared" si="426"/>
        <v>5999.99999999998</v>
      </c>
      <c r="AK128" s="330">
        <f t="shared" si="427"/>
        <v>5999.99999999998</v>
      </c>
      <c r="AL128" s="386">
        <f t="shared" si="428"/>
        <v>5999.99999999998</v>
      </c>
      <c r="AM128" s="386">
        <f t="shared" si="429"/>
        <v>5999.99999999998</v>
      </c>
      <c r="AN128" s="330">
        <f t="shared" si="430"/>
        <v>5999.99999999998</v>
      </c>
      <c r="AO128" s="386">
        <f t="shared" si="431"/>
        <v>5999.99999999998</v>
      </c>
      <c r="AP128" s="330">
        <f t="shared" si="432"/>
        <v>4000.0000000001646</v>
      </c>
      <c r="AQ128" s="330">
        <f t="shared" si="433"/>
        <v>0</v>
      </c>
      <c r="AR128" s="330">
        <f t="shared" si="434"/>
        <v>0</v>
      </c>
      <c r="AS128" s="330">
        <f t="shared" si="435"/>
        <v>0</v>
      </c>
      <c r="AT128" s="330">
        <f t="shared" si="436"/>
        <v>0</v>
      </c>
      <c r="AU128" s="330">
        <f t="shared" si="437"/>
        <v>0</v>
      </c>
      <c r="AV128" s="330">
        <f t="shared" si="438"/>
        <v>0</v>
      </c>
      <c r="AW128" s="330">
        <f t="shared" si="439"/>
        <v>0</v>
      </c>
      <c r="AX128" s="330">
        <f t="shared" si="440"/>
        <v>0</v>
      </c>
      <c r="AY128" s="330">
        <f t="shared" si="441"/>
        <v>0</v>
      </c>
      <c r="AZ128" s="330">
        <f t="shared" si="442"/>
        <v>0</v>
      </c>
      <c r="BA128" s="330"/>
      <c r="BB128" s="330">
        <f t="shared" si="454"/>
        <v>0</v>
      </c>
      <c r="BC128" s="330">
        <f t="shared" si="454"/>
        <v>0</v>
      </c>
      <c r="BD128" s="330">
        <f t="shared" si="454"/>
        <v>52000</v>
      </c>
      <c r="BE128" s="330">
        <f t="shared" si="454"/>
        <v>0</v>
      </c>
      <c r="BF128" s="330">
        <f t="shared" si="454"/>
        <v>0</v>
      </c>
      <c r="BG128" s="330">
        <f t="shared" si="454"/>
        <v>0</v>
      </c>
      <c r="BH128" s="330">
        <f t="shared" si="454"/>
        <v>0</v>
      </c>
      <c r="BI128" s="330">
        <f t="shared" si="454"/>
        <v>0</v>
      </c>
      <c r="BJ128" s="386">
        <f t="shared" si="454"/>
        <v>0</v>
      </c>
      <c r="BK128" s="330">
        <f t="shared" si="454"/>
        <v>0</v>
      </c>
      <c r="BL128" s="330">
        <f t="shared" si="455"/>
        <v>0</v>
      </c>
      <c r="BM128" s="330">
        <f t="shared" si="455"/>
        <v>0</v>
      </c>
      <c r="BN128" s="330">
        <f t="shared" si="455"/>
        <v>0</v>
      </c>
      <c r="BO128" s="330">
        <f t="shared" si="455"/>
        <v>0</v>
      </c>
      <c r="BP128" s="330">
        <f t="shared" si="455"/>
        <v>0</v>
      </c>
      <c r="BQ128" s="330">
        <f t="shared" si="455"/>
        <v>0</v>
      </c>
      <c r="BR128" s="330">
        <f t="shared" si="455"/>
        <v>0</v>
      </c>
      <c r="BS128" s="330">
        <f t="shared" si="455"/>
        <v>0</v>
      </c>
      <c r="BT128" s="330">
        <f t="shared" si="455"/>
        <v>0</v>
      </c>
      <c r="BU128" s="330">
        <f t="shared" si="455"/>
        <v>0</v>
      </c>
      <c r="BV128" s="330">
        <f t="shared" si="455"/>
        <v>0</v>
      </c>
      <c r="BW128" s="330">
        <f t="shared" si="455"/>
        <v>0</v>
      </c>
      <c r="BX128" s="351">
        <f t="shared" si="444"/>
        <v>0</v>
      </c>
      <c r="BY128" s="378">
        <f t="shared" si="445"/>
        <v>0</v>
      </c>
      <c r="BZ128" s="378">
        <f t="shared" si="446"/>
        <v>0</v>
      </c>
    </row>
    <row r="129" spans="1:78" s="234" customFormat="1" ht="15" customHeight="1">
      <c r="A129" s="234" t="s">
        <v>133</v>
      </c>
      <c r="B129" s="234" t="s">
        <v>288</v>
      </c>
      <c r="C129" s="392"/>
      <c r="D129" s="328"/>
      <c r="E129" s="386">
        <v>8100</v>
      </c>
      <c r="F129" s="328" t="s">
        <v>193</v>
      </c>
      <c r="G129" s="329"/>
      <c r="H129" s="329"/>
      <c r="I129" s="329"/>
      <c r="J129" s="329">
        <v>0</v>
      </c>
      <c r="K129" s="329">
        <v>0.41666666667000002</v>
      </c>
      <c r="L129" s="329">
        <v>0.58333333332999993</v>
      </c>
      <c r="M129" s="388"/>
      <c r="N129" s="388"/>
      <c r="O129" s="388"/>
      <c r="P129" s="388"/>
      <c r="Q129" s="388"/>
      <c r="R129" s="329"/>
      <c r="S129" s="329"/>
      <c r="T129" s="329"/>
      <c r="U129" s="329"/>
      <c r="V129" s="329"/>
      <c r="W129" s="329"/>
      <c r="X129" s="329"/>
      <c r="Y129" s="329"/>
      <c r="Z129" s="329"/>
      <c r="AA129" s="329"/>
      <c r="AB129" s="329"/>
      <c r="AC129" s="426">
        <f t="shared" si="308"/>
        <v>1</v>
      </c>
      <c r="AD129" s="328"/>
      <c r="AE129" s="330">
        <f t="shared" si="421"/>
        <v>0</v>
      </c>
      <c r="AF129" s="330">
        <f t="shared" si="422"/>
        <v>0</v>
      </c>
      <c r="AG129" s="330">
        <f t="shared" si="423"/>
        <v>0</v>
      </c>
      <c r="AH129" s="330">
        <f t="shared" si="424"/>
        <v>0</v>
      </c>
      <c r="AI129" s="330">
        <f t="shared" si="425"/>
        <v>3375.0000000270002</v>
      </c>
      <c r="AJ129" s="330">
        <f t="shared" si="426"/>
        <v>4724.9999999729998</v>
      </c>
      <c r="AK129" s="330">
        <f t="shared" si="427"/>
        <v>0</v>
      </c>
      <c r="AL129" s="386">
        <f t="shared" si="428"/>
        <v>0</v>
      </c>
      <c r="AM129" s="386">
        <f t="shared" si="429"/>
        <v>0</v>
      </c>
      <c r="AN129" s="330">
        <f t="shared" si="430"/>
        <v>0</v>
      </c>
      <c r="AO129" s="386">
        <f t="shared" si="431"/>
        <v>0</v>
      </c>
      <c r="AP129" s="330">
        <f t="shared" si="432"/>
        <v>0</v>
      </c>
      <c r="AQ129" s="330">
        <f t="shared" si="433"/>
        <v>0</v>
      </c>
      <c r="AR129" s="330">
        <f t="shared" si="434"/>
        <v>0</v>
      </c>
      <c r="AS129" s="330">
        <f t="shared" si="435"/>
        <v>0</v>
      </c>
      <c r="AT129" s="330">
        <f t="shared" si="436"/>
        <v>0</v>
      </c>
      <c r="AU129" s="330">
        <f t="shared" si="437"/>
        <v>0</v>
      </c>
      <c r="AV129" s="330">
        <f t="shared" si="438"/>
        <v>0</v>
      </c>
      <c r="AW129" s="330">
        <f t="shared" si="439"/>
        <v>0</v>
      </c>
      <c r="AX129" s="330">
        <f t="shared" si="440"/>
        <v>0</v>
      </c>
      <c r="AY129" s="330">
        <f t="shared" si="441"/>
        <v>0</v>
      </c>
      <c r="AZ129" s="330">
        <f t="shared" si="442"/>
        <v>0</v>
      </c>
      <c r="BA129" s="330"/>
      <c r="BB129" s="330">
        <f t="shared" si="454"/>
        <v>0</v>
      </c>
      <c r="BC129" s="330">
        <f t="shared" si="454"/>
        <v>0</v>
      </c>
      <c r="BD129" s="330">
        <f t="shared" si="454"/>
        <v>0</v>
      </c>
      <c r="BE129" s="330">
        <f t="shared" si="454"/>
        <v>8100</v>
      </c>
      <c r="BF129" s="330">
        <f t="shared" si="454"/>
        <v>0</v>
      </c>
      <c r="BG129" s="330">
        <f t="shared" si="454"/>
        <v>0</v>
      </c>
      <c r="BH129" s="330">
        <f t="shared" si="454"/>
        <v>0</v>
      </c>
      <c r="BI129" s="330">
        <f t="shared" si="454"/>
        <v>0</v>
      </c>
      <c r="BJ129" s="386">
        <f t="shared" si="454"/>
        <v>0</v>
      </c>
      <c r="BK129" s="330">
        <f t="shared" si="454"/>
        <v>0</v>
      </c>
      <c r="BL129" s="330">
        <f t="shared" si="455"/>
        <v>0</v>
      </c>
      <c r="BM129" s="330">
        <f t="shared" si="455"/>
        <v>0</v>
      </c>
      <c r="BN129" s="330">
        <f t="shared" si="455"/>
        <v>0</v>
      </c>
      <c r="BO129" s="330">
        <f t="shared" si="455"/>
        <v>0</v>
      </c>
      <c r="BP129" s="330">
        <f t="shared" si="455"/>
        <v>0</v>
      </c>
      <c r="BQ129" s="330">
        <f t="shared" si="455"/>
        <v>0</v>
      </c>
      <c r="BR129" s="330">
        <f t="shared" si="455"/>
        <v>0</v>
      </c>
      <c r="BS129" s="330">
        <f t="shared" si="455"/>
        <v>0</v>
      </c>
      <c r="BT129" s="330">
        <f t="shared" si="455"/>
        <v>0</v>
      </c>
      <c r="BU129" s="330">
        <f t="shared" si="455"/>
        <v>0</v>
      </c>
      <c r="BV129" s="330">
        <f t="shared" si="455"/>
        <v>0</v>
      </c>
      <c r="BW129" s="330">
        <f t="shared" si="455"/>
        <v>0</v>
      </c>
      <c r="BX129" s="351">
        <f t="shared" si="444"/>
        <v>0</v>
      </c>
      <c r="BY129" s="378">
        <f t="shared" si="445"/>
        <v>0</v>
      </c>
      <c r="BZ129" s="378">
        <f t="shared" si="446"/>
        <v>0</v>
      </c>
    </row>
    <row r="130" spans="1:78" s="234" customFormat="1" ht="15" customHeight="1">
      <c r="A130" s="234" t="s">
        <v>133</v>
      </c>
      <c r="B130" s="234" t="s">
        <v>289</v>
      </c>
      <c r="C130" s="392"/>
      <c r="D130" s="328"/>
      <c r="E130" s="386">
        <v>18700</v>
      </c>
      <c r="F130" s="328" t="s">
        <v>193</v>
      </c>
      <c r="G130" s="329"/>
      <c r="H130" s="329"/>
      <c r="I130" s="329"/>
      <c r="J130" s="329">
        <v>0</v>
      </c>
      <c r="K130" s="329">
        <v>0.36363636363599999</v>
      </c>
      <c r="L130" s="329">
        <v>0.63636363636399995</v>
      </c>
      <c r="M130" s="388"/>
      <c r="N130" s="388"/>
      <c r="O130" s="388"/>
      <c r="P130" s="388"/>
      <c r="Q130" s="388"/>
      <c r="R130" s="329"/>
      <c r="S130" s="329"/>
      <c r="T130" s="329"/>
      <c r="U130" s="329"/>
      <c r="V130" s="329"/>
      <c r="W130" s="329"/>
      <c r="X130" s="329"/>
      <c r="Y130" s="329"/>
      <c r="Z130" s="329"/>
      <c r="AA130" s="329"/>
      <c r="AB130" s="329"/>
      <c r="AC130" s="426">
        <f t="shared" si="308"/>
        <v>1</v>
      </c>
      <c r="AD130" s="328"/>
      <c r="AE130" s="330">
        <f t="shared" si="421"/>
        <v>0</v>
      </c>
      <c r="AF130" s="330">
        <f t="shared" si="422"/>
        <v>0</v>
      </c>
      <c r="AG130" s="330">
        <f t="shared" si="423"/>
        <v>0</v>
      </c>
      <c r="AH130" s="330">
        <f t="shared" si="424"/>
        <v>0</v>
      </c>
      <c r="AI130" s="330">
        <f t="shared" si="425"/>
        <v>6799.9999999931997</v>
      </c>
      <c r="AJ130" s="386">
        <f t="shared" si="426"/>
        <v>11900.000000006799</v>
      </c>
      <c r="AK130" s="330">
        <f t="shared" si="427"/>
        <v>0</v>
      </c>
      <c r="AL130" s="386">
        <f t="shared" si="428"/>
        <v>0</v>
      </c>
      <c r="AM130" s="386">
        <f t="shared" si="429"/>
        <v>0</v>
      </c>
      <c r="AN130" s="330">
        <f t="shared" si="430"/>
        <v>0</v>
      </c>
      <c r="AO130" s="386">
        <f t="shared" si="431"/>
        <v>0</v>
      </c>
      <c r="AP130" s="330">
        <f t="shared" si="432"/>
        <v>0</v>
      </c>
      <c r="AQ130" s="330">
        <f t="shared" si="433"/>
        <v>0</v>
      </c>
      <c r="AR130" s="330">
        <f t="shared" si="434"/>
        <v>0</v>
      </c>
      <c r="AS130" s="330">
        <f t="shared" si="435"/>
        <v>0</v>
      </c>
      <c r="AT130" s="330">
        <f t="shared" si="436"/>
        <v>0</v>
      </c>
      <c r="AU130" s="330">
        <f t="shared" si="437"/>
        <v>0</v>
      </c>
      <c r="AV130" s="330">
        <f t="shared" si="438"/>
        <v>0</v>
      </c>
      <c r="AW130" s="330">
        <f t="shared" si="439"/>
        <v>0</v>
      </c>
      <c r="AX130" s="330">
        <f t="shared" si="440"/>
        <v>0</v>
      </c>
      <c r="AY130" s="330">
        <f t="shared" si="441"/>
        <v>0</v>
      </c>
      <c r="AZ130" s="330">
        <f t="shared" si="442"/>
        <v>0</v>
      </c>
      <c r="BA130" s="330"/>
      <c r="BB130" s="330">
        <f t="shared" si="454"/>
        <v>0</v>
      </c>
      <c r="BC130" s="330">
        <f t="shared" si="454"/>
        <v>0</v>
      </c>
      <c r="BD130" s="330">
        <f t="shared" si="454"/>
        <v>0</v>
      </c>
      <c r="BE130" s="330">
        <f t="shared" si="454"/>
        <v>18700</v>
      </c>
      <c r="BF130" s="330">
        <f t="shared" si="454"/>
        <v>0</v>
      </c>
      <c r="BG130" s="330">
        <f t="shared" si="454"/>
        <v>0</v>
      </c>
      <c r="BH130" s="330">
        <f t="shared" si="454"/>
        <v>0</v>
      </c>
      <c r="BI130" s="330">
        <f t="shared" si="454"/>
        <v>0</v>
      </c>
      <c r="BJ130" s="386">
        <f t="shared" si="454"/>
        <v>0</v>
      </c>
      <c r="BK130" s="330">
        <f t="shared" si="454"/>
        <v>0</v>
      </c>
      <c r="BL130" s="330">
        <f t="shared" si="455"/>
        <v>0</v>
      </c>
      <c r="BM130" s="330">
        <f t="shared" si="455"/>
        <v>0</v>
      </c>
      <c r="BN130" s="330">
        <f t="shared" si="455"/>
        <v>0</v>
      </c>
      <c r="BO130" s="330">
        <f t="shared" si="455"/>
        <v>0</v>
      </c>
      <c r="BP130" s="330">
        <f t="shared" si="455"/>
        <v>0</v>
      </c>
      <c r="BQ130" s="330">
        <f t="shared" si="455"/>
        <v>0</v>
      </c>
      <c r="BR130" s="330">
        <f t="shared" si="455"/>
        <v>0</v>
      </c>
      <c r="BS130" s="330">
        <f t="shared" si="455"/>
        <v>0</v>
      </c>
      <c r="BT130" s="330">
        <f t="shared" si="455"/>
        <v>0</v>
      </c>
      <c r="BU130" s="330">
        <f t="shared" si="455"/>
        <v>0</v>
      </c>
      <c r="BV130" s="330">
        <f t="shared" si="455"/>
        <v>0</v>
      </c>
      <c r="BW130" s="330">
        <f t="shared" si="455"/>
        <v>0</v>
      </c>
      <c r="BX130" s="351">
        <f t="shared" si="444"/>
        <v>0</v>
      </c>
      <c r="BY130" s="378">
        <f t="shared" si="445"/>
        <v>0</v>
      </c>
      <c r="BZ130" s="378">
        <f t="shared" si="446"/>
        <v>0</v>
      </c>
    </row>
    <row r="131" spans="1:78" s="234" customFormat="1" ht="15" customHeight="1">
      <c r="A131" s="234" t="s">
        <v>133</v>
      </c>
      <c r="B131" s="234" t="s">
        <v>290</v>
      </c>
      <c r="C131" s="392"/>
      <c r="D131" s="328"/>
      <c r="E131" s="386">
        <v>13200</v>
      </c>
      <c r="F131" s="328" t="s">
        <v>190</v>
      </c>
      <c r="G131" s="329"/>
      <c r="H131" s="329"/>
      <c r="I131" s="329"/>
      <c r="J131" s="329"/>
      <c r="K131" s="329"/>
      <c r="L131" s="329">
        <v>1</v>
      </c>
      <c r="M131" s="329"/>
      <c r="N131" s="329"/>
      <c r="O131" s="329"/>
      <c r="P131" s="388"/>
      <c r="Q131" s="388"/>
      <c r="R131" s="388"/>
      <c r="S131" s="388"/>
      <c r="T131" s="388"/>
      <c r="U131" s="388"/>
      <c r="V131" s="388"/>
      <c r="W131" s="388"/>
      <c r="X131" s="388"/>
      <c r="Y131" s="388"/>
      <c r="Z131" s="388"/>
      <c r="AA131" s="388"/>
      <c r="AB131" s="388"/>
      <c r="AC131" s="426">
        <f t="shared" si="308"/>
        <v>1</v>
      </c>
      <c r="AD131" s="328"/>
      <c r="AE131" s="330">
        <f t="shared" si="421"/>
        <v>0</v>
      </c>
      <c r="AF131" s="330">
        <f t="shared" si="422"/>
        <v>0</v>
      </c>
      <c r="AG131" s="330">
        <f t="shared" si="423"/>
        <v>0</v>
      </c>
      <c r="AH131" s="330">
        <f t="shared" si="424"/>
        <v>0</v>
      </c>
      <c r="AI131" s="330">
        <f t="shared" si="425"/>
        <v>0</v>
      </c>
      <c r="AJ131" s="330">
        <f t="shared" si="426"/>
        <v>13200</v>
      </c>
      <c r="AK131" s="330">
        <f t="shared" si="427"/>
        <v>0</v>
      </c>
      <c r="AL131" s="386">
        <f t="shared" si="428"/>
        <v>0</v>
      </c>
      <c r="AM131" s="330">
        <f t="shared" si="429"/>
        <v>0</v>
      </c>
      <c r="AN131" s="330">
        <f t="shared" si="430"/>
        <v>0</v>
      </c>
      <c r="AO131" s="330">
        <f t="shared" si="431"/>
        <v>0</v>
      </c>
      <c r="AP131" s="330">
        <f t="shared" si="432"/>
        <v>0</v>
      </c>
      <c r="AQ131" s="330">
        <f t="shared" si="433"/>
        <v>0</v>
      </c>
      <c r="AR131" s="330">
        <f t="shared" si="434"/>
        <v>0</v>
      </c>
      <c r="AS131" s="330">
        <f t="shared" si="435"/>
        <v>0</v>
      </c>
      <c r="AT131" s="330">
        <f t="shared" si="436"/>
        <v>0</v>
      </c>
      <c r="AU131" s="330">
        <f t="shared" si="437"/>
        <v>0</v>
      </c>
      <c r="AV131" s="330">
        <f t="shared" si="438"/>
        <v>0</v>
      </c>
      <c r="AW131" s="330">
        <f t="shared" si="439"/>
        <v>0</v>
      </c>
      <c r="AX131" s="330">
        <f t="shared" si="440"/>
        <v>0</v>
      </c>
      <c r="AY131" s="330">
        <f t="shared" si="441"/>
        <v>0</v>
      </c>
      <c r="AZ131" s="330">
        <f t="shared" si="442"/>
        <v>0</v>
      </c>
      <c r="BA131" s="330"/>
      <c r="BB131" s="330">
        <f t="shared" si="454"/>
        <v>0</v>
      </c>
      <c r="BC131" s="330">
        <f t="shared" si="454"/>
        <v>0</v>
      </c>
      <c r="BD131" s="330">
        <f t="shared" si="454"/>
        <v>0</v>
      </c>
      <c r="BE131" s="330">
        <f t="shared" si="454"/>
        <v>0</v>
      </c>
      <c r="BF131" s="330">
        <f t="shared" si="454"/>
        <v>13200</v>
      </c>
      <c r="BG131" s="330">
        <f t="shared" si="454"/>
        <v>0</v>
      </c>
      <c r="BH131" s="330">
        <f t="shared" si="454"/>
        <v>0</v>
      </c>
      <c r="BI131" s="330">
        <f t="shared" si="454"/>
        <v>0</v>
      </c>
      <c r="BJ131" s="330">
        <f t="shared" si="454"/>
        <v>0</v>
      </c>
      <c r="BK131" s="330">
        <f t="shared" si="454"/>
        <v>0</v>
      </c>
      <c r="BL131" s="330">
        <f t="shared" si="455"/>
        <v>0</v>
      </c>
      <c r="BM131" s="330">
        <f t="shared" si="455"/>
        <v>0</v>
      </c>
      <c r="BN131" s="330">
        <f t="shared" si="455"/>
        <v>0</v>
      </c>
      <c r="BO131" s="330">
        <f t="shared" si="455"/>
        <v>0</v>
      </c>
      <c r="BP131" s="330">
        <f t="shared" si="455"/>
        <v>0</v>
      </c>
      <c r="BQ131" s="330">
        <f t="shared" si="455"/>
        <v>0</v>
      </c>
      <c r="BR131" s="330">
        <f t="shared" si="455"/>
        <v>0</v>
      </c>
      <c r="BS131" s="330">
        <f t="shared" si="455"/>
        <v>0</v>
      </c>
      <c r="BT131" s="330">
        <f t="shared" si="455"/>
        <v>0</v>
      </c>
      <c r="BU131" s="330">
        <f t="shared" si="455"/>
        <v>0</v>
      </c>
      <c r="BV131" s="330">
        <f t="shared" si="455"/>
        <v>0</v>
      </c>
      <c r="BW131" s="330">
        <f t="shared" si="455"/>
        <v>0</v>
      </c>
      <c r="BX131" s="351">
        <f t="shared" si="444"/>
        <v>0</v>
      </c>
      <c r="BY131" s="378">
        <f t="shared" si="445"/>
        <v>0</v>
      </c>
      <c r="BZ131" s="378">
        <f t="shared" si="446"/>
        <v>0</v>
      </c>
    </row>
    <row r="132" spans="1:78" s="234" customFormat="1" ht="14.45" customHeight="1">
      <c r="A132" s="234" t="s">
        <v>136</v>
      </c>
      <c r="C132" s="392"/>
      <c r="D132" s="328"/>
      <c r="E132" s="386">
        <v>640.16</v>
      </c>
      <c r="F132" s="328" t="s">
        <v>190</v>
      </c>
      <c r="G132" s="388"/>
      <c r="H132" s="388"/>
      <c r="I132" s="388"/>
      <c r="J132" s="388"/>
      <c r="K132" s="388"/>
      <c r="L132" s="329">
        <v>1</v>
      </c>
      <c r="M132" s="329"/>
      <c r="N132" s="388"/>
      <c r="O132" s="388"/>
      <c r="P132" s="388"/>
      <c r="Q132" s="388"/>
      <c r="R132" s="329">
        <v>0</v>
      </c>
      <c r="S132" s="329">
        <v>0</v>
      </c>
      <c r="T132" s="329">
        <v>0</v>
      </c>
      <c r="U132" s="329">
        <v>0</v>
      </c>
      <c r="V132" s="329"/>
      <c r="W132" s="329"/>
      <c r="X132" s="329"/>
      <c r="Y132" s="329"/>
      <c r="Z132" s="329"/>
      <c r="AA132" s="329"/>
      <c r="AB132" s="329"/>
      <c r="AC132" s="426">
        <f t="shared" si="308"/>
        <v>1</v>
      </c>
      <c r="AD132" s="328"/>
      <c r="AE132" s="330">
        <f t="shared" si="421"/>
        <v>0</v>
      </c>
      <c r="AF132" s="330">
        <f t="shared" si="422"/>
        <v>0</v>
      </c>
      <c r="AG132" s="330">
        <f t="shared" si="423"/>
        <v>0</v>
      </c>
      <c r="AH132" s="330">
        <f t="shared" si="424"/>
        <v>0</v>
      </c>
      <c r="AI132" s="330">
        <f t="shared" si="425"/>
        <v>0</v>
      </c>
      <c r="AJ132" s="386">
        <f t="shared" si="426"/>
        <v>640.16</v>
      </c>
      <c r="AK132" s="330">
        <f t="shared" si="427"/>
        <v>0</v>
      </c>
      <c r="AL132" s="386">
        <f t="shared" si="428"/>
        <v>0</v>
      </c>
      <c r="AM132" s="330">
        <f t="shared" si="429"/>
        <v>0</v>
      </c>
      <c r="AN132" s="330">
        <f t="shared" si="430"/>
        <v>0</v>
      </c>
      <c r="AO132" s="386">
        <f t="shared" si="431"/>
        <v>0</v>
      </c>
      <c r="AP132" s="330">
        <f t="shared" si="432"/>
        <v>0</v>
      </c>
      <c r="AQ132" s="330">
        <f t="shared" si="433"/>
        <v>0</v>
      </c>
      <c r="AR132" s="330">
        <f t="shared" si="434"/>
        <v>0</v>
      </c>
      <c r="AS132" s="330">
        <f t="shared" si="435"/>
        <v>0</v>
      </c>
      <c r="AT132" s="330">
        <f t="shared" si="436"/>
        <v>0</v>
      </c>
      <c r="AU132" s="330">
        <f t="shared" si="437"/>
        <v>0</v>
      </c>
      <c r="AV132" s="330">
        <f t="shared" si="438"/>
        <v>0</v>
      </c>
      <c r="AW132" s="330">
        <f t="shared" si="439"/>
        <v>0</v>
      </c>
      <c r="AX132" s="330">
        <f t="shared" si="440"/>
        <v>0</v>
      </c>
      <c r="AY132" s="330">
        <f t="shared" si="441"/>
        <v>0</v>
      </c>
      <c r="AZ132" s="330">
        <f t="shared" si="442"/>
        <v>0</v>
      </c>
      <c r="BA132" s="330"/>
      <c r="BB132" s="330">
        <f t="shared" si="454"/>
        <v>0</v>
      </c>
      <c r="BC132" s="330">
        <f t="shared" si="454"/>
        <v>0</v>
      </c>
      <c r="BD132" s="330">
        <f t="shared" si="454"/>
        <v>0</v>
      </c>
      <c r="BE132" s="330">
        <f t="shared" si="454"/>
        <v>0</v>
      </c>
      <c r="BF132" s="330">
        <f t="shared" si="454"/>
        <v>640.16</v>
      </c>
      <c r="BG132" s="386">
        <f t="shared" si="454"/>
        <v>0</v>
      </c>
      <c r="BH132" s="330">
        <f t="shared" si="454"/>
        <v>0</v>
      </c>
      <c r="BI132" s="330">
        <f t="shared" si="454"/>
        <v>0</v>
      </c>
      <c r="BJ132" s="330">
        <f t="shared" si="454"/>
        <v>0</v>
      </c>
      <c r="BK132" s="330">
        <f t="shared" si="454"/>
        <v>0</v>
      </c>
      <c r="BL132" s="330">
        <f t="shared" si="455"/>
        <v>0</v>
      </c>
      <c r="BM132" s="330">
        <f t="shared" si="455"/>
        <v>0</v>
      </c>
      <c r="BN132" s="330">
        <f t="shared" si="455"/>
        <v>0</v>
      </c>
      <c r="BO132" s="330">
        <f t="shared" si="455"/>
        <v>0</v>
      </c>
      <c r="BP132" s="330">
        <f t="shared" si="455"/>
        <v>0</v>
      </c>
      <c r="BQ132" s="330">
        <f t="shared" si="455"/>
        <v>0</v>
      </c>
      <c r="BR132" s="330">
        <f t="shared" si="455"/>
        <v>0</v>
      </c>
      <c r="BS132" s="330">
        <f t="shared" si="455"/>
        <v>0</v>
      </c>
      <c r="BT132" s="330">
        <f t="shared" si="455"/>
        <v>0</v>
      </c>
      <c r="BU132" s="330">
        <f t="shared" si="455"/>
        <v>0</v>
      </c>
      <c r="BV132" s="330">
        <f t="shared" si="455"/>
        <v>0</v>
      </c>
      <c r="BW132" s="330">
        <f t="shared" si="455"/>
        <v>0</v>
      </c>
      <c r="BX132" s="351">
        <f t="shared" si="444"/>
        <v>0</v>
      </c>
      <c r="BY132" s="378">
        <f t="shared" si="445"/>
        <v>0</v>
      </c>
      <c r="BZ132" s="378">
        <f t="shared" si="446"/>
        <v>0</v>
      </c>
    </row>
    <row r="133" spans="1:78" s="234" customFormat="1" ht="14.45" customHeight="1">
      <c r="A133" s="234" t="s">
        <v>136</v>
      </c>
      <c r="C133" s="392"/>
      <c r="D133" s="328"/>
      <c r="E133" s="386">
        <v>13864.72</v>
      </c>
      <c r="F133" s="328" t="s">
        <v>163</v>
      </c>
      <c r="G133" s="388"/>
      <c r="H133" s="388"/>
      <c r="I133" s="388"/>
      <c r="J133" s="388"/>
      <c r="K133" s="388"/>
      <c r="L133" s="329">
        <v>1</v>
      </c>
      <c r="M133" s="329"/>
      <c r="N133" s="388"/>
      <c r="O133" s="388"/>
      <c r="P133" s="388"/>
      <c r="Q133" s="388"/>
      <c r="R133" s="329">
        <v>0</v>
      </c>
      <c r="S133" s="329">
        <v>0</v>
      </c>
      <c r="T133" s="329">
        <v>0</v>
      </c>
      <c r="U133" s="329">
        <v>0</v>
      </c>
      <c r="V133" s="329"/>
      <c r="W133" s="329"/>
      <c r="X133" s="329"/>
      <c r="Y133" s="329"/>
      <c r="Z133" s="329"/>
      <c r="AA133" s="329"/>
      <c r="AB133" s="329"/>
      <c r="AC133" s="426">
        <f t="shared" si="308"/>
        <v>1</v>
      </c>
      <c r="AD133" s="328"/>
      <c r="AE133" s="330">
        <f t="shared" si="421"/>
        <v>0</v>
      </c>
      <c r="AF133" s="330">
        <f t="shared" si="422"/>
        <v>0</v>
      </c>
      <c r="AG133" s="330">
        <f t="shared" si="423"/>
        <v>0</v>
      </c>
      <c r="AH133" s="330">
        <f t="shared" si="424"/>
        <v>0</v>
      </c>
      <c r="AI133" s="330">
        <f t="shared" si="425"/>
        <v>0</v>
      </c>
      <c r="AJ133" s="386">
        <f t="shared" si="426"/>
        <v>13864.72</v>
      </c>
      <c r="AK133" s="330">
        <f t="shared" si="427"/>
        <v>0</v>
      </c>
      <c r="AL133" s="386">
        <f t="shared" si="428"/>
        <v>0</v>
      </c>
      <c r="AM133" s="330">
        <f t="shared" si="429"/>
        <v>0</v>
      </c>
      <c r="AN133" s="330">
        <f t="shared" si="430"/>
        <v>0</v>
      </c>
      <c r="AO133" s="386">
        <f t="shared" si="431"/>
        <v>0</v>
      </c>
      <c r="AP133" s="330">
        <f t="shared" si="432"/>
        <v>0</v>
      </c>
      <c r="AQ133" s="330">
        <f t="shared" si="433"/>
        <v>0</v>
      </c>
      <c r="AR133" s="330">
        <f t="shared" si="434"/>
        <v>0</v>
      </c>
      <c r="AS133" s="330">
        <f t="shared" si="435"/>
        <v>0</v>
      </c>
      <c r="AT133" s="330">
        <f t="shared" si="436"/>
        <v>0</v>
      </c>
      <c r="AU133" s="330">
        <f t="shared" si="437"/>
        <v>0</v>
      </c>
      <c r="AV133" s="330">
        <f t="shared" si="438"/>
        <v>0</v>
      </c>
      <c r="AW133" s="330">
        <f t="shared" si="439"/>
        <v>0</v>
      </c>
      <c r="AX133" s="330">
        <f t="shared" si="440"/>
        <v>0</v>
      </c>
      <c r="AY133" s="330">
        <f t="shared" si="441"/>
        <v>0</v>
      </c>
      <c r="AZ133" s="330">
        <f t="shared" si="442"/>
        <v>0</v>
      </c>
      <c r="BA133" s="330"/>
      <c r="BB133" s="330">
        <f t="shared" si="454"/>
        <v>0</v>
      </c>
      <c r="BC133" s="330">
        <f t="shared" si="454"/>
        <v>0</v>
      </c>
      <c r="BD133" s="330">
        <f t="shared" si="454"/>
        <v>0</v>
      </c>
      <c r="BE133" s="330">
        <f t="shared" si="454"/>
        <v>0</v>
      </c>
      <c r="BF133" s="330">
        <f t="shared" si="454"/>
        <v>0</v>
      </c>
      <c r="BG133" s="386">
        <f t="shared" si="454"/>
        <v>13864.72</v>
      </c>
      <c r="BH133" s="330">
        <f t="shared" si="454"/>
        <v>0</v>
      </c>
      <c r="BI133" s="330">
        <f t="shared" si="454"/>
        <v>0</v>
      </c>
      <c r="BJ133" s="330">
        <f t="shared" si="454"/>
        <v>0</v>
      </c>
      <c r="BK133" s="330">
        <f t="shared" si="454"/>
        <v>0</v>
      </c>
      <c r="BL133" s="330">
        <f t="shared" si="455"/>
        <v>0</v>
      </c>
      <c r="BM133" s="330">
        <f t="shared" si="455"/>
        <v>0</v>
      </c>
      <c r="BN133" s="330">
        <f t="shared" si="455"/>
        <v>0</v>
      </c>
      <c r="BO133" s="330">
        <f t="shared" si="455"/>
        <v>0</v>
      </c>
      <c r="BP133" s="330">
        <f t="shared" si="455"/>
        <v>0</v>
      </c>
      <c r="BQ133" s="330">
        <f t="shared" si="455"/>
        <v>0</v>
      </c>
      <c r="BR133" s="330">
        <f t="shared" si="455"/>
        <v>0</v>
      </c>
      <c r="BS133" s="330">
        <f t="shared" si="455"/>
        <v>0</v>
      </c>
      <c r="BT133" s="330">
        <f t="shared" si="455"/>
        <v>0</v>
      </c>
      <c r="BU133" s="330">
        <f t="shared" si="455"/>
        <v>0</v>
      </c>
      <c r="BV133" s="330">
        <f t="shared" si="455"/>
        <v>0</v>
      </c>
      <c r="BW133" s="330">
        <f t="shared" si="455"/>
        <v>0</v>
      </c>
      <c r="BX133" s="351">
        <f t="shared" si="444"/>
        <v>0</v>
      </c>
      <c r="BY133" s="378">
        <f t="shared" si="445"/>
        <v>0</v>
      </c>
      <c r="BZ133" s="378">
        <f t="shared" si="446"/>
        <v>0</v>
      </c>
    </row>
    <row r="134" spans="1:78" s="234" customFormat="1" ht="14.45" customHeight="1">
      <c r="A134" s="234" t="s">
        <v>136</v>
      </c>
      <c r="C134" s="392"/>
      <c r="D134" s="328"/>
      <c r="E134" s="386">
        <v>475.49</v>
      </c>
      <c r="F134" s="328" t="s">
        <v>175</v>
      </c>
      <c r="G134" s="388"/>
      <c r="H134" s="388"/>
      <c r="I134" s="388"/>
      <c r="J134" s="388"/>
      <c r="K134" s="388"/>
      <c r="L134" s="329"/>
      <c r="M134" s="329">
        <v>1</v>
      </c>
      <c r="N134" s="388"/>
      <c r="O134" s="388"/>
      <c r="P134" s="388"/>
      <c r="Q134" s="388"/>
      <c r="R134" s="329">
        <v>0</v>
      </c>
      <c r="S134" s="329">
        <v>0</v>
      </c>
      <c r="T134" s="329">
        <v>0</v>
      </c>
      <c r="U134" s="329">
        <v>0</v>
      </c>
      <c r="V134" s="329"/>
      <c r="W134" s="329"/>
      <c r="X134" s="329"/>
      <c r="Y134" s="329"/>
      <c r="Z134" s="329"/>
      <c r="AA134" s="329"/>
      <c r="AB134" s="329"/>
      <c r="AC134" s="426">
        <f t="shared" si="308"/>
        <v>1</v>
      </c>
      <c r="AD134" s="328"/>
      <c r="AE134" s="330">
        <f t="shared" si="421"/>
        <v>0</v>
      </c>
      <c r="AF134" s="330">
        <f t="shared" si="422"/>
        <v>0</v>
      </c>
      <c r="AG134" s="330">
        <f t="shared" si="423"/>
        <v>0</v>
      </c>
      <c r="AH134" s="330">
        <f t="shared" si="424"/>
        <v>0</v>
      </c>
      <c r="AI134" s="330">
        <f t="shared" si="425"/>
        <v>0</v>
      </c>
      <c r="AJ134" s="386">
        <f t="shared" si="426"/>
        <v>0</v>
      </c>
      <c r="AK134" s="330">
        <f t="shared" si="427"/>
        <v>475.49</v>
      </c>
      <c r="AL134" s="386">
        <f t="shared" si="428"/>
        <v>0</v>
      </c>
      <c r="AM134" s="330">
        <f t="shared" si="429"/>
        <v>0</v>
      </c>
      <c r="AN134" s="330">
        <f t="shared" si="430"/>
        <v>0</v>
      </c>
      <c r="AO134" s="386">
        <f t="shared" si="431"/>
        <v>0</v>
      </c>
      <c r="AP134" s="330">
        <f t="shared" si="432"/>
        <v>0</v>
      </c>
      <c r="AQ134" s="330">
        <f t="shared" si="433"/>
        <v>0</v>
      </c>
      <c r="AR134" s="330">
        <f t="shared" si="434"/>
        <v>0</v>
      </c>
      <c r="AS134" s="330">
        <f t="shared" si="435"/>
        <v>0</v>
      </c>
      <c r="AT134" s="330">
        <f t="shared" si="436"/>
        <v>0</v>
      </c>
      <c r="AU134" s="330">
        <f t="shared" si="437"/>
        <v>0</v>
      </c>
      <c r="AV134" s="330">
        <f t="shared" si="438"/>
        <v>0</v>
      </c>
      <c r="AW134" s="330">
        <f t="shared" si="439"/>
        <v>0</v>
      </c>
      <c r="AX134" s="330">
        <f t="shared" si="440"/>
        <v>0</v>
      </c>
      <c r="AY134" s="330">
        <f t="shared" si="441"/>
        <v>0</v>
      </c>
      <c r="AZ134" s="330">
        <f t="shared" si="442"/>
        <v>0</v>
      </c>
      <c r="BA134" s="330"/>
      <c r="BB134" s="330">
        <f t="shared" si="454"/>
        <v>0</v>
      </c>
      <c r="BC134" s="330">
        <f t="shared" si="454"/>
        <v>0</v>
      </c>
      <c r="BD134" s="330">
        <f t="shared" si="454"/>
        <v>0</v>
      </c>
      <c r="BE134" s="330">
        <f t="shared" si="454"/>
        <v>0</v>
      </c>
      <c r="BF134" s="330">
        <f t="shared" si="454"/>
        <v>0</v>
      </c>
      <c r="BG134" s="330">
        <f t="shared" si="454"/>
        <v>0</v>
      </c>
      <c r="BH134" s="330">
        <f t="shared" si="454"/>
        <v>475.49</v>
      </c>
      <c r="BI134" s="330">
        <f t="shared" si="454"/>
        <v>0</v>
      </c>
      <c r="BJ134" s="330">
        <f t="shared" si="454"/>
        <v>0</v>
      </c>
      <c r="BK134" s="330">
        <f t="shared" si="454"/>
        <v>0</v>
      </c>
      <c r="BL134" s="330">
        <f t="shared" si="455"/>
        <v>0</v>
      </c>
      <c r="BM134" s="330">
        <f t="shared" si="455"/>
        <v>0</v>
      </c>
      <c r="BN134" s="330">
        <f t="shared" si="455"/>
        <v>0</v>
      </c>
      <c r="BO134" s="330">
        <f t="shared" si="455"/>
        <v>0</v>
      </c>
      <c r="BP134" s="330">
        <f t="shared" si="455"/>
        <v>0</v>
      </c>
      <c r="BQ134" s="330">
        <f t="shared" si="455"/>
        <v>0</v>
      </c>
      <c r="BR134" s="330">
        <f t="shared" si="455"/>
        <v>0</v>
      </c>
      <c r="BS134" s="330">
        <f t="shared" si="455"/>
        <v>0</v>
      </c>
      <c r="BT134" s="330">
        <f t="shared" si="455"/>
        <v>0</v>
      </c>
      <c r="BU134" s="330">
        <f t="shared" si="455"/>
        <v>0</v>
      </c>
      <c r="BV134" s="330">
        <f t="shared" si="455"/>
        <v>0</v>
      </c>
      <c r="BW134" s="330">
        <f t="shared" si="455"/>
        <v>0</v>
      </c>
      <c r="BX134" s="351">
        <f t="shared" si="444"/>
        <v>0</v>
      </c>
      <c r="BY134" s="378">
        <f t="shared" si="445"/>
        <v>0</v>
      </c>
      <c r="BZ134" s="378">
        <f t="shared" si="446"/>
        <v>0</v>
      </c>
    </row>
    <row r="135" spans="1:78" s="234" customFormat="1" ht="15" customHeight="1">
      <c r="A135" s="234" t="s">
        <v>133</v>
      </c>
      <c r="B135" s="234" t="s">
        <v>313</v>
      </c>
      <c r="C135" s="392"/>
      <c r="D135" s="328"/>
      <c r="E135" s="386">
        <v>49165.090000000004</v>
      </c>
      <c r="F135" s="328" t="s">
        <v>175</v>
      </c>
      <c r="G135" s="388"/>
      <c r="H135" s="388"/>
      <c r="I135" s="388"/>
      <c r="J135" s="388"/>
      <c r="K135" s="388"/>
      <c r="L135" s="388"/>
      <c r="M135" s="329">
        <v>0</v>
      </c>
      <c r="N135" s="329">
        <v>0.88205655679670281</v>
      </c>
      <c r="O135" s="329">
        <v>0</v>
      </c>
      <c r="P135" s="329">
        <v>7.6316345602133545E-2</v>
      </c>
      <c r="Q135" s="329">
        <v>4.1627097601163753E-2</v>
      </c>
      <c r="R135" s="329"/>
      <c r="S135" s="329"/>
      <c r="T135" s="329"/>
      <c r="U135" s="329"/>
      <c r="V135" s="329"/>
      <c r="W135" s="329"/>
      <c r="X135" s="329"/>
      <c r="Y135" s="329"/>
      <c r="Z135" s="329"/>
      <c r="AA135" s="329"/>
      <c r="AB135" s="329"/>
      <c r="AC135" s="426">
        <f t="shared" si="308"/>
        <v>1</v>
      </c>
      <c r="AD135" s="328"/>
      <c r="AE135" s="330">
        <f t="shared" si="421"/>
        <v>0</v>
      </c>
      <c r="AF135" s="330">
        <f t="shared" si="422"/>
        <v>0</v>
      </c>
      <c r="AG135" s="330">
        <f t="shared" si="423"/>
        <v>0</v>
      </c>
      <c r="AH135" s="330">
        <f t="shared" si="424"/>
        <v>0</v>
      </c>
      <c r="AI135" s="330">
        <f t="shared" si="425"/>
        <v>0</v>
      </c>
      <c r="AJ135" s="330">
        <f t="shared" si="426"/>
        <v>0</v>
      </c>
      <c r="AK135" s="330">
        <f t="shared" si="427"/>
        <v>0</v>
      </c>
      <c r="AL135" s="386">
        <f t="shared" si="428"/>
        <v>43366.390000000007</v>
      </c>
      <c r="AM135" s="386">
        <f t="shared" si="429"/>
        <v>0</v>
      </c>
      <c r="AN135" s="386">
        <f t="shared" si="430"/>
        <v>3752.1000000000004</v>
      </c>
      <c r="AO135" s="386">
        <f t="shared" si="431"/>
        <v>2046.6000000000001</v>
      </c>
      <c r="AP135" s="330">
        <f t="shared" si="432"/>
        <v>0</v>
      </c>
      <c r="AQ135" s="330">
        <f t="shared" si="433"/>
        <v>0</v>
      </c>
      <c r="AR135" s="330">
        <f t="shared" si="434"/>
        <v>0</v>
      </c>
      <c r="AS135" s="330">
        <f t="shared" si="435"/>
        <v>0</v>
      </c>
      <c r="AT135" s="330">
        <f t="shared" si="436"/>
        <v>0</v>
      </c>
      <c r="AU135" s="330">
        <f t="shared" si="437"/>
        <v>0</v>
      </c>
      <c r="AV135" s="330">
        <f t="shared" si="438"/>
        <v>0</v>
      </c>
      <c r="AW135" s="330">
        <f t="shared" si="439"/>
        <v>0</v>
      </c>
      <c r="AX135" s="330">
        <f t="shared" si="440"/>
        <v>0</v>
      </c>
      <c r="AY135" s="330">
        <f t="shared" si="441"/>
        <v>0</v>
      </c>
      <c r="AZ135" s="330">
        <f t="shared" si="442"/>
        <v>0</v>
      </c>
      <c r="BA135" s="330"/>
      <c r="BB135" s="330">
        <f t="shared" ref="BB135:BP166" si="456">IF(BB$3=$F135,$E135,0)</f>
        <v>0</v>
      </c>
      <c r="BC135" s="330">
        <f t="shared" si="456"/>
        <v>0</v>
      </c>
      <c r="BD135" s="330">
        <f t="shared" si="456"/>
        <v>0</v>
      </c>
      <c r="BE135" s="330">
        <f t="shared" si="456"/>
        <v>0</v>
      </c>
      <c r="BF135" s="330">
        <f t="shared" si="456"/>
        <v>0</v>
      </c>
      <c r="BG135" s="330">
        <f t="shared" si="456"/>
        <v>0</v>
      </c>
      <c r="BH135" s="330">
        <f t="shared" si="456"/>
        <v>49165.090000000004</v>
      </c>
      <c r="BI135" s="330">
        <f t="shared" si="456"/>
        <v>0</v>
      </c>
      <c r="BJ135" s="330">
        <f t="shared" si="456"/>
        <v>0</v>
      </c>
      <c r="BK135" s="330">
        <f t="shared" si="456"/>
        <v>0</v>
      </c>
      <c r="BL135" s="330">
        <f t="shared" si="456"/>
        <v>0</v>
      </c>
      <c r="BM135" s="330">
        <f t="shared" si="456"/>
        <v>0</v>
      </c>
      <c r="BN135" s="330">
        <f t="shared" si="456"/>
        <v>0</v>
      </c>
      <c r="BO135" s="330">
        <f t="shared" si="456"/>
        <v>0</v>
      </c>
      <c r="BP135" s="330">
        <f t="shared" si="456"/>
        <v>0</v>
      </c>
      <c r="BQ135" s="330">
        <f>IF(BQ$3=$F135,$E135,0)</f>
        <v>0</v>
      </c>
      <c r="BR135" s="330">
        <f t="shared" ref="BR135:BW138" si="457">IF(BR$3=$F135,$E135,0)</f>
        <v>0</v>
      </c>
      <c r="BS135" s="330">
        <f t="shared" si="457"/>
        <v>0</v>
      </c>
      <c r="BT135" s="330">
        <f t="shared" si="457"/>
        <v>0</v>
      </c>
      <c r="BU135" s="330">
        <f t="shared" si="457"/>
        <v>0</v>
      </c>
      <c r="BV135" s="330">
        <f t="shared" si="457"/>
        <v>0</v>
      </c>
      <c r="BW135" s="330">
        <f t="shared" si="457"/>
        <v>0</v>
      </c>
      <c r="BX135" s="351">
        <f t="shared" si="444"/>
        <v>0</v>
      </c>
      <c r="BY135" s="378">
        <f t="shared" si="445"/>
        <v>0</v>
      </c>
      <c r="BZ135" s="378">
        <f t="shared" si="446"/>
        <v>0</v>
      </c>
    </row>
    <row r="136" spans="1:78" s="234" customFormat="1" ht="15" customHeight="1">
      <c r="A136" s="234" t="s">
        <v>133</v>
      </c>
      <c r="B136" s="234" t="s">
        <v>315</v>
      </c>
      <c r="C136" s="392"/>
      <c r="D136" s="328"/>
      <c r="E136" s="386">
        <f>45000-6498</f>
        <v>38502</v>
      </c>
      <c r="F136" s="328" t="s">
        <v>175</v>
      </c>
      <c r="G136" s="388"/>
      <c r="H136" s="388"/>
      <c r="I136" s="388"/>
      <c r="J136" s="388"/>
      <c r="K136" s="388"/>
      <c r="L136" s="388"/>
      <c r="M136" s="329">
        <v>0</v>
      </c>
      <c r="N136" s="329">
        <v>0.10950080515297907</v>
      </c>
      <c r="O136" s="329">
        <v>0.89049919484702089</v>
      </c>
      <c r="P136" s="329">
        <v>0</v>
      </c>
      <c r="Q136" s="329">
        <f>1-(P136+O136+N136)</f>
        <v>0</v>
      </c>
      <c r="R136" s="329"/>
      <c r="S136" s="329"/>
      <c r="T136" s="329"/>
      <c r="U136" s="329"/>
      <c r="V136" s="329"/>
      <c r="W136" s="329"/>
      <c r="X136" s="329"/>
      <c r="Y136" s="329"/>
      <c r="Z136" s="329"/>
      <c r="AA136" s="329"/>
      <c r="AB136" s="329"/>
      <c r="AC136" s="426">
        <f t="shared" si="308"/>
        <v>1</v>
      </c>
      <c r="AD136" s="328"/>
      <c r="AE136" s="330">
        <f t="shared" si="421"/>
        <v>0</v>
      </c>
      <c r="AF136" s="330">
        <f t="shared" si="422"/>
        <v>0</v>
      </c>
      <c r="AG136" s="330">
        <f t="shared" si="423"/>
        <v>0</v>
      </c>
      <c r="AH136" s="330">
        <f t="shared" si="424"/>
        <v>0</v>
      </c>
      <c r="AI136" s="330">
        <f t="shared" si="425"/>
        <v>0</v>
      </c>
      <c r="AJ136" s="330">
        <f t="shared" si="426"/>
        <v>0</v>
      </c>
      <c r="AK136" s="330">
        <f t="shared" si="427"/>
        <v>0</v>
      </c>
      <c r="AL136" s="386">
        <f t="shared" si="428"/>
        <v>4216</v>
      </c>
      <c r="AM136" s="386">
        <f t="shared" si="429"/>
        <v>34286</v>
      </c>
      <c r="AN136" s="330">
        <f t="shared" si="430"/>
        <v>0</v>
      </c>
      <c r="AO136" s="386">
        <f t="shared" si="431"/>
        <v>0</v>
      </c>
      <c r="AP136" s="330">
        <f t="shared" si="432"/>
        <v>0</v>
      </c>
      <c r="AQ136" s="330">
        <f t="shared" si="433"/>
        <v>0</v>
      </c>
      <c r="AR136" s="330">
        <f t="shared" si="434"/>
        <v>0</v>
      </c>
      <c r="AS136" s="330">
        <f t="shared" si="435"/>
        <v>0</v>
      </c>
      <c r="AT136" s="330">
        <f t="shared" si="436"/>
        <v>0</v>
      </c>
      <c r="AU136" s="330">
        <f t="shared" si="437"/>
        <v>0</v>
      </c>
      <c r="AV136" s="330">
        <f t="shared" si="438"/>
        <v>0</v>
      </c>
      <c r="AW136" s="330">
        <f t="shared" si="439"/>
        <v>0</v>
      </c>
      <c r="AX136" s="330">
        <f t="shared" si="440"/>
        <v>0</v>
      </c>
      <c r="AY136" s="330">
        <f t="shared" si="441"/>
        <v>0</v>
      </c>
      <c r="AZ136" s="330">
        <f t="shared" si="442"/>
        <v>0</v>
      </c>
      <c r="BA136" s="330"/>
      <c r="BB136" s="330">
        <f t="shared" si="456"/>
        <v>0</v>
      </c>
      <c r="BC136" s="330">
        <f t="shared" si="456"/>
        <v>0</v>
      </c>
      <c r="BD136" s="330">
        <f t="shared" si="456"/>
        <v>0</v>
      </c>
      <c r="BE136" s="330">
        <f t="shared" si="456"/>
        <v>0</v>
      </c>
      <c r="BF136" s="330">
        <f t="shared" si="456"/>
        <v>0</v>
      </c>
      <c r="BG136" s="330">
        <f t="shared" si="456"/>
        <v>0</v>
      </c>
      <c r="BH136" s="330">
        <f t="shared" si="456"/>
        <v>38502</v>
      </c>
      <c r="BI136" s="330">
        <f t="shared" si="456"/>
        <v>0</v>
      </c>
      <c r="BJ136" s="330">
        <f t="shared" si="456"/>
        <v>0</v>
      </c>
      <c r="BK136" s="330">
        <f t="shared" si="456"/>
        <v>0</v>
      </c>
      <c r="BL136" s="330">
        <f t="shared" si="456"/>
        <v>0</v>
      </c>
      <c r="BM136" s="330">
        <f t="shared" si="456"/>
        <v>0</v>
      </c>
      <c r="BN136" s="330">
        <f t="shared" si="456"/>
        <v>0</v>
      </c>
      <c r="BO136" s="330">
        <f t="shared" si="456"/>
        <v>0</v>
      </c>
      <c r="BP136" s="330">
        <f t="shared" si="456"/>
        <v>0</v>
      </c>
      <c r="BQ136" s="330">
        <f>IF(BQ$3=$F136,$E136,0)</f>
        <v>0</v>
      </c>
      <c r="BR136" s="330">
        <f t="shared" si="457"/>
        <v>0</v>
      </c>
      <c r="BS136" s="330">
        <f t="shared" si="457"/>
        <v>0</v>
      </c>
      <c r="BT136" s="330">
        <f t="shared" si="457"/>
        <v>0</v>
      </c>
      <c r="BU136" s="330">
        <f t="shared" si="457"/>
        <v>0</v>
      </c>
      <c r="BV136" s="330">
        <f t="shared" si="457"/>
        <v>0</v>
      </c>
      <c r="BW136" s="330">
        <f t="shared" si="457"/>
        <v>0</v>
      </c>
      <c r="BX136" s="351">
        <f t="shared" si="444"/>
        <v>0</v>
      </c>
      <c r="BY136" s="378">
        <f t="shared" si="445"/>
        <v>0</v>
      </c>
      <c r="BZ136" s="378">
        <f t="shared" si="446"/>
        <v>0</v>
      </c>
    </row>
    <row r="137" spans="1:78" s="234" customFormat="1" ht="15" customHeight="1">
      <c r="A137" s="234" t="s">
        <v>133</v>
      </c>
      <c r="C137" s="392"/>
      <c r="D137" s="328"/>
      <c r="E137" s="386">
        <v>68334.489999999991</v>
      </c>
      <c r="F137" s="328" t="s">
        <v>209</v>
      </c>
      <c r="G137" s="388"/>
      <c r="H137" s="388"/>
      <c r="I137" s="388"/>
      <c r="J137" s="388"/>
      <c r="K137" s="388"/>
      <c r="L137" s="388"/>
      <c r="M137" s="329">
        <v>0</v>
      </c>
      <c r="N137" s="329">
        <v>0</v>
      </c>
      <c r="O137" s="329">
        <v>1</v>
      </c>
      <c r="P137" s="329">
        <v>0</v>
      </c>
      <c r="Q137" s="329">
        <v>0</v>
      </c>
      <c r="R137" s="329"/>
      <c r="S137" s="329"/>
      <c r="T137" s="329"/>
      <c r="U137" s="329"/>
      <c r="V137" s="329"/>
      <c r="W137" s="329"/>
      <c r="X137" s="329"/>
      <c r="Y137" s="329"/>
      <c r="Z137" s="329"/>
      <c r="AA137" s="329"/>
      <c r="AB137" s="329"/>
      <c r="AC137" s="426">
        <f t="shared" si="308"/>
        <v>1</v>
      </c>
      <c r="AD137" s="328"/>
      <c r="AE137" s="330">
        <f t="shared" si="421"/>
        <v>0</v>
      </c>
      <c r="AF137" s="330">
        <f t="shared" si="422"/>
        <v>0</v>
      </c>
      <c r="AG137" s="330">
        <f t="shared" si="423"/>
        <v>0</v>
      </c>
      <c r="AH137" s="330">
        <f t="shared" si="424"/>
        <v>0</v>
      </c>
      <c r="AI137" s="330">
        <f t="shared" si="425"/>
        <v>0</v>
      </c>
      <c r="AJ137" s="330">
        <f t="shared" si="426"/>
        <v>0</v>
      </c>
      <c r="AK137" s="330">
        <f t="shared" si="427"/>
        <v>0</v>
      </c>
      <c r="AL137" s="386">
        <f t="shared" si="428"/>
        <v>0</v>
      </c>
      <c r="AM137" s="386">
        <f t="shared" si="429"/>
        <v>68334.489999999991</v>
      </c>
      <c r="AN137" s="330">
        <f t="shared" si="430"/>
        <v>0</v>
      </c>
      <c r="AO137" s="386">
        <f t="shared" si="431"/>
        <v>0</v>
      </c>
      <c r="AP137" s="330">
        <f t="shared" si="432"/>
        <v>0</v>
      </c>
      <c r="AQ137" s="330">
        <f t="shared" si="433"/>
        <v>0</v>
      </c>
      <c r="AR137" s="330">
        <f t="shared" si="434"/>
        <v>0</v>
      </c>
      <c r="AS137" s="330">
        <f t="shared" si="435"/>
        <v>0</v>
      </c>
      <c r="AT137" s="330">
        <f t="shared" si="436"/>
        <v>0</v>
      </c>
      <c r="AU137" s="330">
        <f t="shared" si="437"/>
        <v>0</v>
      </c>
      <c r="AV137" s="330">
        <f t="shared" si="438"/>
        <v>0</v>
      </c>
      <c r="AW137" s="330">
        <f t="shared" si="439"/>
        <v>0</v>
      </c>
      <c r="AX137" s="330">
        <f t="shared" si="440"/>
        <v>0</v>
      </c>
      <c r="AY137" s="330">
        <f t="shared" si="441"/>
        <v>0</v>
      </c>
      <c r="AZ137" s="330">
        <f t="shared" si="442"/>
        <v>0</v>
      </c>
      <c r="BA137" s="330"/>
      <c r="BB137" s="330">
        <f t="shared" ref="BB137:BR138" si="458">IF(BB$3=$F137,$E137,0)</f>
        <v>0</v>
      </c>
      <c r="BC137" s="330">
        <f t="shared" si="458"/>
        <v>0</v>
      </c>
      <c r="BD137" s="330">
        <f t="shared" si="458"/>
        <v>0</v>
      </c>
      <c r="BE137" s="330">
        <f t="shared" si="458"/>
        <v>0</v>
      </c>
      <c r="BF137" s="330">
        <f t="shared" si="458"/>
        <v>0</v>
      </c>
      <c r="BG137" s="330">
        <f t="shared" si="458"/>
        <v>0</v>
      </c>
      <c r="BH137" s="330">
        <f t="shared" si="458"/>
        <v>0</v>
      </c>
      <c r="BI137" s="330">
        <f t="shared" si="458"/>
        <v>68334.489999999991</v>
      </c>
      <c r="BJ137" s="386">
        <f t="shared" si="458"/>
        <v>0</v>
      </c>
      <c r="BK137" s="330">
        <f t="shared" si="458"/>
        <v>0</v>
      </c>
      <c r="BL137" s="330">
        <f t="shared" si="458"/>
        <v>0</v>
      </c>
      <c r="BM137" s="330">
        <f t="shared" si="458"/>
        <v>0</v>
      </c>
      <c r="BN137" s="330">
        <f t="shared" si="458"/>
        <v>0</v>
      </c>
      <c r="BO137" s="330">
        <f t="shared" si="458"/>
        <v>0</v>
      </c>
      <c r="BP137" s="330">
        <f t="shared" si="458"/>
        <v>0</v>
      </c>
      <c r="BQ137" s="330">
        <f t="shared" si="458"/>
        <v>0</v>
      </c>
      <c r="BR137" s="330">
        <f t="shared" si="458"/>
        <v>0</v>
      </c>
      <c r="BS137" s="330">
        <f t="shared" si="457"/>
        <v>0</v>
      </c>
      <c r="BT137" s="330">
        <f t="shared" si="457"/>
        <v>0</v>
      </c>
      <c r="BU137" s="330">
        <f t="shared" si="457"/>
        <v>0</v>
      </c>
      <c r="BV137" s="330">
        <f t="shared" si="457"/>
        <v>0</v>
      </c>
      <c r="BW137" s="330">
        <f t="shared" si="457"/>
        <v>0</v>
      </c>
      <c r="BX137" s="351">
        <f t="shared" si="444"/>
        <v>0</v>
      </c>
      <c r="BY137" s="378">
        <f t="shared" si="445"/>
        <v>0</v>
      </c>
      <c r="BZ137" s="378">
        <f t="shared" si="446"/>
        <v>0</v>
      </c>
    </row>
    <row r="138" spans="1:78" s="234" customFormat="1" ht="15" customHeight="1">
      <c r="A138" s="234" t="s">
        <v>133</v>
      </c>
      <c r="B138" s="234" t="s">
        <v>318</v>
      </c>
      <c r="C138" s="392"/>
      <c r="D138" s="328"/>
      <c r="E138" s="386">
        <v>7848.12</v>
      </c>
      <c r="F138" s="328" t="s">
        <v>209</v>
      </c>
      <c r="G138" s="388"/>
      <c r="H138" s="388"/>
      <c r="I138" s="388"/>
      <c r="J138" s="388"/>
      <c r="K138" s="388"/>
      <c r="L138" s="388"/>
      <c r="M138" s="329">
        <v>0</v>
      </c>
      <c r="N138" s="329">
        <v>0</v>
      </c>
      <c r="O138" s="329">
        <v>1</v>
      </c>
      <c r="P138" s="329">
        <v>0</v>
      </c>
      <c r="Q138" s="329">
        <v>0</v>
      </c>
      <c r="R138" s="329"/>
      <c r="S138" s="329"/>
      <c r="T138" s="329"/>
      <c r="U138" s="329"/>
      <c r="V138" s="329"/>
      <c r="W138" s="329"/>
      <c r="X138" s="329"/>
      <c r="Y138" s="329"/>
      <c r="Z138" s="329"/>
      <c r="AA138" s="329"/>
      <c r="AB138" s="329"/>
      <c r="AC138" s="426">
        <f t="shared" si="308"/>
        <v>1</v>
      </c>
      <c r="AD138" s="328"/>
      <c r="AE138" s="330">
        <f t="shared" si="421"/>
        <v>0</v>
      </c>
      <c r="AF138" s="330">
        <f t="shared" si="422"/>
        <v>0</v>
      </c>
      <c r="AG138" s="330">
        <f t="shared" si="423"/>
        <v>0</v>
      </c>
      <c r="AH138" s="330">
        <f t="shared" si="424"/>
        <v>0</v>
      </c>
      <c r="AI138" s="330">
        <f t="shared" si="425"/>
        <v>0</v>
      </c>
      <c r="AJ138" s="330">
        <f t="shared" si="426"/>
        <v>0</v>
      </c>
      <c r="AK138" s="330">
        <f t="shared" si="427"/>
        <v>0</v>
      </c>
      <c r="AL138" s="386">
        <f t="shared" si="428"/>
        <v>0</v>
      </c>
      <c r="AM138" s="386">
        <f t="shared" si="429"/>
        <v>7848.12</v>
      </c>
      <c r="AN138" s="330">
        <f t="shared" si="430"/>
        <v>0</v>
      </c>
      <c r="AO138" s="386">
        <f t="shared" si="431"/>
        <v>0</v>
      </c>
      <c r="AP138" s="330">
        <f t="shared" si="432"/>
        <v>0</v>
      </c>
      <c r="AQ138" s="330">
        <f t="shared" si="433"/>
        <v>0</v>
      </c>
      <c r="AR138" s="330">
        <f t="shared" si="434"/>
        <v>0</v>
      </c>
      <c r="AS138" s="330">
        <f t="shared" si="435"/>
        <v>0</v>
      </c>
      <c r="AT138" s="330">
        <f t="shared" si="436"/>
        <v>0</v>
      </c>
      <c r="AU138" s="330">
        <f t="shared" si="437"/>
        <v>0</v>
      </c>
      <c r="AV138" s="330">
        <f t="shared" si="438"/>
        <v>0</v>
      </c>
      <c r="AW138" s="330">
        <f t="shared" si="439"/>
        <v>0</v>
      </c>
      <c r="AX138" s="330">
        <f t="shared" si="440"/>
        <v>0</v>
      </c>
      <c r="AY138" s="330">
        <f t="shared" si="441"/>
        <v>0</v>
      </c>
      <c r="AZ138" s="330">
        <f t="shared" si="442"/>
        <v>0</v>
      </c>
      <c r="BA138" s="330"/>
      <c r="BB138" s="330">
        <f t="shared" si="458"/>
        <v>0</v>
      </c>
      <c r="BC138" s="330">
        <f t="shared" si="458"/>
        <v>0</v>
      </c>
      <c r="BD138" s="330">
        <f t="shared" si="458"/>
        <v>0</v>
      </c>
      <c r="BE138" s="330">
        <f t="shared" si="458"/>
        <v>0</v>
      </c>
      <c r="BF138" s="330">
        <f t="shared" si="458"/>
        <v>0</v>
      </c>
      <c r="BG138" s="330">
        <f t="shared" si="458"/>
        <v>0</v>
      </c>
      <c r="BH138" s="330">
        <f t="shared" si="458"/>
        <v>0</v>
      </c>
      <c r="BI138" s="386">
        <f t="shared" si="458"/>
        <v>7848.12</v>
      </c>
      <c r="BJ138" s="386">
        <f t="shared" si="458"/>
        <v>0</v>
      </c>
      <c r="BK138" s="330">
        <f t="shared" si="458"/>
        <v>0</v>
      </c>
      <c r="BL138" s="330">
        <f t="shared" si="458"/>
        <v>0</v>
      </c>
      <c r="BM138" s="330">
        <f t="shared" si="458"/>
        <v>0</v>
      </c>
      <c r="BN138" s="330">
        <f t="shared" si="458"/>
        <v>0</v>
      </c>
      <c r="BO138" s="330">
        <f t="shared" si="458"/>
        <v>0</v>
      </c>
      <c r="BP138" s="330">
        <f t="shared" si="458"/>
        <v>0</v>
      </c>
      <c r="BQ138" s="330">
        <f t="shared" si="458"/>
        <v>0</v>
      </c>
      <c r="BR138" s="330">
        <f t="shared" si="457"/>
        <v>0</v>
      </c>
      <c r="BS138" s="330">
        <f t="shared" si="457"/>
        <v>0</v>
      </c>
      <c r="BT138" s="330">
        <f t="shared" si="457"/>
        <v>0</v>
      </c>
      <c r="BU138" s="330">
        <f t="shared" si="457"/>
        <v>0</v>
      </c>
      <c r="BV138" s="330">
        <f t="shared" si="457"/>
        <v>0</v>
      </c>
      <c r="BW138" s="330">
        <f t="shared" si="457"/>
        <v>0</v>
      </c>
      <c r="BX138" s="351">
        <f t="shared" si="444"/>
        <v>0</v>
      </c>
      <c r="BY138" s="378">
        <f t="shared" si="445"/>
        <v>0</v>
      </c>
      <c r="BZ138" s="378">
        <f t="shared" si="446"/>
        <v>0</v>
      </c>
    </row>
    <row r="139" spans="1:78" s="234" customFormat="1" ht="14.45" customHeight="1">
      <c r="A139" s="234" t="s">
        <v>136</v>
      </c>
      <c r="C139" s="392"/>
      <c r="D139" s="328"/>
      <c r="E139" s="386">
        <v>203.63</v>
      </c>
      <c r="F139" s="328" t="s">
        <v>209</v>
      </c>
      <c r="G139" s="388"/>
      <c r="H139" s="388"/>
      <c r="I139" s="388"/>
      <c r="J139" s="388"/>
      <c r="K139" s="388"/>
      <c r="L139" s="329"/>
      <c r="M139" s="329">
        <v>0</v>
      </c>
      <c r="N139" s="329">
        <v>1</v>
      </c>
      <c r="O139" s="388"/>
      <c r="P139" s="388"/>
      <c r="Q139" s="388"/>
      <c r="R139" s="329">
        <v>0</v>
      </c>
      <c r="S139" s="329">
        <v>0</v>
      </c>
      <c r="T139" s="329">
        <v>0</v>
      </c>
      <c r="U139" s="329">
        <v>0</v>
      </c>
      <c r="V139" s="329"/>
      <c r="W139" s="329"/>
      <c r="X139" s="329"/>
      <c r="Y139" s="329"/>
      <c r="Z139" s="329"/>
      <c r="AA139" s="329"/>
      <c r="AB139" s="329"/>
      <c r="AC139" s="426">
        <f t="shared" si="308"/>
        <v>1</v>
      </c>
      <c r="AD139" s="328"/>
      <c r="AE139" s="330">
        <f t="shared" ref="AE139:AE169" si="459">G139*$E139</f>
        <v>0</v>
      </c>
      <c r="AF139" s="330">
        <f t="shared" ref="AF139:AF169" si="460">H139*$E139</f>
        <v>0</v>
      </c>
      <c r="AG139" s="330">
        <f t="shared" ref="AG139:AG169" si="461">I139*$E139</f>
        <v>0</v>
      </c>
      <c r="AH139" s="330">
        <f t="shared" ref="AH139:AH169" si="462">J139*$E139</f>
        <v>0</v>
      </c>
      <c r="AI139" s="330">
        <f t="shared" ref="AI139:AI169" si="463">K139*$E139</f>
        <v>0</v>
      </c>
      <c r="AJ139" s="386">
        <f t="shared" ref="AJ139:AJ169" si="464">L139*$E139</f>
        <v>0</v>
      </c>
      <c r="AK139" s="330">
        <f t="shared" ref="AK139:AK169" si="465">M139*$E139</f>
        <v>0</v>
      </c>
      <c r="AL139" s="386">
        <f t="shared" ref="AL139:AL169" si="466">N139*$E139</f>
        <v>203.63</v>
      </c>
      <c r="AM139" s="330">
        <f t="shared" ref="AM139:AM169" si="467">O139*$E139</f>
        <v>0</v>
      </c>
      <c r="AN139" s="330">
        <f t="shared" ref="AN139:AN169" si="468">P139*$E139</f>
        <v>0</v>
      </c>
      <c r="AO139" s="386">
        <f t="shared" ref="AO139:AO169" si="469">Q139*$E139</f>
        <v>0</v>
      </c>
      <c r="AP139" s="330">
        <f t="shared" ref="AP139:AP169" si="470">R139*$E139</f>
        <v>0</v>
      </c>
      <c r="AQ139" s="330">
        <f t="shared" ref="AQ139:AQ169" si="471">S139*$E139</f>
        <v>0</v>
      </c>
      <c r="AR139" s="330">
        <f t="shared" ref="AR139:AR169" si="472">T139*$E139</f>
        <v>0</v>
      </c>
      <c r="AS139" s="330">
        <f t="shared" ref="AS139:AS169" si="473">U139*$E139</f>
        <v>0</v>
      </c>
      <c r="AT139" s="330">
        <f t="shared" ref="AT139:AT169" si="474">V139*$E139</f>
        <v>0</v>
      </c>
      <c r="AU139" s="330">
        <f t="shared" ref="AU139:AU169" si="475">W139*$E139</f>
        <v>0</v>
      </c>
      <c r="AV139" s="330">
        <f t="shared" ref="AV139:AV169" si="476">X139*$E139</f>
        <v>0</v>
      </c>
      <c r="AW139" s="330">
        <f t="shared" ref="AW139:AW169" si="477">Y139*$E139</f>
        <v>0</v>
      </c>
      <c r="AX139" s="330">
        <f t="shared" ref="AX139:AZ141" si="478">Z139*$E139</f>
        <v>0</v>
      </c>
      <c r="AY139" s="330">
        <f t="shared" si="478"/>
        <v>0</v>
      </c>
      <c r="AZ139" s="330">
        <f t="shared" si="478"/>
        <v>0</v>
      </c>
      <c r="BA139" s="330"/>
      <c r="BB139" s="330">
        <f t="shared" ref="BB139:BK147" si="479">IF(BB$3=$F139,$E139,0)</f>
        <v>0</v>
      </c>
      <c r="BC139" s="330">
        <f t="shared" si="479"/>
        <v>0</v>
      </c>
      <c r="BD139" s="330">
        <f t="shared" si="479"/>
        <v>0</v>
      </c>
      <c r="BE139" s="330">
        <f t="shared" si="479"/>
        <v>0</v>
      </c>
      <c r="BF139" s="330">
        <f t="shared" si="479"/>
        <v>0</v>
      </c>
      <c r="BG139" s="330">
        <f t="shared" si="479"/>
        <v>0</v>
      </c>
      <c r="BH139" s="330">
        <f t="shared" si="479"/>
        <v>0</v>
      </c>
      <c r="BI139" s="330">
        <f t="shared" si="479"/>
        <v>203.63</v>
      </c>
      <c r="BJ139" s="330">
        <f t="shared" si="479"/>
        <v>0</v>
      </c>
      <c r="BK139" s="330">
        <f t="shared" si="479"/>
        <v>0</v>
      </c>
      <c r="BL139" s="330">
        <f t="shared" ref="BL139:BW147" si="480">IF(BL$3=$F139,$E139,0)</f>
        <v>0</v>
      </c>
      <c r="BM139" s="330">
        <f t="shared" si="480"/>
        <v>0</v>
      </c>
      <c r="BN139" s="330">
        <f t="shared" si="480"/>
        <v>0</v>
      </c>
      <c r="BO139" s="330">
        <f t="shared" si="480"/>
        <v>0</v>
      </c>
      <c r="BP139" s="330">
        <f t="shared" si="480"/>
        <v>0</v>
      </c>
      <c r="BQ139" s="330">
        <f t="shared" si="480"/>
        <v>0</v>
      </c>
      <c r="BR139" s="330">
        <f t="shared" si="480"/>
        <v>0</v>
      </c>
      <c r="BS139" s="330">
        <f t="shared" si="480"/>
        <v>0</v>
      </c>
      <c r="BT139" s="330">
        <f t="shared" si="480"/>
        <v>0</v>
      </c>
      <c r="BU139" s="330">
        <f t="shared" si="480"/>
        <v>0</v>
      </c>
      <c r="BV139" s="330">
        <f t="shared" si="480"/>
        <v>0</v>
      </c>
      <c r="BW139" s="330">
        <f t="shared" si="480"/>
        <v>0</v>
      </c>
      <c r="BX139" s="351">
        <f t="shared" si="444"/>
        <v>0</v>
      </c>
      <c r="BY139" s="378">
        <f t="shared" si="445"/>
        <v>0</v>
      </c>
      <c r="BZ139" s="378">
        <f t="shared" si="446"/>
        <v>0</v>
      </c>
    </row>
    <row r="140" spans="1:78" s="234" customFormat="1" ht="14.45" customHeight="1">
      <c r="A140" s="234" t="s">
        <v>136</v>
      </c>
      <c r="B140" s="234" t="s">
        <v>322</v>
      </c>
      <c r="C140" s="392"/>
      <c r="D140" s="328"/>
      <c r="E140" s="386">
        <v>179.46</v>
      </c>
      <c r="F140" s="328" t="s">
        <v>209</v>
      </c>
      <c r="G140" s="388"/>
      <c r="H140" s="388"/>
      <c r="I140" s="388"/>
      <c r="J140" s="388"/>
      <c r="K140" s="388"/>
      <c r="L140" s="329"/>
      <c r="M140" s="329">
        <v>0</v>
      </c>
      <c r="N140" s="329">
        <v>1</v>
      </c>
      <c r="O140" s="388"/>
      <c r="P140" s="388"/>
      <c r="Q140" s="388"/>
      <c r="R140" s="329">
        <v>0</v>
      </c>
      <c r="S140" s="329">
        <v>0</v>
      </c>
      <c r="T140" s="329">
        <v>0</v>
      </c>
      <c r="U140" s="329">
        <v>0</v>
      </c>
      <c r="V140" s="329"/>
      <c r="W140" s="329"/>
      <c r="X140" s="329"/>
      <c r="Y140" s="329"/>
      <c r="Z140" s="329"/>
      <c r="AA140" s="329"/>
      <c r="AB140" s="329"/>
      <c r="AC140" s="426">
        <f t="shared" si="308"/>
        <v>1</v>
      </c>
      <c r="AD140" s="328"/>
      <c r="AE140" s="330">
        <f t="shared" si="459"/>
        <v>0</v>
      </c>
      <c r="AF140" s="330">
        <f t="shared" si="460"/>
        <v>0</v>
      </c>
      <c r="AG140" s="330">
        <f t="shared" si="461"/>
        <v>0</v>
      </c>
      <c r="AH140" s="330">
        <f t="shared" si="462"/>
        <v>0</v>
      </c>
      <c r="AI140" s="330">
        <f t="shared" si="463"/>
        <v>0</v>
      </c>
      <c r="AJ140" s="386">
        <f t="shared" si="464"/>
        <v>0</v>
      </c>
      <c r="AK140" s="330">
        <f t="shared" si="465"/>
        <v>0</v>
      </c>
      <c r="AL140" s="386">
        <f t="shared" si="466"/>
        <v>179.46</v>
      </c>
      <c r="AM140" s="330">
        <f t="shared" si="467"/>
        <v>0</v>
      </c>
      <c r="AN140" s="330">
        <f t="shared" si="468"/>
        <v>0</v>
      </c>
      <c r="AO140" s="386">
        <f t="shared" si="469"/>
        <v>0</v>
      </c>
      <c r="AP140" s="330">
        <f t="shared" si="470"/>
        <v>0</v>
      </c>
      <c r="AQ140" s="330">
        <f t="shared" si="471"/>
        <v>0</v>
      </c>
      <c r="AR140" s="330">
        <f t="shared" si="472"/>
        <v>0</v>
      </c>
      <c r="AS140" s="330">
        <f t="shared" si="473"/>
        <v>0</v>
      </c>
      <c r="AT140" s="330">
        <f t="shared" si="474"/>
        <v>0</v>
      </c>
      <c r="AU140" s="330">
        <f t="shared" si="475"/>
        <v>0</v>
      </c>
      <c r="AV140" s="330">
        <f t="shared" si="476"/>
        <v>0</v>
      </c>
      <c r="AW140" s="330">
        <f t="shared" si="477"/>
        <v>0</v>
      </c>
      <c r="AX140" s="330">
        <f t="shared" si="478"/>
        <v>0</v>
      </c>
      <c r="AY140" s="330">
        <f t="shared" si="478"/>
        <v>0</v>
      </c>
      <c r="AZ140" s="330">
        <f t="shared" si="478"/>
        <v>0</v>
      </c>
      <c r="BA140" s="330"/>
      <c r="BB140" s="330">
        <f t="shared" si="479"/>
        <v>0</v>
      </c>
      <c r="BC140" s="330">
        <f t="shared" si="479"/>
        <v>0</v>
      </c>
      <c r="BD140" s="330">
        <f t="shared" si="479"/>
        <v>0</v>
      </c>
      <c r="BE140" s="330">
        <f t="shared" si="479"/>
        <v>0</v>
      </c>
      <c r="BF140" s="330">
        <f t="shared" si="479"/>
        <v>0</v>
      </c>
      <c r="BG140" s="330">
        <f t="shared" si="479"/>
        <v>0</v>
      </c>
      <c r="BH140" s="330">
        <f t="shared" si="479"/>
        <v>0</v>
      </c>
      <c r="BI140" s="330">
        <f t="shared" si="479"/>
        <v>179.46</v>
      </c>
      <c r="BJ140" s="330">
        <f t="shared" si="479"/>
        <v>0</v>
      </c>
      <c r="BK140" s="330">
        <f t="shared" si="479"/>
        <v>0</v>
      </c>
      <c r="BL140" s="330">
        <f t="shared" si="480"/>
        <v>0</v>
      </c>
      <c r="BM140" s="330">
        <f t="shared" si="480"/>
        <v>0</v>
      </c>
      <c r="BN140" s="330">
        <f t="shared" si="480"/>
        <v>0</v>
      </c>
      <c r="BO140" s="330">
        <f t="shared" si="480"/>
        <v>0</v>
      </c>
      <c r="BP140" s="330">
        <f t="shared" si="480"/>
        <v>0</v>
      </c>
      <c r="BQ140" s="330">
        <f t="shared" si="480"/>
        <v>0</v>
      </c>
      <c r="BR140" s="330">
        <f t="shared" si="480"/>
        <v>0</v>
      </c>
      <c r="BS140" s="330">
        <f t="shared" si="480"/>
        <v>0</v>
      </c>
      <c r="BT140" s="330">
        <f t="shared" si="480"/>
        <v>0</v>
      </c>
      <c r="BU140" s="330">
        <f t="shared" si="480"/>
        <v>0</v>
      </c>
      <c r="BV140" s="330">
        <f t="shared" si="480"/>
        <v>0</v>
      </c>
      <c r="BW140" s="330">
        <f t="shared" si="480"/>
        <v>0</v>
      </c>
      <c r="BX140" s="351">
        <f t="shared" si="444"/>
        <v>0</v>
      </c>
      <c r="BY140" s="378">
        <f t="shared" si="445"/>
        <v>0</v>
      </c>
      <c r="BZ140" s="378">
        <f t="shared" si="446"/>
        <v>0</v>
      </c>
    </row>
    <row r="141" spans="1:78" s="234" customFormat="1" ht="14.45" customHeight="1">
      <c r="A141" s="234" t="s">
        <v>133</v>
      </c>
      <c r="C141" s="392"/>
      <c r="D141" s="328"/>
      <c r="E141" s="386">
        <v>28000</v>
      </c>
      <c r="F141" s="328" t="s">
        <v>230</v>
      </c>
      <c r="G141" s="388"/>
      <c r="H141" s="388"/>
      <c r="I141" s="388"/>
      <c r="J141" s="388"/>
      <c r="K141" s="388"/>
      <c r="L141" s="388"/>
      <c r="M141" s="329">
        <v>0</v>
      </c>
      <c r="N141" s="329">
        <v>0</v>
      </c>
      <c r="O141" s="329">
        <v>0</v>
      </c>
      <c r="P141" s="329">
        <v>0</v>
      </c>
      <c r="Q141" s="329">
        <v>1</v>
      </c>
      <c r="R141" s="388"/>
      <c r="S141" s="388"/>
      <c r="T141" s="388"/>
      <c r="U141" s="388"/>
      <c r="V141" s="388"/>
      <c r="W141" s="388"/>
      <c r="X141" s="388"/>
      <c r="Y141" s="388"/>
      <c r="Z141" s="388"/>
      <c r="AA141" s="388"/>
      <c r="AB141" s="388"/>
      <c r="AC141" s="426">
        <f t="shared" si="308"/>
        <v>1</v>
      </c>
      <c r="AD141" s="328"/>
      <c r="AE141" s="330">
        <f t="shared" si="459"/>
        <v>0</v>
      </c>
      <c r="AF141" s="330">
        <f t="shared" si="460"/>
        <v>0</v>
      </c>
      <c r="AG141" s="330">
        <f t="shared" si="461"/>
        <v>0</v>
      </c>
      <c r="AH141" s="330">
        <f t="shared" si="462"/>
        <v>0</v>
      </c>
      <c r="AI141" s="330">
        <f t="shared" si="463"/>
        <v>0</v>
      </c>
      <c r="AJ141" s="386">
        <f t="shared" si="464"/>
        <v>0</v>
      </c>
      <c r="AK141" s="330">
        <f t="shared" si="465"/>
        <v>0</v>
      </c>
      <c r="AL141" s="386">
        <f t="shared" si="466"/>
        <v>0</v>
      </c>
      <c r="AM141" s="386">
        <f t="shared" si="467"/>
        <v>0</v>
      </c>
      <c r="AN141" s="330">
        <f t="shared" si="468"/>
        <v>0</v>
      </c>
      <c r="AO141" s="386">
        <f t="shared" si="469"/>
        <v>28000</v>
      </c>
      <c r="AP141" s="330">
        <f t="shared" si="470"/>
        <v>0</v>
      </c>
      <c r="AQ141" s="330">
        <f t="shared" si="471"/>
        <v>0</v>
      </c>
      <c r="AR141" s="330">
        <f t="shared" si="472"/>
        <v>0</v>
      </c>
      <c r="AS141" s="330">
        <f t="shared" si="473"/>
        <v>0</v>
      </c>
      <c r="AT141" s="330">
        <f t="shared" si="474"/>
        <v>0</v>
      </c>
      <c r="AU141" s="330">
        <f t="shared" si="475"/>
        <v>0</v>
      </c>
      <c r="AV141" s="330">
        <f t="shared" si="476"/>
        <v>0</v>
      </c>
      <c r="AW141" s="330">
        <f t="shared" si="477"/>
        <v>0</v>
      </c>
      <c r="AX141" s="330">
        <f t="shared" si="478"/>
        <v>0</v>
      </c>
      <c r="AY141" s="330">
        <f t="shared" si="478"/>
        <v>0</v>
      </c>
      <c r="AZ141" s="330">
        <f t="shared" si="478"/>
        <v>0</v>
      </c>
      <c r="BA141" s="330"/>
      <c r="BB141" s="330">
        <f t="shared" si="479"/>
        <v>0</v>
      </c>
      <c r="BC141" s="330">
        <f t="shared" si="479"/>
        <v>0</v>
      </c>
      <c r="BD141" s="330">
        <f t="shared" si="479"/>
        <v>0</v>
      </c>
      <c r="BE141" s="330">
        <f t="shared" si="479"/>
        <v>0</v>
      </c>
      <c r="BF141" s="330">
        <f t="shared" si="479"/>
        <v>0</v>
      </c>
      <c r="BG141" s="330">
        <f t="shared" si="479"/>
        <v>0</v>
      </c>
      <c r="BH141" s="330">
        <f t="shared" si="479"/>
        <v>0</v>
      </c>
      <c r="BI141" s="330">
        <f t="shared" si="479"/>
        <v>0</v>
      </c>
      <c r="BJ141" s="386">
        <f t="shared" si="479"/>
        <v>28000</v>
      </c>
      <c r="BK141" s="330">
        <f t="shared" si="479"/>
        <v>0</v>
      </c>
      <c r="BL141" s="330">
        <f t="shared" si="480"/>
        <v>0</v>
      </c>
      <c r="BM141" s="330">
        <f t="shared" si="480"/>
        <v>0</v>
      </c>
      <c r="BN141" s="330">
        <f t="shared" si="480"/>
        <v>0</v>
      </c>
      <c r="BO141" s="330">
        <f t="shared" si="480"/>
        <v>0</v>
      </c>
      <c r="BP141" s="330">
        <f t="shared" si="480"/>
        <v>0</v>
      </c>
      <c r="BQ141" s="330">
        <f t="shared" si="480"/>
        <v>0</v>
      </c>
      <c r="BR141" s="330">
        <f t="shared" si="480"/>
        <v>0</v>
      </c>
      <c r="BS141" s="330">
        <f t="shared" si="480"/>
        <v>0</v>
      </c>
      <c r="BT141" s="330">
        <f t="shared" si="480"/>
        <v>0</v>
      </c>
      <c r="BU141" s="330">
        <f t="shared" si="480"/>
        <v>0</v>
      </c>
      <c r="BV141" s="330">
        <f t="shared" si="480"/>
        <v>0</v>
      </c>
      <c r="BW141" s="330">
        <f t="shared" si="480"/>
        <v>0</v>
      </c>
      <c r="BX141" s="351">
        <f t="shared" si="444"/>
        <v>0</v>
      </c>
      <c r="BY141" s="378">
        <f t="shared" si="445"/>
        <v>0</v>
      </c>
      <c r="BZ141" s="378">
        <f t="shared" si="446"/>
        <v>0</v>
      </c>
    </row>
    <row r="142" spans="1:78" s="234" customFormat="1" ht="14.45" customHeight="1">
      <c r="A142" s="234" t="s">
        <v>136</v>
      </c>
      <c r="B142" s="234" t="s">
        <v>321</v>
      </c>
      <c r="C142" s="392"/>
      <c r="D142" s="328"/>
      <c r="E142" s="386">
        <f>6000-3990.93</f>
        <v>2009.0700000000002</v>
      </c>
      <c r="F142" s="328" t="s">
        <v>230</v>
      </c>
      <c r="G142" s="388"/>
      <c r="H142" s="388"/>
      <c r="I142" s="388"/>
      <c r="J142" s="388"/>
      <c r="K142" s="388"/>
      <c r="L142" s="329"/>
      <c r="M142" s="329">
        <v>0</v>
      </c>
      <c r="N142" s="329">
        <v>0</v>
      </c>
      <c r="O142" s="329">
        <v>0.42582886609227155</v>
      </c>
      <c r="P142" s="329">
        <v>0.57417113390772845</v>
      </c>
      <c r="Q142" s="329">
        <f>1-O142-P142</f>
        <v>0</v>
      </c>
      <c r="R142" s="329"/>
      <c r="S142" s="329">
        <v>0</v>
      </c>
      <c r="T142" s="329">
        <v>0</v>
      </c>
      <c r="U142" s="329">
        <v>0</v>
      </c>
      <c r="V142" s="329"/>
      <c r="W142" s="329"/>
      <c r="X142" s="329"/>
      <c r="Y142" s="329"/>
      <c r="Z142" s="329"/>
      <c r="AA142" s="329"/>
      <c r="AB142" s="329"/>
      <c r="AC142" s="426">
        <f t="shared" si="308"/>
        <v>1</v>
      </c>
      <c r="AD142" s="328"/>
      <c r="AE142" s="330">
        <f t="shared" si="459"/>
        <v>0</v>
      </c>
      <c r="AF142" s="330">
        <f t="shared" si="460"/>
        <v>0</v>
      </c>
      <c r="AG142" s="330">
        <f t="shared" si="461"/>
        <v>0</v>
      </c>
      <c r="AH142" s="330">
        <f t="shared" si="462"/>
        <v>0</v>
      </c>
      <c r="AI142" s="330">
        <f t="shared" si="463"/>
        <v>0</v>
      </c>
      <c r="AJ142" s="386">
        <f t="shared" si="464"/>
        <v>0</v>
      </c>
      <c r="AK142" s="330">
        <f t="shared" si="465"/>
        <v>0</v>
      </c>
      <c r="AL142" s="386">
        <f t="shared" si="466"/>
        <v>0</v>
      </c>
      <c r="AM142" s="386">
        <f t="shared" si="467"/>
        <v>855.5200000000001</v>
      </c>
      <c r="AN142" s="386">
        <f t="shared" si="468"/>
        <v>1153.5500000000002</v>
      </c>
      <c r="AO142" s="386">
        <f t="shared" si="469"/>
        <v>0</v>
      </c>
      <c r="AP142" s="330">
        <f t="shared" si="470"/>
        <v>0</v>
      </c>
      <c r="AQ142" s="330">
        <f t="shared" si="471"/>
        <v>0</v>
      </c>
      <c r="AR142" s="330">
        <f t="shared" si="472"/>
        <v>0</v>
      </c>
      <c r="AS142" s="330">
        <f t="shared" si="473"/>
        <v>0</v>
      </c>
      <c r="AT142" s="330">
        <f t="shared" si="474"/>
        <v>0</v>
      </c>
      <c r="AU142" s="330">
        <f t="shared" si="475"/>
        <v>0</v>
      </c>
      <c r="AV142" s="330">
        <f t="shared" si="476"/>
        <v>0</v>
      </c>
      <c r="AW142" s="330">
        <f t="shared" si="477"/>
        <v>0</v>
      </c>
      <c r="AX142" s="330">
        <f t="shared" ref="AX142:AX169" si="481">Z142*$E142</f>
        <v>0</v>
      </c>
      <c r="AY142" s="330">
        <f t="shared" ref="AY142:AZ169" si="482">AA142*$E142</f>
        <v>0</v>
      </c>
      <c r="AZ142" s="330">
        <f t="shared" ref="AZ142:AZ169" si="483">AB142*$E142</f>
        <v>0</v>
      </c>
      <c r="BA142" s="330"/>
      <c r="BB142" s="330">
        <f t="shared" si="479"/>
        <v>0</v>
      </c>
      <c r="BC142" s="330">
        <f t="shared" si="479"/>
        <v>0</v>
      </c>
      <c r="BD142" s="330">
        <f t="shared" si="479"/>
        <v>0</v>
      </c>
      <c r="BE142" s="330">
        <f t="shared" si="479"/>
        <v>0</v>
      </c>
      <c r="BF142" s="330">
        <f t="shared" si="479"/>
        <v>0</v>
      </c>
      <c r="BG142" s="330">
        <f t="shared" si="479"/>
        <v>0</v>
      </c>
      <c r="BH142" s="330">
        <f t="shared" si="479"/>
        <v>0</v>
      </c>
      <c r="BI142" s="330">
        <f t="shared" si="479"/>
        <v>0</v>
      </c>
      <c r="BJ142" s="330">
        <f t="shared" si="479"/>
        <v>2009.0700000000002</v>
      </c>
      <c r="BK142" s="330">
        <f t="shared" si="479"/>
        <v>0</v>
      </c>
      <c r="BL142" s="330">
        <f t="shared" si="480"/>
        <v>0</v>
      </c>
      <c r="BM142" s="330">
        <f t="shared" si="480"/>
        <v>0</v>
      </c>
      <c r="BN142" s="330">
        <f t="shared" si="480"/>
        <v>0</v>
      </c>
      <c r="BO142" s="330">
        <f t="shared" si="480"/>
        <v>0</v>
      </c>
      <c r="BP142" s="330">
        <f t="shared" si="480"/>
        <v>0</v>
      </c>
      <c r="BQ142" s="330">
        <f t="shared" si="480"/>
        <v>0</v>
      </c>
      <c r="BR142" s="330">
        <f t="shared" si="480"/>
        <v>0</v>
      </c>
      <c r="BS142" s="330">
        <f t="shared" si="480"/>
        <v>0</v>
      </c>
      <c r="BT142" s="330">
        <f t="shared" si="480"/>
        <v>0</v>
      </c>
      <c r="BU142" s="330">
        <f t="shared" si="480"/>
        <v>0</v>
      </c>
      <c r="BV142" s="330">
        <f t="shared" si="480"/>
        <v>0</v>
      </c>
      <c r="BW142" s="330">
        <f t="shared" si="480"/>
        <v>0</v>
      </c>
      <c r="BX142" s="351">
        <f t="shared" ref="BX142:BX169" si="484">SUM(AE142:AZ142)-SUM(BB142:BW142)</f>
        <v>0</v>
      </c>
      <c r="BY142" s="378">
        <f t="shared" ref="BY142:BY169" si="485">E142-SUM(BB142:BW142)</f>
        <v>0</v>
      </c>
      <c r="BZ142" s="378">
        <f t="shared" ref="BZ142:BZ169" si="486">+E142-SUM(AE142:AZ142)</f>
        <v>0</v>
      </c>
    </row>
    <row r="143" spans="1:78" s="234" customFormat="1" ht="14.45" customHeight="1">
      <c r="A143" s="234" t="s">
        <v>136</v>
      </c>
      <c r="C143" s="392"/>
      <c r="D143" s="328"/>
      <c r="E143" s="386">
        <f>535.18-28.08</f>
        <v>507.09999999999997</v>
      </c>
      <c r="F143" s="328" t="s">
        <v>230</v>
      </c>
      <c r="G143" s="388"/>
      <c r="H143" s="388"/>
      <c r="I143" s="388"/>
      <c r="J143" s="388"/>
      <c r="K143" s="388"/>
      <c r="L143" s="329"/>
      <c r="M143" s="329">
        <v>0</v>
      </c>
      <c r="N143" s="329">
        <v>0</v>
      </c>
      <c r="O143" s="329">
        <v>1</v>
      </c>
      <c r="P143" s="388"/>
      <c r="Q143" s="388"/>
      <c r="R143" s="329">
        <v>0</v>
      </c>
      <c r="S143" s="329">
        <v>0</v>
      </c>
      <c r="T143" s="329">
        <v>0</v>
      </c>
      <c r="U143" s="329">
        <v>0</v>
      </c>
      <c r="V143" s="329"/>
      <c r="W143" s="329"/>
      <c r="X143" s="329"/>
      <c r="Y143" s="329"/>
      <c r="Z143" s="329"/>
      <c r="AA143" s="329"/>
      <c r="AB143" s="329"/>
      <c r="AC143" s="426">
        <f t="shared" si="308"/>
        <v>1</v>
      </c>
      <c r="AD143" s="328"/>
      <c r="AE143" s="330">
        <f t="shared" si="459"/>
        <v>0</v>
      </c>
      <c r="AF143" s="330">
        <f t="shared" si="460"/>
        <v>0</v>
      </c>
      <c r="AG143" s="330">
        <f t="shared" si="461"/>
        <v>0</v>
      </c>
      <c r="AH143" s="330">
        <f t="shared" si="462"/>
        <v>0</v>
      </c>
      <c r="AI143" s="330">
        <f t="shared" si="463"/>
        <v>0</v>
      </c>
      <c r="AJ143" s="386">
        <f t="shared" si="464"/>
        <v>0</v>
      </c>
      <c r="AK143" s="330">
        <f t="shared" si="465"/>
        <v>0</v>
      </c>
      <c r="AL143" s="386">
        <f t="shared" si="466"/>
        <v>0</v>
      </c>
      <c r="AM143" s="386">
        <f t="shared" si="467"/>
        <v>507.09999999999997</v>
      </c>
      <c r="AN143" s="330">
        <f t="shared" si="468"/>
        <v>0</v>
      </c>
      <c r="AO143" s="386">
        <f t="shared" si="469"/>
        <v>0</v>
      </c>
      <c r="AP143" s="330">
        <f t="shared" si="470"/>
        <v>0</v>
      </c>
      <c r="AQ143" s="330">
        <f t="shared" si="471"/>
        <v>0</v>
      </c>
      <c r="AR143" s="330">
        <f t="shared" si="472"/>
        <v>0</v>
      </c>
      <c r="AS143" s="330">
        <f t="shared" si="473"/>
        <v>0</v>
      </c>
      <c r="AT143" s="330">
        <f t="shared" si="474"/>
        <v>0</v>
      </c>
      <c r="AU143" s="330">
        <f t="shared" si="475"/>
        <v>0</v>
      </c>
      <c r="AV143" s="330">
        <f t="shared" si="476"/>
        <v>0</v>
      </c>
      <c r="AW143" s="330">
        <f t="shared" si="477"/>
        <v>0</v>
      </c>
      <c r="AX143" s="330">
        <f t="shared" si="481"/>
        <v>0</v>
      </c>
      <c r="AY143" s="330">
        <f t="shared" si="482"/>
        <v>0</v>
      </c>
      <c r="AZ143" s="330">
        <f t="shared" si="483"/>
        <v>0</v>
      </c>
      <c r="BA143" s="330"/>
      <c r="BB143" s="330">
        <f t="shared" si="479"/>
        <v>0</v>
      </c>
      <c r="BC143" s="330">
        <f t="shared" si="479"/>
        <v>0</v>
      </c>
      <c r="BD143" s="330">
        <f t="shared" si="479"/>
        <v>0</v>
      </c>
      <c r="BE143" s="330">
        <f t="shared" si="479"/>
        <v>0</v>
      </c>
      <c r="BF143" s="330">
        <f t="shared" si="479"/>
        <v>0</v>
      </c>
      <c r="BG143" s="330">
        <f t="shared" si="479"/>
        <v>0</v>
      </c>
      <c r="BH143" s="330">
        <f t="shared" si="479"/>
        <v>0</v>
      </c>
      <c r="BI143" s="330">
        <f t="shared" si="479"/>
        <v>0</v>
      </c>
      <c r="BJ143" s="386">
        <f t="shared" si="479"/>
        <v>507.09999999999997</v>
      </c>
      <c r="BK143" s="330">
        <f t="shared" si="479"/>
        <v>0</v>
      </c>
      <c r="BL143" s="330">
        <f t="shared" si="480"/>
        <v>0</v>
      </c>
      <c r="BM143" s="330">
        <f t="shared" si="480"/>
        <v>0</v>
      </c>
      <c r="BN143" s="330">
        <f t="shared" si="480"/>
        <v>0</v>
      </c>
      <c r="BO143" s="330">
        <f t="shared" si="480"/>
        <v>0</v>
      </c>
      <c r="BP143" s="330">
        <f t="shared" si="480"/>
        <v>0</v>
      </c>
      <c r="BQ143" s="330">
        <f t="shared" si="480"/>
        <v>0</v>
      </c>
      <c r="BR143" s="330">
        <f t="shared" si="480"/>
        <v>0</v>
      </c>
      <c r="BS143" s="330">
        <f t="shared" si="480"/>
        <v>0</v>
      </c>
      <c r="BT143" s="330">
        <f t="shared" si="480"/>
        <v>0</v>
      </c>
      <c r="BU143" s="330">
        <f t="shared" si="480"/>
        <v>0</v>
      </c>
      <c r="BV143" s="330">
        <f t="shared" si="480"/>
        <v>0</v>
      </c>
      <c r="BW143" s="330">
        <f t="shared" si="480"/>
        <v>0</v>
      </c>
      <c r="BX143" s="351">
        <f t="shared" si="484"/>
        <v>0</v>
      </c>
      <c r="BY143" s="378">
        <f t="shared" si="485"/>
        <v>0</v>
      </c>
      <c r="BZ143" s="378">
        <f t="shared" si="486"/>
        <v>0</v>
      </c>
    </row>
    <row r="144" spans="1:78" s="234" customFormat="1" ht="14.45" customHeight="1">
      <c r="A144" s="234" t="s">
        <v>133</v>
      </c>
      <c r="C144" s="392"/>
      <c r="D144" s="328"/>
      <c r="E144" s="386">
        <v>56.05</v>
      </c>
      <c r="F144" s="328" t="s">
        <v>230</v>
      </c>
      <c r="G144" s="388"/>
      <c r="H144" s="388"/>
      <c r="I144" s="388"/>
      <c r="J144" s="388"/>
      <c r="K144" s="388"/>
      <c r="L144" s="329"/>
      <c r="M144" s="329">
        <v>0</v>
      </c>
      <c r="N144" s="329">
        <v>0</v>
      </c>
      <c r="O144" s="329">
        <v>1</v>
      </c>
      <c r="P144" s="388"/>
      <c r="Q144" s="388"/>
      <c r="R144" s="329">
        <v>0</v>
      </c>
      <c r="S144" s="329">
        <v>0</v>
      </c>
      <c r="T144" s="329">
        <v>0</v>
      </c>
      <c r="U144" s="329">
        <v>0</v>
      </c>
      <c r="V144" s="329"/>
      <c r="W144" s="329"/>
      <c r="X144" s="329"/>
      <c r="Y144" s="329"/>
      <c r="Z144" s="329"/>
      <c r="AA144" s="329"/>
      <c r="AB144" s="329"/>
      <c r="AC144" s="426">
        <f t="shared" si="308"/>
        <v>1</v>
      </c>
      <c r="AD144" s="328"/>
      <c r="AE144" s="330">
        <f t="shared" si="459"/>
        <v>0</v>
      </c>
      <c r="AF144" s="330">
        <f t="shared" si="460"/>
        <v>0</v>
      </c>
      <c r="AG144" s="330">
        <f t="shared" si="461"/>
        <v>0</v>
      </c>
      <c r="AH144" s="330">
        <f t="shared" si="462"/>
        <v>0</v>
      </c>
      <c r="AI144" s="330">
        <f t="shared" si="463"/>
        <v>0</v>
      </c>
      <c r="AJ144" s="386">
        <f t="shared" si="464"/>
        <v>0</v>
      </c>
      <c r="AK144" s="330">
        <f t="shared" si="465"/>
        <v>0</v>
      </c>
      <c r="AL144" s="386">
        <f t="shared" si="466"/>
        <v>0</v>
      </c>
      <c r="AM144" s="386">
        <f t="shared" si="467"/>
        <v>56.05</v>
      </c>
      <c r="AN144" s="330">
        <f t="shared" si="468"/>
        <v>0</v>
      </c>
      <c r="AO144" s="386">
        <f t="shared" si="469"/>
        <v>0</v>
      </c>
      <c r="AP144" s="330">
        <f t="shared" si="470"/>
        <v>0</v>
      </c>
      <c r="AQ144" s="330">
        <f t="shared" si="471"/>
        <v>0</v>
      </c>
      <c r="AR144" s="330">
        <f t="shared" si="472"/>
        <v>0</v>
      </c>
      <c r="AS144" s="330">
        <f t="shared" si="473"/>
        <v>0</v>
      </c>
      <c r="AT144" s="330">
        <f t="shared" si="474"/>
        <v>0</v>
      </c>
      <c r="AU144" s="330">
        <f t="shared" si="475"/>
        <v>0</v>
      </c>
      <c r="AV144" s="330">
        <f t="shared" si="476"/>
        <v>0</v>
      </c>
      <c r="AW144" s="330">
        <f t="shared" si="477"/>
        <v>0</v>
      </c>
      <c r="AX144" s="330">
        <f t="shared" si="481"/>
        <v>0</v>
      </c>
      <c r="AY144" s="330">
        <f t="shared" si="482"/>
        <v>0</v>
      </c>
      <c r="AZ144" s="330">
        <f t="shared" si="483"/>
        <v>0</v>
      </c>
      <c r="BA144" s="330"/>
      <c r="BB144" s="330">
        <f t="shared" si="479"/>
        <v>0</v>
      </c>
      <c r="BC144" s="330">
        <f t="shared" si="479"/>
        <v>0</v>
      </c>
      <c r="BD144" s="330">
        <f t="shared" si="479"/>
        <v>0</v>
      </c>
      <c r="BE144" s="330">
        <f t="shared" si="479"/>
        <v>0</v>
      </c>
      <c r="BF144" s="330">
        <f t="shared" si="479"/>
        <v>0</v>
      </c>
      <c r="BG144" s="330">
        <f t="shared" si="479"/>
        <v>0</v>
      </c>
      <c r="BH144" s="330">
        <f t="shared" si="479"/>
        <v>0</v>
      </c>
      <c r="BI144" s="330">
        <f t="shared" si="479"/>
        <v>0</v>
      </c>
      <c r="BJ144" s="386">
        <f t="shared" si="479"/>
        <v>56.05</v>
      </c>
      <c r="BK144" s="330">
        <f t="shared" si="479"/>
        <v>0</v>
      </c>
      <c r="BL144" s="330">
        <f t="shared" si="480"/>
        <v>0</v>
      </c>
      <c r="BM144" s="330">
        <f t="shared" si="480"/>
        <v>0</v>
      </c>
      <c r="BN144" s="330">
        <f t="shared" si="480"/>
        <v>0</v>
      </c>
      <c r="BO144" s="330">
        <f t="shared" si="480"/>
        <v>0</v>
      </c>
      <c r="BP144" s="330">
        <f t="shared" si="480"/>
        <v>0</v>
      </c>
      <c r="BQ144" s="330">
        <f t="shared" si="480"/>
        <v>0</v>
      </c>
      <c r="BR144" s="330">
        <f t="shared" si="480"/>
        <v>0</v>
      </c>
      <c r="BS144" s="330">
        <f t="shared" si="480"/>
        <v>0</v>
      </c>
      <c r="BT144" s="330">
        <f t="shared" si="480"/>
        <v>0</v>
      </c>
      <c r="BU144" s="330">
        <f t="shared" si="480"/>
        <v>0</v>
      </c>
      <c r="BV144" s="330">
        <f t="shared" si="480"/>
        <v>0</v>
      </c>
      <c r="BW144" s="330">
        <f t="shared" si="480"/>
        <v>0</v>
      </c>
      <c r="BX144" s="351">
        <f t="shared" si="484"/>
        <v>0</v>
      </c>
      <c r="BY144" s="378">
        <f t="shared" si="485"/>
        <v>0</v>
      </c>
      <c r="BZ144" s="378">
        <f t="shared" si="486"/>
        <v>0</v>
      </c>
    </row>
    <row r="145" spans="1:78" s="234" customFormat="1" ht="14.45" customHeight="1">
      <c r="A145" s="234" t="s">
        <v>136</v>
      </c>
      <c r="C145" s="392"/>
      <c r="D145" s="328"/>
      <c r="E145" s="386">
        <v>2713.73</v>
      </c>
      <c r="F145" s="328" t="s">
        <v>229</v>
      </c>
      <c r="G145" s="388"/>
      <c r="H145" s="388"/>
      <c r="I145" s="388"/>
      <c r="J145" s="388"/>
      <c r="K145" s="388"/>
      <c r="L145" s="329"/>
      <c r="M145" s="329">
        <v>0</v>
      </c>
      <c r="N145" s="329">
        <v>0</v>
      </c>
      <c r="O145" s="329">
        <v>0</v>
      </c>
      <c r="P145" s="329">
        <v>1</v>
      </c>
      <c r="Q145" s="388"/>
      <c r="R145" s="329">
        <v>0</v>
      </c>
      <c r="S145" s="329">
        <v>0</v>
      </c>
      <c r="T145" s="329">
        <v>0</v>
      </c>
      <c r="U145" s="329">
        <v>0</v>
      </c>
      <c r="V145" s="329"/>
      <c r="W145" s="329"/>
      <c r="X145" s="329"/>
      <c r="Y145" s="329"/>
      <c r="Z145" s="329"/>
      <c r="AA145" s="329"/>
      <c r="AB145" s="329"/>
      <c r="AC145" s="426">
        <f t="shared" si="308"/>
        <v>1</v>
      </c>
      <c r="AD145" s="328"/>
      <c r="AE145" s="330">
        <f t="shared" si="459"/>
        <v>0</v>
      </c>
      <c r="AF145" s="330">
        <f t="shared" si="460"/>
        <v>0</v>
      </c>
      <c r="AG145" s="330">
        <f t="shared" si="461"/>
        <v>0</v>
      </c>
      <c r="AH145" s="330">
        <f t="shared" si="462"/>
        <v>0</v>
      </c>
      <c r="AI145" s="330">
        <f t="shared" si="463"/>
        <v>0</v>
      </c>
      <c r="AJ145" s="386">
        <f t="shared" si="464"/>
        <v>0</v>
      </c>
      <c r="AK145" s="330">
        <f t="shared" si="465"/>
        <v>0</v>
      </c>
      <c r="AL145" s="386">
        <f t="shared" si="466"/>
        <v>0</v>
      </c>
      <c r="AM145" s="386">
        <f t="shared" si="467"/>
        <v>0</v>
      </c>
      <c r="AN145" s="330">
        <f t="shared" si="468"/>
        <v>2713.73</v>
      </c>
      <c r="AO145" s="386">
        <f t="shared" si="469"/>
        <v>0</v>
      </c>
      <c r="AP145" s="330">
        <f t="shared" si="470"/>
        <v>0</v>
      </c>
      <c r="AQ145" s="330">
        <f t="shared" si="471"/>
        <v>0</v>
      </c>
      <c r="AR145" s="330">
        <f t="shared" si="472"/>
        <v>0</v>
      </c>
      <c r="AS145" s="330">
        <f t="shared" si="473"/>
        <v>0</v>
      </c>
      <c r="AT145" s="330">
        <f t="shared" si="474"/>
        <v>0</v>
      </c>
      <c r="AU145" s="330">
        <f t="shared" si="475"/>
        <v>0</v>
      </c>
      <c r="AV145" s="330">
        <f t="shared" si="476"/>
        <v>0</v>
      </c>
      <c r="AW145" s="330">
        <f t="shared" si="477"/>
        <v>0</v>
      </c>
      <c r="AX145" s="330">
        <f t="shared" si="481"/>
        <v>0</v>
      </c>
      <c r="AY145" s="330">
        <f t="shared" si="482"/>
        <v>0</v>
      </c>
      <c r="AZ145" s="330">
        <f t="shared" si="483"/>
        <v>0</v>
      </c>
      <c r="BA145" s="330"/>
      <c r="BB145" s="330">
        <f t="shared" si="479"/>
        <v>0</v>
      </c>
      <c r="BC145" s="330">
        <f t="shared" si="479"/>
        <v>0</v>
      </c>
      <c r="BD145" s="330">
        <f t="shared" si="479"/>
        <v>0</v>
      </c>
      <c r="BE145" s="330">
        <f t="shared" si="479"/>
        <v>0</v>
      </c>
      <c r="BF145" s="330">
        <f t="shared" si="479"/>
        <v>0</v>
      </c>
      <c r="BG145" s="330">
        <f t="shared" si="479"/>
        <v>0</v>
      </c>
      <c r="BH145" s="330">
        <f t="shared" si="479"/>
        <v>0</v>
      </c>
      <c r="BI145" s="330">
        <f t="shared" si="479"/>
        <v>0</v>
      </c>
      <c r="BJ145" s="386">
        <f t="shared" si="479"/>
        <v>0</v>
      </c>
      <c r="BK145" s="330">
        <f t="shared" si="479"/>
        <v>2713.73</v>
      </c>
      <c r="BL145" s="330">
        <f t="shared" si="480"/>
        <v>0</v>
      </c>
      <c r="BM145" s="330">
        <f t="shared" si="480"/>
        <v>0</v>
      </c>
      <c r="BN145" s="330">
        <f t="shared" si="480"/>
        <v>0</v>
      </c>
      <c r="BO145" s="330">
        <f t="shared" si="480"/>
        <v>0</v>
      </c>
      <c r="BP145" s="330">
        <f t="shared" si="480"/>
        <v>0</v>
      </c>
      <c r="BQ145" s="330">
        <f t="shared" si="480"/>
        <v>0</v>
      </c>
      <c r="BR145" s="330">
        <f t="shared" si="480"/>
        <v>0</v>
      </c>
      <c r="BS145" s="330">
        <f t="shared" si="480"/>
        <v>0</v>
      </c>
      <c r="BT145" s="330">
        <f t="shared" si="480"/>
        <v>0</v>
      </c>
      <c r="BU145" s="330">
        <f t="shared" si="480"/>
        <v>0</v>
      </c>
      <c r="BV145" s="330">
        <f t="shared" si="480"/>
        <v>0</v>
      </c>
      <c r="BW145" s="330">
        <f t="shared" si="480"/>
        <v>0</v>
      </c>
      <c r="BX145" s="351">
        <f t="shared" si="484"/>
        <v>0</v>
      </c>
      <c r="BY145" s="378">
        <f t="shared" si="485"/>
        <v>0</v>
      </c>
      <c r="BZ145" s="378">
        <f t="shared" si="486"/>
        <v>0</v>
      </c>
    </row>
    <row r="146" spans="1:78" s="234" customFormat="1" ht="14.45" customHeight="1">
      <c r="A146" s="234" t="s">
        <v>133</v>
      </c>
      <c r="B146" s="234" t="s">
        <v>314</v>
      </c>
      <c r="C146" s="392"/>
      <c r="D146" s="328"/>
      <c r="E146" s="386">
        <v>21980.11</v>
      </c>
      <c r="F146" s="328" t="s">
        <v>239</v>
      </c>
      <c r="G146" s="388"/>
      <c r="H146" s="388"/>
      <c r="I146" s="388"/>
      <c r="J146" s="388"/>
      <c r="K146" s="388"/>
      <c r="L146" s="329"/>
      <c r="M146" s="329">
        <v>0</v>
      </c>
      <c r="N146" s="329">
        <v>0</v>
      </c>
      <c r="O146" s="329">
        <v>0</v>
      </c>
      <c r="P146" s="329">
        <v>0</v>
      </c>
      <c r="Q146" s="329">
        <v>0</v>
      </c>
      <c r="R146" s="329">
        <v>0.50625770298692774</v>
      </c>
      <c r="S146" s="329">
        <v>0</v>
      </c>
      <c r="T146" s="329">
        <v>0.40353528713004622</v>
      </c>
      <c r="U146" s="329">
        <v>9.020700988302606E-2</v>
      </c>
      <c r="V146" s="329">
        <v>0</v>
      </c>
      <c r="W146" s="329">
        <f>1-(R146+S146+T146+U146+V146)</f>
        <v>0</v>
      </c>
      <c r="X146" s="329"/>
      <c r="Y146" s="329"/>
      <c r="Z146" s="329"/>
      <c r="AA146" s="329"/>
      <c r="AB146" s="329"/>
      <c r="AC146" s="426">
        <f t="shared" si="308"/>
        <v>1</v>
      </c>
      <c r="AD146" s="328"/>
      <c r="AE146" s="330">
        <f t="shared" si="459"/>
        <v>0</v>
      </c>
      <c r="AF146" s="330">
        <f t="shared" si="460"/>
        <v>0</v>
      </c>
      <c r="AG146" s="330">
        <f t="shared" si="461"/>
        <v>0</v>
      </c>
      <c r="AH146" s="330">
        <f t="shared" si="462"/>
        <v>0</v>
      </c>
      <c r="AI146" s="330">
        <f t="shared" si="463"/>
        <v>0</v>
      </c>
      <c r="AJ146" s="386">
        <f t="shared" si="464"/>
        <v>0</v>
      </c>
      <c r="AK146" s="330">
        <f t="shared" si="465"/>
        <v>0</v>
      </c>
      <c r="AL146" s="386">
        <f t="shared" si="466"/>
        <v>0</v>
      </c>
      <c r="AM146" s="330">
        <f t="shared" si="467"/>
        <v>0</v>
      </c>
      <c r="AN146" s="330">
        <f t="shared" si="468"/>
        <v>0</v>
      </c>
      <c r="AO146" s="386">
        <f t="shared" si="469"/>
        <v>0</v>
      </c>
      <c r="AP146" s="326">
        <f t="shared" si="470"/>
        <v>11127.6</v>
      </c>
      <c r="AQ146" s="330">
        <f t="shared" si="471"/>
        <v>0</v>
      </c>
      <c r="AR146" s="326">
        <f t="shared" si="472"/>
        <v>8869.75</v>
      </c>
      <c r="AS146" s="330">
        <f t="shared" si="473"/>
        <v>1982.76</v>
      </c>
      <c r="AT146" s="330">
        <f t="shared" si="474"/>
        <v>0</v>
      </c>
      <c r="AU146" s="330">
        <f t="shared" si="475"/>
        <v>0</v>
      </c>
      <c r="AV146" s="330">
        <f t="shared" si="476"/>
        <v>0</v>
      </c>
      <c r="AW146" s="330">
        <f t="shared" si="477"/>
        <v>0</v>
      </c>
      <c r="AX146" s="330">
        <f t="shared" si="481"/>
        <v>0</v>
      </c>
      <c r="AY146" s="330">
        <f t="shared" si="482"/>
        <v>0</v>
      </c>
      <c r="AZ146" s="330">
        <f t="shared" si="483"/>
        <v>0</v>
      </c>
      <c r="BA146" s="330"/>
      <c r="BB146" s="330">
        <f t="shared" si="479"/>
        <v>0</v>
      </c>
      <c r="BC146" s="330">
        <f t="shared" si="479"/>
        <v>0</v>
      </c>
      <c r="BD146" s="330">
        <f t="shared" si="479"/>
        <v>0</v>
      </c>
      <c r="BE146" s="330">
        <f t="shared" si="479"/>
        <v>0</v>
      </c>
      <c r="BF146" s="330">
        <f t="shared" si="479"/>
        <v>0</v>
      </c>
      <c r="BG146" s="330">
        <f t="shared" si="479"/>
        <v>0</v>
      </c>
      <c r="BH146" s="330">
        <f t="shared" si="479"/>
        <v>0</v>
      </c>
      <c r="BI146" s="330">
        <f t="shared" si="479"/>
        <v>0</v>
      </c>
      <c r="BJ146" s="330">
        <f t="shared" si="479"/>
        <v>0</v>
      </c>
      <c r="BK146" s="330">
        <f t="shared" si="479"/>
        <v>0</v>
      </c>
      <c r="BL146" s="330">
        <v>50000</v>
      </c>
      <c r="BM146" s="330">
        <f t="shared" si="480"/>
        <v>0</v>
      </c>
      <c r="BN146" s="330">
        <f t="shared" si="480"/>
        <v>0</v>
      </c>
      <c r="BO146" s="330">
        <f t="shared" si="480"/>
        <v>0</v>
      </c>
      <c r="BP146" s="330">
        <v>-21980.11</v>
      </c>
      <c r="BQ146" s="330">
        <v>-6039.78</v>
      </c>
      <c r="BR146" s="330">
        <f t="shared" si="480"/>
        <v>0</v>
      </c>
      <c r="BS146" s="330">
        <f t="shared" si="480"/>
        <v>0</v>
      </c>
      <c r="BT146" s="330">
        <f t="shared" si="480"/>
        <v>0</v>
      </c>
      <c r="BU146" s="330">
        <f t="shared" si="480"/>
        <v>0</v>
      </c>
      <c r="BV146" s="330">
        <f t="shared" si="480"/>
        <v>0</v>
      </c>
      <c r="BW146" s="330">
        <f t="shared" si="480"/>
        <v>0</v>
      </c>
      <c r="BX146" s="351">
        <f t="shared" si="484"/>
        <v>0</v>
      </c>
      <c r="BY146" s="378">
        <f t="shared" si="485"/>
        <v>0</v>
      </c>
      <c r="BZ146" s="378">
        <f t="shared" si="486"/>
        <v>0</v>
      </c>
    </row>
    <row r="147" spans="1:78" s="234" customFormat="1" ht="14.25" customHeight="1">
      <c r="A147" s="234" t="s">
        <v>133</v>
      </c>
      <c r="B147" s="234" t="s">
        <v>316</v>
      </c>
      <c r="C147" s="392"/>
      <c r="D147" s="328"/>
      <c r="E147" s="386">
        <v>12335.19</v>
      </c>
      <c r="F147" s="328" t="s">
        <v>239</v>
      </c>
      <c r="G147" s="388"/>
      <c r="H147" s="388"/>
      <c r="I147" s="388"/>
      <c r="J147" s="388"/>
      <c r="K147" s="388"/>
      <c r="L147" s="329"/>
      <c r="M147" s="329">
        <v>0</v>
      </c>
      <c r="N147" s="329">
        <v>0</v>
      </c>
      <c r="O147" s="329">
        <v>0</v>
      </c>
      <c r="P147" s="329">
        <v>0</v>
      </c>
      <c r="Q147" s="329">
        <v>0</v>
      </c>
      <c r="R147" s="329">
        <v>1</v>
      </c>
      <c r="S147" s="329">
        <v>0</v>
      </c>
      <c r="T147" s="329">
        <v>0</v>
      </c>
      <c r="U147" s="329">
        <v>0</v>
      </c>
      <c r="V147" s="329">
        <v>0</v>
      </c>
      <c r="W147" s="329">
        <v>0</v>
      </c>
      <c r="X147" s="329">
        <v>0</v>
      </c>
      <c r="Y147" s="329">
        <v>0</v>
      </c>
      <c r="Z147" s="329"/>
      <c r="AA147" s="329"/>
      <c r="AB147" s="329"/>
      <c r="AC147" s="426">
        <f t="shared" si="308"/>
        <v>1</v>
      </c>
      <c r="AD147" s="328"/>
      <c r="AE147" s="330">
        <f t="shared" si="459"/>
        <v>0</v>
      </c>
      <c r="AF147" s="330">
        <f t="shared" si="460"/>
        <v>0</v>
      </c>
      <c r="AG147" s="330">
        <f t="shared" si="461"/>
        <v>0</v>
      </c>
      <c r="AH147" s="330">
        <f t="shared" si="462"/>
        <v>0</v>
      </c>
      <c r="AI147" s="330">
        <f t="shared" si="463"/>
        <v>0</v>
      </c>
      <c r="AJ147" s="386">
        <f t="shared" si="464"/>
        <v>0</v>
      </c>
      <c r="AK147" s="330">
        <f t="shared" si="465"/>
        <v>0</v>
      </c>
      <c r="AL147" s="386">
        <f t="shared" si="466"/>
        <v>0</v>
      </c>
      <c r="AM147" s="330">
        <f t="shared" si="467"/>
        <v>0</v>
      </c>
      <c r="AN147" s="330">
        <f t="shared" si="468"/>
        <v>0</v>
      </c>
      <c r="AO147" s="386">
        <f t="shared" si="469"/>
        <v>0</v>
      </c>
      <c r="AP147" s="326">
        <f t="shared" si="470"/>
        <v>12335.19</v>
      </c>
      <c r="AQ147" s="330">
        <f t="shared" si="471"/>
        <v>0</v>
      </c>
      <c r="AR147" s="330">
        <f t="shared" si="472"/>
        <v>0</v>
      </c>
      <c r="AS147" s="330">
        <f t="shared" si="473"/>
        <v>0</v>
      </c>
      <c r="AT147" s="330">
        <f t="shared" si="474"/>
        <v>0</v>
      </c>
      <c r="AU147" s="330">
        <f t="shared" si="475"/>
        <v>0</v>
      </c>
      <c r="AV147" s="330">
        <f t="shared" si="476"/>
        <v>0</v>
      </c>
      <c r="AW147" s="326">
        <f t="shared" si="477"/>
        <v>0</v>
      </c>
      <c r="AX147" s="326">
        <f t="shared" si="481"/>
        <v>0</v>
      </c>
      <c r="AY147" s="326">
        <f t="shared" si="482"/>
        <v>0</v>
      </c>
      <c r="AZ147" s="326">
        <f t="shared" si="483"/>
        <v>0</v>
      </c>
      <c r="BA147" s="330"/>
      <c r="BB147" s="330">
        <f t="shared" si="479"/>
        <v>0</v>
      </c>
      <c r="BC147" s="330">
        <f t="shared" si="479"/>
        <v>0</v>
      </c>
      <c r="BD147" s="330">
        <f t="shared" si="479"/>
        <v>0</v>
      </c>
      <c r="BE147" s="330">
        <f t="shared" si="479"/>
        <v>0</v>
      </c>
      <c r="BF147" s="330">
        <f t="shared" si="479"/>
        <v>0</v>
      </c>
      <c r="BG147" s="330">
        <f t="shared" si="479"/>
        <v>0</v>
      </c>
      <c r="BH147" s="330">
        <f t="shared" si="479"/>
        <v>0</v>
      </c>
      <c r="BI147" s="330">
        <f t="shared" si="479"/>
        <v>0</v>
      </c>
      <c r="BJ147" s="330">
        <f t="shared" si="479"/>
        <v>0</v>
      </c>
      <c r="BK147" s="330">
        <f t="shared" si="479"/>
        <v>0</v>
      </c>
      <c r="BL147" s="330">
        <v>80000</v>
      </c>
      <c r="BM147" s="330">
        <f t="shared" si="480"/>
        <v>0</v>
      </c>
      <c r="BN147" s="330">
        <f t="shared" si="480"/>
        <v>0</v>
      </c>
      <c r="BO147" s="330">
        <f t="shared" si="480"/>
        <v>0</v>
      </c>
      <c r="BP147" s="330">
        <v>-67664.81</v>
      </c>
      <c r="BQ147" s="330">
        <f t="shared" si="480"/>
        <v>0</v>
      </c>
      <c r="BR147" s="330">
        <f t="shared" si="480"/>
        <v>0</v>
      </c>
      <c r="BS147" s="330">
        <f t="shared" si="480"/>
        <v>0</v>
      </c>
      <c r="BT147" s="330">
        <f t="shared" si="480"/>
        <v>0</v>
      </c>
      <c r="BU147" s="330">
        <f t="shared" si="480"/>
        <v>0</v>
      </c>
      <c r="BV147" s="330">
        <f t="shared" si="480"/>
        <v>0</v>
      </c>
      <c r="BW147" s="330">
        <f t="shared" si="480"/>
        <v>0</v>
      </c>
      <c r="BX147" s="351">
        <f t="shared" si="484"/>
        <v>0</v>
      </c>
      <c r="BY147" s="378">
        <f t="shared" si="485"/>
        <v>0</v>
      </c>
      <c r="BZ147" s="378">
        <f t="shared" si="486"/>
        <v>0</v>
      </c>
    </row>
    <row r="148" spans="1:78" s="234" customFormat="1" ht="14.45" customHeight="1">
      <c r="A148" s="234" t="s">
        <v>133</v>
      </c>
      <c r="B148" s="234" t="s">
        <v>287</v>
      </c>
      <c r="C148" s="392"/>
      <c r="D148" s="328"/>
      <c r="E148" s="386">
        <v>37492.960000000006</v>
      </c>
      <c r="F148" s="328" t="s">
        <v>241</v>
      </c>
      <c r="G148" s="385"/>
      <c r="H148" s="385"/>
      <c r="I148" s="385"/>
      <c r="J148" s="385">
        <v>0</v>
      </c>
      <c r="K148" s="385">
        <v>0</v>
      </c>
      <c r="L148" s="385">
        <v>0</v>
      </c>
      <c r="M148" s="385">
        <v>0</v>
      </c>
      <c r="N148" s="385">
        <v>0</v>
      </c>
      <c r="O148" s="385">
        <v>0</v>
      </c>
      <c r="P148" s="385">
        <v>0</v>
      </c>
      <c r="Q148" s="385">
        <v>0</v>
      </c>
      <c r="R148" s="385">
        <v>0</v>
      </c>
      <c r="S148" s="385">
        <v>0</v>
      </c>
      <c r="T148" s="385">
        <v>0.15875833756523894</v>
      </c>
      <c r="U148" s="385">
        <v>0.17926778787271</v>
      </c>
      <c r="V148" s="385">
        <v>0.18534466203788655</v>
      </c>
      <c r="W148" s="385">
        <v>0.20931502874139574</v>
      </c>
      <c r="X148" s="385">
        <v>0.21050991972893046</v>
      </c>
      <c r="Y148" s="385">
        <v>5.6804264053838378E-2</v>
      </c>
      <c r="Z148" s="385"/>
      <c r="AA148" s="385"/>
      <c r="AB148" s="385"/>
      <c r="AC148" s="426">
        <f t="shared" si="308"/>
        <v>1.0000000000000002</v>
      </c>
      <c r="AD148" s="328"/>
      <c r="AE148" s="330">
        <f t="shared" si="459"/>
        <v>0</v>
      </c>
      <c r="AF148" s="330">
        <f t="shared" si="460"/>
        <v>0</v>
      </c>
      <c r="AG148" s="330">
        <f t="shared" si="461"/>
        <v>0</v>
      </c>
      <c r="AH148" s="330">
        <f t="shared" si="462"/>
        <v>0</v>
      </c>
      <c r="AI148" s="330">
        <f t="shared" si="463"/>
        <v>0</v>
      </c>
      <c r="AJ148" s="386">
        <f t="shared" si="464"/>
        <v>0</v>
      </c>
      <c r="AK148" s="330">
        <f t="shared" si="465"/>
        <v>0</v>
      </c>
      <c r="AL148" s="386">
        <f t="shared" si="466"/>
        <v>0</v>
      </c>
      <c r="AM148" s="386">
        <f t="shared" si="467"/>
        <v>0</v>
      </c>
      <c r="AN148" s="330">
        <f t="shared" si="468"/>
        <v>0</v>
      </c>
      <c r="AO148" s="386">
        <f t="shared" si="469"/>
        <v>0</v>
      </c>
      <c r="AP148" s="326">
        <f t="shared" si="470"/>
        <v>0</v>
      </c>
      <c r="AQ148" s="326">
        <f t="shared" si="471"/>
        <v>0</v>
      </c>
      <c r="AR148" s="330">
        <f t="shared" si="472"/>
        <v>5952.3200000000015</v>
      </c>
      <c r="AS148" s="326">
        <f t="shared" si="473"/>
        <v>6721.2800000000025</v>
      </c>
      <c r="AT148" s="326">
        <f t="shared" si="474"/>
        <v>6949.12</v>
      </c>
      <c r="AU148" s="326">
        <f t="shared" si="475"/>
        <v>7847.840000000002</v>
      </c>
      <c r="AV148" s="326">
        <f t="shared" si="476"/>
        <v>7892.6400000000021</v>
      </c>
      <c r="AW148" s="326">
        <f t="shared" si="477"/>
        <v>2129.7600000000007</v>
      </c>
      <c r="AX148" s="326">
        <f t="shared" si="481"/>
        <v>0</v>
      </c>
      <c r="AY148" s="326">
        <f t="shared" si="482"/>
        <v>0</v>
      </c>
      <c r="AZ148" s="326">
        <f t="shared" si="483"/>
        <v>0</v>
      </c>
      <c r="BA148" s="330"/>
      <c r="BB148" s="330">
        <f t="shared" ref="BB148:BO151" si="487">IF(BB$3=$F148,$E148,0)</f>
        <v>0</v>
      </c>
      <c r="BC148" s="330">
        <f t="shared" si="487"/>
        <v>0</v>
      </c>
      <c r="BD148" s="330">
        <f t="shared" si="487"/>
        <v>0</v>
      </c>
      <c r="BE148" s="330">
        <f t="shared" si="487"/>
        <v>0</v>
      </c>
      <c r="BF148" s="330">
        <f t="shared" si="487"/>
        <v>0</v>
      </c>
      <c r="BG148" s="330">
        <f t="shared" si="487"/>
        <v>0</v>
      </c>
      <c r="BH148" s="330">
        <f t="shared" si="487"/>
        <v>0</v>
      </c>
      <c r="BI148" s="330">
        <f t="shared" si="487"/>
        <v>0</v>
      </c>
      <c r="BJ148" s="386">
        <f t="shared" si="487"/>
        <v>0</v>
      </c>
      <c r="BK148" s="330">
        <f t="shared" si="487"/>
        <v>0</v>
      </c>
      <c r="BL148" s="330">
        <f t="shared" si="487"/>
        <v>0</v>
      </c>
      <c r="BM148" s="330">
        <f t="shared" si="487"/>
        <v>0</v>
      </c>
      <c r="BN148" s="326">
        <v>34717.120000000003</v>
      </c>
      <c r="BO148" s="326">
        <f t="shared" si="487"/>
        <v>0</v>
      </c>
      <c r="BP148" s="326">
        <f t="shared" ref="BP148:BW188" si="488">IF(BP$3=$F148,$E148,0)</f>
        <v>0</v>
      </c>
      <c r="BQ148" s="326">
        <f t="shared" si="488"/>
        <v>0</v>
      </c>
      <c r="BR148" s="326">
        <v>3590.16</v>
      </c>
      <c r="BS148" s="326">
        <v>0</v>
      </c>
      <c r="BT148" s="326">
        <v>-814.32</v>
      </c>
      <c r="BU148" s="326">
        <f t="shared" si="488"/>
        <v>0</v>
      </c>
      <c r="BV148" s="326">
        <f t="shared" si="488"/>
        <v>0</v>
      </c>
      <c r="BW148" s="326">
        <f t="shared" si="488"/>
        <v>0</v>
      </c>
      <c r="BX148" s="351">
        <f t="shared" si="484"/>
        <v>0</v>
      </c>
      <c r="BY148" s="378">
        <f t="shared" si="485"/>
        <v>0</v>
      </c>
      <c r="BZ148" s="378">
        <f t="shared" si="486"/>
        <v>0</v>
      </c>
    </row>
    <row r="149" spans="1:78" s="234" customFormat="1" ht="14.45" customHeight="1">
      <c r="A149" s="234" t="s">
        <v>133</v>
      </c>
      <c r="B149" s="234" t="s">
        <v>287</v>
      </c>
      <c r="C149" s="392"/>
      <c r="D149" s="328"/>
      <c r="E149" s="386">
        <v>5011.2</v>
      </c>
      <c r="F149" s="328" t="s">
        <v>250</v>
      </c>
      <c r="G149" s="385"/>
      <c r="H149" s="385"/>
      <c r="I149" s="385"/>
      <c r="J149" s="385">
        <v>0</v>
      </c>
      <c r="K149" s="385">
        <v>0</v>
      </c>
      <c r="L149" s="385">
        <v>0</v>
      </c>
      <c r="M149" s="385">
        <v>0</v>
      </c>
      <c r="N149" s="385">
        <v>0</v>
      </c>
      <c r="O149" s="385">
        <v>0</v>
      </c>
      <c r="P149" s="385">
        <v>0</v>
      </c>
      <c r="Q149" s="385">
        <v>0</v>
      </c>
      <c r="R149" s="385">
        <v>0</v>
      </c>
      <c r="S149" s="385">
        <v>0</v>
      </c>
      <c r="T149" s="385">
        <v>0</v>
      </c>
      <c r="U149" s="385">
        <v>0</v>
      </c>
      <c r="V149" s="385">
        <v>0</v>
      </c>
      <c r="W149" s="385">
        <v>0</v>
      </c>
      <c r="X149" s="385">
        <v>0</v>
      </c>
      <c r="Y149" s="385">
        <v>1</v>
      </c>
      <c r="Z149" s="385"/>
      <c r="AA149" s="385"/>
      <c r="AB149" s="385"/>
      <c r="AC149" s="426">
        <f t="shared" si="308"/>
        <v>1</v>
      </c>
      <c r="AD149" s="328"/>
      <c r="AE149" s="330">
        <f t="shared" si="459"/>
        <v>0</v>
      </c>
      <c r="AF149" s="330">
        <f t="shared" si="460"/>
        <v>0</v>
      </c>
      <c r="AG149" s="330">
        <f t="shared" si="461"/>
        <v>0</v>
      </c>
      <c r="AH149" s="330">
        <f t="shared" si="462"/>
        <v>0</v>
      </c>
      <c r="AI149" s="330">
        <f t="shared" si="463"/>
        <v>0</v>
      </c>
      <c r="AJ149" s="386">
        <f t="shared" si="464"/>
        <v>0</v>
      </c>
      <c r="AK149" s="330">
        <f t="shared" si="465"/>
        <v>0</v>
      </c>
      <c r="AL149" s="386">
        <f t="shared" si="466"/>
        <v>0</v>
      </c>
      <c r="AM149" s="386">
        <f t="shared" si="467"/>
        <v>0</v>
      </c>
      <c r="AN149" s="330">
        <f t="shared" si="468"/>
        <v>0</v>
      </c>
      <c r="AO149" s="386">
        <f t="shared" si="469"/>
        <v>0</v>
      </c>
      <c r="AP149" s="326">
        <f t="shared" si="470"/>
        <v>0</v>
      </c>
      <c r="AQ149" s="326">
        <f t="shared" si="471"/>
        <v>0</v>
      </c>
      <c r="AR149" s="330">
        <f t="shared" si="472"/>
        <v>0</v>
      </c>
      <c r="AS149" s="326">
        <f t="shared" si="473"/>
        <v>0</v>
      </c>
      <c r="AT149" s="326">
        <f t="shared" si="474"/>
        <v>0</v>
      </c>
      <c r="AU149" s="326">
        <f t="shared" si="475"/>
        <v>0</v>
      </c>
      <c r="AV149" s="326">
        <f t="shared" si="476"/>
        <v>0</v>
      </c>
      <c r="AW149" s="326">
        <f t="shared" si="477"/>
        <v>5011.2</v>
      </c>
      <c r="AX149" s="326">
        <f t="shared" si="481"/>
        <v>0</v>
      </c>
      <c r="AY149" s="326">
        <f t="shared" si="482"/>
        <v>0</v>
      </c>
      <c r="AZ149" s="326">
        <f t="shared" si="483"/>
        <v>0</v>
      </c>
      <c r="BA149" s="330"/>
      <c r="BB149" s="330">
        <f t="shared" si="487"/>
        <v>0</v>
      </c>
      <c r="BC149" s="330">
        <f t="shared" si="487"/>
        <v>0</v>
      </c>
      <c r="BD149" s="330">
        <f t="shared" si="487"/>
        <v>0</v>
      </c>
      <c r="BE149" s="330">
        <f t="shared" si="487"/>
        <v>0</v>
      </c>
      <c r="BF149" s="330">
        <f t="shared" si="487"/>
        <v>0</v>
      </c>
      <c r="BG149" s="330">
        <f t="shared" si="487"/>
        <v>0</v>
      </c>
      <c r="BH149" s="330">
        <f t="shared" si="487"/>
        <v>0</v>
      </c>
      <c r="BI149" s="330">
        <f t="shared" si="487"/>
        <v>0</v>
      </c>
      <c r="BJ149" s="386">
        <f t="shared" si="487"/>
        <v>0</v>
      </c>
      <c r="BK149" s="330">
        <f t="shared" si="487"/>
        <v>0</v>
      </c>
      <c r="BL149" s="330">
        <f t="shared" si="487"/>
        <v>0</v>
      </c>
      <c r="BM149" s="330">
        <f t="shared" si="487"/>
        <v>0</v>
      </c>
      <c r="BN149" s="330">
        <f t="shared" si="487"/>
        <v>0</v>
      </c>
      <c r="BO149" s="330">
        <f t="shared" si="487"/>
        <v>0</v>
      </c>
      <c r="BP149" s="330">
        <f t="shared" si="488"/>
        <v>0</v>
      </c>
      <c r="BQ149" s="330">
        <f t="shared" si="488"/>
        <v>0</v>
      </c>
      <c r="BR149" s="330">
        <f t="shared" si="488"/>
        <v>0</v>
      </c>
      <c r="BS149" s="330">
        <f t="shared" si="488"/>
        <v>0</v>
      </c>
      <c r="BT149" s="330">
        <f t="shared" si="488"/>
        <v>5011.2</v>
      </c>
      <c r="BU149" s="330">
        <f t="shared" si="488"/>
        <v>0</v>
      </c>
      <c r="BV149" s="330">
        <f t="shared" si="488"/>
        <v>0</v>
      </c>
      <c r="BW149" s="330">
        <f t="shared" si="488"/>
        <v>0</v>
      </c>
      <c r="BX149" s="351">
        <f t="shared" si="484"/>
        <v>0</v>
      </c>
      <c r="BY149" s="378">
        <f t="shared" si="485"/>
        <v>0</v>
      </c>
      <c r="BZ149" s="378">
        <f t="shared" si="486"/>
        <v>0</v>
      </c>
    </row>
    <row r="150" spans="1:78" s="234" customFormat="1" ht="14.45" customHeight="1">
      <c r="A150" s="234" t="s">
        <v>133</v>
      </c>
      <c r="B150" s="234" t="s">
        <v>287</v>
      </c>
      <c r="C150" s="392"/>
      <c r="D150" s="328"/>
      <c r="E150" s="386">
        <v>22809.96</v>
      </c>
      <c r="F150" s="328" t="s">
        <v>250</v>
      </c>
      <c r="G150" s="385"/>
      <c r="H150" s="385"/>
      <c r="I150" s="385"/>
      <c r="J150" s="385">
        <v>0</v>
      </c>
      <c r="K150" s="385">
        <v>0</v>
      </c>
      <c r="L150" s="385">
        <v>0</v>
      </c>
      <c r="M150" s="385">
        <v>0</v>
      </c>
      <c r="N150" s="385">
        <v>0</v>
      </c>
      <c r="O150" s="385">
        <v>0</v>
      </c>
      <c r="P150" s="385">
        <v>0</v>
      </c>
      <c r="Q150" s="385">
        <v>0</v>
      </c>
      <c r="R150" s="385">
        <v>0</v>
      </c>
      <c r="S150" s="385">
        <v>0</v>
      </c>
      <c r="T150" s="385">
        <v>0</v>
      </c>
      <c r="U150" s="385">
        <v>0</v>
      </c>
      <c r="V150" s="385">
        <v>0</v>
      </c>
      <c r="W150" s="385">
        <v>0</v>
      </c>
      <c r="X150" s="385">
        <v>0</v>
      </c>
      <c r="Y150" s="385">
        <v>0</v>
      </c>
      <c r="Z150" s="385">
        <v>0.34876343492053474</v>
      </c>
      <c r="AA150" s="385">
        <v>0.39441016117520594</v>
      </c>
      <c r="AB150" s="385">
        <v>0.25682640390425937</v>
      </c>
      <c r="AC150" s="426">
        <f t="shared" ref="AC150" si="489">SUM(G150:AB150)</f>
        <v>1</v>
      </c>
      <c r="AD150" s="328"/>
      <c r="AE150" s="330">
        <f t="shared" ref="AE150" si="490">G150*$E150</f>
        <v>0</v>
      </c>
      <c r="AF150" s="330">
        <f t="shared" ref="AF150" si="491">H150*$E150</f>
        <v>0</v>
      </c>
      <c r="AG150" s="330">
        <f t="shared" ref="AG150" si="492">I150*$E150</f>
        <v>0</v>
      </c>
      <c r="AH150" s="330">
        <f t="shared" ref="AH150" si="493">J150*$E150</f>
        <v>0</v>
      </c>
      <c r="AI150" s="330">
        <f t="shared" ref="AI150" si="494">K150*$E150</f>
        <v>0</v>
      </c>
      <c r="AJ150" s="386">
        <f t="shared" ref="AJ150" si="495">L150*$E150</f>
        <v>0</v>
      </c>
      <c r="AK150" s="330">
        <f t="shared" ref="AK150" si="496">M150*$E150</f>
        <v>0</v>
      </c>
      <c r="AL150" s="386">
        <f t="shared" ref="AL150" si="497">N150*$E150</f>
        <v>0</v>
      </c>
      <c r="AM150" s="386">
        <f t="shared" ref="AM150" si="498">O150*$E150</f>
        <v>0</v>
      </c>
      <c r="AN150" s="330">
        <f t="shared" ref="AN150" si="499">P150*$E150</f>
        <v>0</v>
      </c>
      <c r="AO150" s="386">
        <f t="shared" ref="AO150" si="500">Q150*$E150</f>
        <v>0</v>
      </c>
      <c r="AP150" s="326">
        <f t="shared" ref="AP150" si="501">R150*$E150</f>
        <v>0</v>
      </c>
      <c r="AQ150" s="326">
        <f t="shared" ref="AQ150" si="502">S150*$E150</f>
        <v>0</v>
      </c>
      <c r="AR150" s="330">
        <f t="shared" ref="AR150" si="503">T150*$E150</f>
        <v>0</v>
      </c>
      <c r="AS150" s="326">
        <f t="shared" ref="AS150" si="504">U150*$E150</f>
        <v>0</v>
      </c>
      <c r="AT150" s="326">
        <f t="shared" ref="AT150" si="505">V150*$E150</f>
        <v>0</v>
      </c>
      <c r="AU150" s="326">
        <f t="shared" ref="AU150" si="506">W150*$E150</f>
        <v>0</v>
      </c>
      <c r="AV150" s="326">
        <f t="shared" ref="AV150" si="507">X150*$E150</f>
        <v>0</v>
      </c>
      <c r="AW150" s="326">
        <f t="shared" ref="AW150" si="508">Y150*$E150</f>
        <v>0</v>
      </c>
      <c r="AX150" s="326">
        <f t="shared" si="481"/>
        <v>7955.2800000000007</v>
      </c>
      <c r="AY150" s="326">
        <f t="shared" si="482"/>
        <v>8996.48</v>
      </c>
      <c r="AZ150" s="326">
        <f t="shared" si="483"/>
        <v>5858.2</v>
      </c>
      <c r="BA150" s="330"/>
      <c r="BB150" s="330">
        <f t="shared" si="487"/>
        <v>0</v>
      </c>
      <c r="BC150" s="330">
        <f t="shared" si="487"/>
        <v>0</v>
      </c>
      <c r="BD150" s="330">
        <f t="shared" si="487"/>
        <v>0</v>
      </c>
      <c r="BE150" s="330">
        <f t="shared" si="487"/>
        <v>0</v>
      </c>
      <c r="BF150" s="330">
        <f t="shared" si="487"/>
        <v>0</v>
      </c>
      <c r="BG150" s="330">
        <f t="shared" si="487"/>
        <v>0</v>
      </c>
      <c r="BH150" s="330">
        <f t="shared" si="487"/>
        <v>0</v>
      </c>
      <c r="BI150" s="330">
        <f t="shared" si="487"/>
        <v>0</v>
      </c>
      <c r="BJ150" s="386">
        <f t="shared" si="487"/>
        <v>0</v>
      </c>
      <c r="BK150" s="330">
        <f t="shared" si="487"/>
        <v>0</v>
      </c>
      <c r="BL150" s="330">
        <f t="shared" si="487"/>
        <v>0</v>
      </c>
      <c r="BM150" s="330">
        <f t="shared" si="487"/>
        <v>0</v>
      </c>
      <c r="BN150" s="330">
        <f t="shared" si="487"/>
        <v>0</v>
      </c>
      <c r="BO150" s="330">
        <f t="shared" si="487"/>
        <v>0</v>
      </c>
      <c r="BP150" s="330">
        <f t="shared" si="488"/>
        <v>0</v>
      </c>
      <c r="BQ150" s="330">
        <f t="shared" si="488"/>
        <v>0</v>
      </c>
      <c r="BR150" s="330">
        <f t="shared" si="488"/>
        <v>0</v>
      </c>
      <c r="BS150" s="330">
        <f t="shared" si="488"/>
        <v>0</v>
      </c>
      <c r="BT150" s="330">
        <v>21297.599999999999</v>
      </c>
      <c r="BU150" s="326">
        <f t="shared" si="488"/>
        <v>0</v>
      </c>
      <c r="BV150" s="330">
        <v>1512.36</v>
      </c>
      <c r="BW150" s="330">
        <f t="shared" si="488"/>
        <v>0</v>
      </c>
      <c r="BX150" s="351">
        <f t="shared" si="484"/>
        <v>0</v>
      </c>
      <c r="BY150" s="378">
        <f t="shared" si="485"/>
        <v>0</v>
      </c>
      <c r="BZ150" s="378">
        <f t="shared" si="486"/>
        <v>0</v>
      </c>
    </row>
    <row r="151" spans="1:78" s="234" customFormat="1" ht="14.45" customHeight="1">
      <c r="A151" s="234" t="s">
        <v>133</v>
      </c>
      <c r="C151" s="392"/>
      <c r="D151" s="328"/>
      <c r="E151" s="386">
        <v>214.45</v>
      </c>
      <c r="F151" s="328" t="s">
        <v>221</v>
      </c>
      <c r="G151" s="385"/>
      <c r="H151" s="385"/>
      <c r="I151" s="385"/>
      <c r="J151" s="385">
        <v>0</v>
      </c>
      <c r="K151" s="385">
        <v>0</v>
      </c>
      <c r="L151" s="385">
        <v>0</v>
      </c>
      <c r="M151" s="385">
        <v>0</v>
      </c>
      <c r="N151" s="385">
        <v>0</v>
      </c>
      <c r="O151" s="385">
        <v>0</v>
      </c>
      <c r="P151" s="385">
        <v>0</v>
      </c>
      <c r="Q151" s="385">
        <v>0</v>
      </c>
      <c r="R151" s="385">
        <v>1</v>
      </c>
      <c r="S151" s="385">
        <v>0</v>
      </c>
      <c r="T151" s="385">
        <v>0</v>
      </c>
      <c r="U151" s="385">
        <v>0</v>
      </c>
      <c r="V151" s="385">
        <v>0</v>
      </c>
      <c r="W151" s="385">
        <v>0</v>
      </c>
      <c r="X151" s="385">
        <v>0</v>
      </c>
      <c r="Y151" s="385">
        <v>0</v>
      </c>
      <c r="Z151" s="385"/>
      <c r="AA151" s="385"/>
      <c r="AB151" s="385"/>
      <c r="AC151" s="426">
        <f t="shared" si="308"/>
        <v>1</v>
      </c>
      <c r="AD151" s="328"/>
      <c r="AE151" s="330">
        <f t="shared" si="459"/>
        <v>0</v>
      </c>
      <c r="AF151" s="330">
        <f t="shared" si="460"/>
        <v>0</v>
      </c>
      <c r="AG151" s="330">
        <f t="shared" si="461"/>
        <v>0</v>
      </c>
      <c r="AH151" s="330">
        <f t="shared" si="462"/>
        <v>0</v>
      </c>
      <c r="AI151" s="330">
        <f t="shared" si="463"/>
        <v>0</v>
      </c>
      <c r="AJ151" s="386">
        <f t="shared" si="464"/>
        <v>0</v>
      </c>
      <c r="AK151" s="330">
        <f t="shared" si="465"/>
        <v>0</v>
      </c>
      <c r="AL151" s="386">
        <f t="shared" si="466"/>
        <v>0</v>
      </c>
      <c r="AM151" s="386">
        <f t="shared" si="467"/>
        <v>0</v>
      </c>
      <c r="AN151" s="330">
        <f t="shared" si="468"/>
        <v>0</v>
      </c>
      <c r="AO151" s="386">
        <f t="shared" si="469"/>
        <v>0</v>
      </c>
      <c r="AP151" s="326">
        <f t="shared" si="470"/>
        <v>214.45</v>
      </c>
      <c r="AQ151" s="326">
        <f t="shared" si="471"/>
        <v>0</v>
      </c>
      <c r="AR151" s="330">
        <f t="shared" si="472"/>
        <v>0</v>
      </c>
      <c r="AS151" s="326">
        <f t="shared" si="473"/>
        <v>0</v>
      </c>
      <c r="AT151" s="326">
        <f t="shared" si="474"/>
        <v>0</v>
      </c>
      <c r="AU151" s="326">
        <f t="shared" si="475"/>
        <v>0</v>
      </c>
      <c r="AV151" s="326">
        <f t="shared" si="476"/>
        <v>0</v>
      </c>
      <c r="AW151" s="326">
        <f t="shared" si="477"/>
        <v>0</v>
      </c>
      <c r="AX151" s="326">
        <f t="shared" si="481"/>
        <v>0</v>
      </c>
      <c r="AY151" s="326">
        <f t="shared" si="482"/>
        <v>0</v>
      </c>
      <c r="AZ151" s="326">
        <f t="shared" si="483"/>
        <v>0</v>
      </c>
      <c r="BA151" s="330"/>
      <c r="BB151" s="330">
        <f t="shared" si="487"/>
        <v>0</v>
      </c>
      <c r="BC151" s="330">
        <f t="shared" si="487"/>
        <v>0</v>
      </c>
      <c r="BD151" s="330">
        <f t="shared" si="487"/>
        <v>0</v>
      </c>
      <c r="BE151" s="330">
        <f t="shared" si="487"/>
        <v>0</v>
      </c>
      <c r="BF151" s="330">
        <f t="shared" si="487"/>
        <v>0</v>
      </c>
      <c r="BG151" s="330">
        <f t="shared" si="487"/>
        <v>0</v>
      </c>
      <c r="BH151" s="330">
        <f t="shared" si="487"/>
        <v>0</v>
      </c>
      <c r="BI151" s="330">
        <f t="shared" si="487"/>
        <v>0</v>
      </c>
      <c r="BJ151" s="386">
        <f t="shared" si="487"/>
        <v>0</v>
      </c>
      <c r="BK151" s="330">
        <f t="shared" si="487"/>
        <v>0</v>
      </c>
      <c r="BL151" s="330">
        <f t="shared" si="487"/>
        <v>0</v>
      </c>
      <c r="BM151" s="330">
        <f t="shared" si="487"/>
        <v>214.45</v>
      </c>
      <c r="BN151" s="330">
        <f t="shared" si="487"/>
        <v>0</v>
      </c>
      <c r="BO151" s="330">
        <f t="shared" si="487"/>
        <v>0</v>
      </c>
      <c r="BP151" s="330">
        <f t="shared" si="488"/>
        <v>0</v>
      </c>
      <c r="BQ151" s="330">
        <f t="shared" si="488"/>
        <v>0</v>
      </c>
      <c r="BR151" s="330">
        <f t="shared" si="488"/>
        <v>0</v>
      </c>
      <c r="BS151" s="330">
        <f t="shared" si="488"/>
        <v>0</v>
      </c>
      <c r="BT151" s="330">
        <f t="shared" si="488"/>
        <v>0</v>
      </c>
      <c r="BU151" s="330">
        <f t="shared" si="488"/>
        <v>0</v>
      </c>
      <c r="BV151" s="330">
        <f t="shared" si="488"/>
        <v>0</v>
      </c>
      <c r="BW151" s="330">
        <f t="shared" si="488"/>
        <v>0</v>
      </c>
      <c r="BX151" s="351">
        <f t="shared" si="484"/>
        <v>0</v>
      </c>
      <c r="BY151" s="378">
        <f t="shared" si="485"/>
        <v>0</v>
      </c>
      <c r="BZ151" s="378">
        <f t="shared" si="486"/>
        <v>0</v>
      </c>
    </row>
    <row r="152" spans="1:78" s="234" customFormat="1" ht="14.45" customHeight="1">
      <c r="A152" s="234" t="s">
        <v>133</v>
      </c>
      <c r="C152" s="392"/>
      <c r="D152" s="328"/>
      <c r="E152" s="386">
        <v>31800</v>
      </c>
      <c r="F152" s="328" t="s">
        <v>240</v>
      </c>
      <c r="G152" s="388"/>
      <c r="H152" s="388"/>
      <c r="I152" s="388"/>
      <c r="J152" s="388"/>
      <c r="K152" s="388"/>
      <c r="L152" s="388"/>
      <c r="M152" s="329">
        <v>0</v>
      </c>
      <c r="N152" s="329">
        <v>0</v>
      </c>
      <c r="O152" s="329">
        <v>0</v>
      </c>
      <c r="P152" s="329">
        <v>0</v>
      </c>
      <c r="Q152" s="329">
        <v>0</v>
      </c>
      <c r="R152" s="329">
        <v>0</v>
      </c>
      <c r="S152" s="329">
        <v>0</v>
      </c>
      <c r="T152" s="329">
        <v>0</v>
      </c>
      <c r="U152" s="329">
        <v>0.35</v>
      </c>
      <c r="V152" s="329">
        <v>0</v>
      </c>
      <c r="W152" s="329">
        <v>0</v>
      </c>
      <c r="X152" s="329">
        <v>0.64999999999999991</v>
      </c>
      <c r="Y152" s="329">
        <v>0</v>
      </c>
      <c r="Z152" s="329"/>
      <c r="AA152" s="329"/>
      <c r="AB152" s="329"/>
      <c r="AC152" s="426">
        <f t="shared" si="308"/>
        <v>0.99999999999999989</v>
      </c>
      <c r="AD152" s="328"/>
      <c r="AE152" s="330">
        <f t="shared" si="459"/>
        <v>0</v>
      </c>
      <c r="AF152" s="330">
        <f t="shared" si="460"/>
        <v>0</v>
      </c>
      <c r="AG152" s="330">
        <f t="shared" si="461"/>
        <v>0</v>
      </c>
      <c r="AH152" s="330">
        <f t="shared" si="462"/>
        <v>0</v>
      </c>
      <c r="AI152" s="330">
        <f t="shared" si="463"/>
        <v>0</v>
      </c>
      <c r="AJ152" s="386">
        <f t="shared" si="464"/>
        <v>0</v>
      </c>
      <c r="AK152" s="330">
        <f t="shared" si="465"/>
        <v>0</v>
      </c>
      <c r="AL152" s="386">
        <f t="shared" si="466"/>
        <v>0</v>
      </c>
      <c r="AM152" s="386">
        <f t="shared" si="467"/>
        <v>0</v>
      </c>
      <c r="AN152" s="330">
        <f t="shared" si="468"/>
        <v>0</v>
      </c>
      <c r="AO152" s="386">
        <f t="shared" si="469"/>
        <v>0</v>
      </c>
      <c r="AP152" s="326">
        <f t="shared" si="470"/>
        <v>0</v>
      </c>
      <c r="AQ152" s="326">
        <f t="shared" si="471"/>
        <v>0</v>
      </c>
      <c r="AR152" s="330">
        <f t="shared" si="472"/>
        <v>0</v>
      </c>
      <c r="AS152" s="326">
        <f t="shared" si="473"/>
        <v>11130</v>
      </c>
      <c r="AT152" s="326">
        <f t="shared" si="474"/>
        <v>0</v>
      </c>
      <c r="AU152" s="326">
        <f t="shared" si="475"/>
        <v>0</v>
      </c>
      <c r="AV152" s="326">
        <f t="shared" si="476"/>
        <v>20669.999999999996</v>
      </c>
      <c r="AW152" s="326">
        <f t="shared" si="477"/>
        <v>0</v>
      </c>
      <c r="AX152" s="326">
        <f t="shared" si="481"/>
        <v>0</v>
      </c>
      <c r="AY152" s="326">
        <f t="shared" si="482"/>
        <v>0</v>
      </c>
      <c r="AZ152" s="326">
        <f t="shared" si="483"/>
        <v>0</v>
      </c>
      <c r="BA152" s="330"/>
      <c r="BB152" s="330">
        <f t="shared" ref="BB152:BO152" si="509">IF(BB$3=$F152,$E152,0)</f>
        <v>0</v>
      </c>
      <c r="BC152" s="330">
        <f t="shared" si="509"/>
        <v>0</v>
      </c>
      <c r="BD152" s="330">
        <f t="shared" si="509"/>
        <v>0</v>
      </c>
      <c r="BE152" s="330">
        <f t="shared" si="509"/>
        <v>0</v>
      </c>
      <c r="BF152" s="330">
        <f t="shared" si="509"/>
        <v>0</v>
      </c>
      <c r="BG152" s="330">
        <f t="shared" si="509"/>
        <v>0</v>
      </c>
      <c r="BH152" s="330">
        <f t="shared" si="509"/>
        <v>0</v>
      </c>
      <c r="BI152" s="330">
        <f t="shared" si="509"/>
        <v>0</v>
      </c>
      <c r="BJ152" s="330">
        <f t="shared" si="509"/>
        <v>0</v>
      </c>
      <c r="BK152" s="330">
        <f t="shared" si="509"/>
        <v>0</v>
      </c>
      <c r="BL152" s="330">
        <f t="shared" si="509"/>
        <v>0</v>
      </c>
      <c r="BM152" s="330">
        <f t="shared" si="509"/>
        <v>0</v>
      </c>
      <c r="BN152" s="330">
        <f t="shared" si="509"/>
        <v>0</v>
      </c>
      <c r="BO152" s="326">
        <f t="shared" si="509"/>
        <v>31800</v>
      </c>
      <c r="BP152" s="330">
        <f t="shared" si="488"/>
        <v>0</v>
      </c>
      <c r="BQ152" s="330">
        <f t="shared" si="488"/>
        <v>0</v>
      </c>
      <c r="BR152" s="330">
        <f t="shared" si="488"/>
        <v>0</v>
      </c>
      <c r="BS152" s="330">
        <f t="shared" si="488"/>
        <v>0</v>
      </c>
      <c r="BT152" s="330">
        <f t="shared" si="488"/>
        <v>0</v>
      </c>
      <c r="BU152" s="330">
        <f t="shared" si="488"/>
        <v>0</v>
      </c>
      <c r="BV152" s="330">
        <f t="shared" si="488"/>
        <v>0</v>
      </c>
      <c r="BW152" s="330">
        <f t="shared" si="488"/>
        <v>0</v>
      </c>
      <c r="BX152" s="351">
        <f t="shared" si="484"/>
        <v>0</v>
      </c>
      <c r="BY152" s="378">
        <f t="shared" si="485"/>
        <v>0</v>
      </c>
      <c r="BZ152" s="378">
        <f t="shared" si="486"/>
        <v>0</v>
      </c>
    </row>
    <row r="153" spans="1:78" s="234" customFormat="1" ht="14.45" customHeight="1">
      <c r="A153" s="234" t="s">
        <v>136</v>
      </c>
      <c r="B153" s="234" t="s">
        <v>317</v>
      </c>
      <c r="C153" s="392"/>
      <c r="D153" s="328"/>
      <c r="E153" s="386">
        <v>28000</v>
      </c>
      <c r="F153" s="328" t="s">
        <v>241</v>
      </c>
      <c r="G153" s="388"/>
      <c r="H153" s="388"/>
      <c r="I153" s="388"/>
      <c r="J153" s="388"/>
      <c r="K153" s="388"/>
      <c r="L153" s="329"/>
      <c r="M153" s="329">
        <v>0</v>
      </c>
      <c r="N153" s="329">
        <v>0</v>
      </c>
      <c r="O153" s="329">
        <v>0</v>
      </c>
      <c r="P153" s="329">
        <v>0</v>
      </c>
      <c r="Q153" s="329">
        <v>0</v>
      </c>
      <c r="R153" s="329">
        <v>0</v>
      </c>
      <c r="S153" s="329">
        <v>0</v>
      </c>
      <c r="T153" s="329">
        <v>0.16166535714285715</v>
      </c>
      <c r="U153" s="329">
        <v>0.12908142857142857</v>
      </c>
      <c r="V153" s="329">
        <v>4.7310714285714282E-3</v>
      </c>
      <c r="W153" s="329">
        <v>0</v>
      </c>
      <c r="X153" s="329">
        <v>0</v>
      </c>
      <c r="Y153" s="329">
        <v>3.0707857142857144E-2</v>
      </c>
      <c r="Z153" s="329">
        <v>0.36206357142857143</v>
      </c>
      <c r="AA153" s="329">
        <v>0.14285714285714285</v>
      </c>
      <c r="AB153" s="329">
        <v>0.16889357142857145</v>
      </c>
      <c r="AC153" s="426">
        <f t="shared" si="308"/>
        <v>0.99999999999999989</v>
      </c>
      <c r="AD153" s="328"/>
      <c r="AE153" s="330">
        <f t="shared" si="459"/>
        <v>0</v>
      </c>
      <c r="AF153" s="330">
        <f t="shared" si="460"/>
        <v>0</v>
      </c>
      <c r="AG153" s="330">
        <f t="shared" si="461"/>
        <v>0</v>
      </c>
      <c r="AH153" s="330">
        <f t="shared" si="462"/>
        <v>0</v>
      </c>
      <c r="AI153" s="330">
        <f t="shared" si="463"/>
        <v>0</v>
      </c>
      <c r="AJ153" s="386">
        <f t="shared" si="464"/>
        <v>0</v>
      </c>
      <c r="AK153" s="330">
        <f t="shared" si="465"/>
        <v>0</v>
      </c>
      <c r="AL153" s="386">
        <f t="shared" si="466"/>
        <v>0</v>
      </c>
      <c r="AM153" s="330">
        <f t="shared" si="467"/>
        <v>0</v>
      </c>
      <c r="AN153" s="330">
        <f t="shared" si="468"/>
        <v>0</v>
      </c>
      <c r="AO153" s="326">
        <f t="shared" si="469"/>
        <v>0</v>
      </c>
      <c r="AP153" s="326">
        <f t="shared" si="470"/>
        <v>0</v>
      </c>
      <c r="AQ153" s="326">
        <f t="shared" si="471"/>
        <v>0</v>
      </c>
      <c r="AR153" s="330">
        <f t="shared" si="472"/>
        <v>4526.63</v>
      </c>
      <c r="AS153" s="326">
        <f t="shared" si="473"/>
        <v>3614.2799999999997</v>
      </c>
      <c r="AT153" s="326">
        <f t="shared" si="474"/>
        <v>132.47</v>
      </c>
      <c r="AU153" s="326">
        <f t="shared" si="475"/>
        <v>0</v>
      </c>
      <c r="AV153" s="326">
        <f t="shared" si="476"/>
        <v>0</v>
      </c>
      <c r="AW153" s="326">
        <f t="shared" si="477"/>
        <v>859.82</v>
      </c>
      <c r="AX153" s="326">
        <f t="shared" si="481"/>
        <v>10137.780000000001</v>
      </c>
      <c r="AY153" s="326">
        <f t="shared" si="482"/>
        <v>4000</v>
      </c>
      <c r="AZ153" s="326">
        <f t="shared" si="483"/>
        <v>4729.0200000000004</v>
      </c>
      <c r="BA153" s="330"/>
      <c r="BB153" s="330">
        <f t="shared" ref="BB153:BR163" si="510">IF(BB$3=$F153,$E153,0)</f>
        <v>0</v>
      </c>
      <c r="BC153" s="330">
        <f t="shared" si="510"/>
        <v>0</v>
      </c>
      <c r="BD153" s="330">
        <f t="shared" si="510"/>
        <v>0</v>
      </c>
      <c r="BE153" s="330">
        <f t="shared" si="510"/>
        <v>0</v>
      </c>
      <c r="BF153" s="330">
        <f t="shared" si="510"/>
        <v>0</v>
      </c>
      <c r="BG153" s="330">
        <f t="shared" si="510"/>
        <v>0</v>
      </c>
      <c r="BH153" s="330">
        <f t="shared" si="510"/>
        <v>0</v>
      </c>
      <c r="BI153" s="330">
        <f t="shared" si="510"/>
        <v>0</v>
      </c>
      <c r="BJ153" s="330">
        <f t="shared" si="510"/>
        <v>0</v>
      </c>
      <c r="BK153" s="330">
        <f t="shared" si="510"/>
        <v>0</v>
      </c>
      <c r="BL153" s="330">
        <f t="shared" si="510"/>
        <v>0</v>
      </c>
      <c r="BM153" s="330">
        <f t="shared" si="510"/>
        <v>0</v>
      </c>
      <c r="BN153" s="330">
        <v>20000</v>
      </c>
      <c r="BO153" s="326">
        <f t="shared" si="510"/>
        <v>0</v>
      </c>
      <c r="BP153" s="330">
        <f t="shared" si="510"/>
        <v>0</v>
      </c>
      <c r="BQ153" s="330">
        <f t="shared" si="510"/>
        <v>0</v>
      </c>
      <c r="BR153" s="330">
        <f t="shared" si="510"/>
        <v>0</v>
      </c>
      <c r="BS153" s="330">
        <f t="shared" si="488"/>
        <v>0</v>
      </c>
      <c r="BT153" s="330">
        <f t="shared" si="488"/>
        <v>0</v>
      </c>
      <c r="BU153" s="330">
        <v>8000</v>
      </c>
      <c r="BV153" s="330">
        <f t="shared" si="488"/>
        <v>0</v>
      </c>
      <c r="BW153" s="330">
        <f t="shared" si="488"/>
        <v>0</v>
      </c>
      <c r="BX153" s="351">
        <f t="shared" si="484"/>
        <v>0</v>
      </c>
      <c r="BY153" s="378">
        <f t="shared" si="485"/>
        <v>0</v>
      </c>
      <c r="BZ153" s="378">
        <f t="shared" si="486"/>
        <v>0</v>
      </c>
    </row>
    <row r="154" spans="1:78" s="234" customFormat="1" ht="14.25" customHeight="1">
      <c r="A154" s="234" t="s">
        <v>136</v>
      </c>
      <c r="B154" s="234" t="s">
        <v>320</v>
      </c>
      <c r="C154" s="392"/>
      <c r="D154" s="328"/>
      <c r="E154" s="386">
        <v>10000</v>
      </c>
      <c r="F154" s="328" t="s">
        <v>245</v>
      </c>
      <c r="G154" s="388"/>
      <c r="H154" s="388"/>
      <c r="I154" s="388"/>
      <c r="J154" s="388"/>
      <c r="K154" s="388"/>
      <c r="L154" s="329"/>
      <c r="M154" s="329">
        <v>0</v>
      </c>
      <c r="N154" s="329">
        <v>0</v>
      </c>
      <c r="O154" s="329">
        <v>0</v>
      </c>
      <c r="P154" s="329">
        <v>0</v>
      </c>
      <c r="Q154" s="329">
        <v>0</v>
      </c>
      <c r="R154" s="329">
        <v>0</v>
      </c>
      <c r="S154" s="329">
        <v>0</v>
      </c>
      <c r="T154" s="329">
        <v>0</v>
      </c>
      <c r="U154" s="329">
        <v>0</v>
      </c>
      <c r="V154" s="329">
        <v>0</v>
      </c>
      <c r="W154" s="329">
        <v>0</v>
      </c>
      <c r="X154" s="329">
        <v>0.10655299999999999</v>
      </c>
      <c r="Y154" s="329">
        <v>0.12230099999999999</v>
      </c>
      <c r="Z154" s="329">
        <v>0</v>
      </c>
      <c r="AA154" s="329">
        <v>0.4</v>
      </c>
      <c r="AB154" s="329">
        <v>0.37114599999999998</v>
      </c>
      <c r="AC154" s="426">
        <f t="shared" si="308"/>
        <v>1</v>
      </c>
      <c r="AD154" s="328"/>
      <c r="AE154" s="330">
        <f t="shared" si="459"/>
        <v>0</v>
      </c>
      <c r="AF154" s="330">
        <f t="shared" si="460"/>
        <v>0</v>
      </c>
      <c r="AG154" s="330">
        <f t="shared" si="461"/>
        <v>0</v>
      </c>
      <c r="AH154" s="330">
        <f t="shared" si="462"/>
        <v>0</v>
      </c>
      <c r="AI154" s="330">
        <f t="shared" si="463"/>
        <v>0</v>
      </c>
      <c r="AJ154" s="386">
        <f t="shared" si="464"/>
        <v>0</v>
      </c>
      <c r="AK154" s="330">
        <f t="shared" si="465"/>
        <v>0</v>
      </c>
      <c r="AL154" s="386">
        <f t="shared" si="466"/>
        <v>0</v>
      </c>
      <c r="AM154" s="330">
        <f t="shared" si="467"/>
        <v>0</v>
      </c>
      <c r="AN154" s="330">
        <f t="shared" si="468"/>
        <v>0</v>
      </c>
      <c r="AO154" s="386">
        <f t="shared" si="469"/>
        <v>0</v>
      </c>
      <c r="AP154" s="326">
        <f t="shared" si="470"/>
        <v>0</v>
      </c>
      <c r="AQ154" s="326">
        <f t="shared" si="471"/>
        <v>0</v>
      </c>
      <c r="AR154" s="330">
        <f t="shared" si="472"/>
        <v>0</v>
      </c>
      <c r="AS154" s="326">
        <f t="shared" si="473"/>
        <v>0</v>
      </c>
      <c r="AT154" s="326">
        <f t="shared" si="474"/>
        <v>0</v>
      </c>
      <c r="AU154" s="326">
        <f t="shared" si="475"/>
        <v>0</v>
      </c>
      <c r="AV154" s="326">
        <f t="shared" si="476"/>
        <v>1065.53</v>
      </c>
      <c r="AW154" s="326">
        <f t="shared" si="477"/>
        <v>1223.01</v>
      </c>
      <c r="AX154" s="326">
        <f t="shared" si="481"/>
        <v>0</v>
      </c>
      <c r="AY154" s="326">
        <f t="shared" si="482"/>
        <v>4000</v>
      </c>
      <c r="AZ154" s="326">
        <f t="shared" si="483"/>
        <v>3711.4599999999996</v>
      </c>
      <c r="BA154" s="330"/>
      <c r="BB154" s="330">
        <f t="shared" ref="BB154:BQ154" si="511">IF(BB$3=$F154,$E154,0)</f>
        <v>0</v>
      </c>
      <c r="BC154" s="330">
        <f t="shared" si="511"/>
        <v>0</v>
      </c>
      <c r="BD154" s="330">
        <f t="shared" si="511"/>
        <v>0</v>
      </c>
      <c r="BE154" s="330">
        <f t="shared" si="511"/>
        <v>0</v>
      </c>
      <c r="BF154" s="330">
        <f t="shared" si="511"/>
        <v>0</v>
      </c>
      <c r="BG154" s="330">
        <f t="shared" si="511"/>
        <v>0</v>
      </c>
      <c r="BH154" s="330">
        <f t="shared" si="511"/>
        <v>0</v>
      </c>
      <c r="BI154" s="330">
        <f t="shared" si="511"/>
        <v>0</v>
      </c>
      <c r="BJ154" s="330">
        <f t="shared" si="511"/>
        <v>0</v>
      </c>
      <c r="BK154" s="330">
        <f t="shared" si="511"/>
        <v>0</v>
      </c>
      <c r="BL154" s="330">
        <f t="shared" si="511"/>
        <v>0</v>
      </c>
      <c r="BM154" s="330">
        <f t="shared" si="511"/>
        <v>0</v>
      </c>
      <c r="BN154" s="330">
        <f t="shared" si="511"/>
        <v>0</v>
      </c>
      <c r="BO154" s="326">
        <f t="shared" si="511"/>
        <v>0</v>
      </c>
      <c r="BP154" s="330">
        <f t="shared" si="511"/>
        <v>0</v>
      </c>
      <c r="BQ154" s="330">
        <f t="shared" si="511"/>
        <v>0</v>
      </c>
      <c r="BR154" s="330">
        <f t="shared" si="488"/>
        <v>0</v>
      </c>
      <c r="BS154" s="330">
        <f t="shared" si="488"/>
        <v>10000</v>
      </c>
      <c r="BT154" s="330">
        <f t="shared" si="488"/>
        <v>0</v>
      </c>
      <c r="BU154" s="330">
        <f t="shared" si="488"/>
        <v>0</v>
      </c>
      <c r="BV154" s="330">
        <f t="shared" si="488"/>
        <v>0</v>
      </c>
      <c r="BW154" s="330">
        <f t="shared" si="488"/>
        <v>0</v>
      </c>
      <c r="BX154" s="351">
        <f t="shared" si="484"/>
        <v>0</v>
      </c>
      <c r="BY154" s="378">
        <f t="shared" si="485"/>
        <v>0</v>
      </c>
      <c r="BZ154" s="378">
        <f t="shared" si="486"/>
        <v>0</v>
      </c>
    </row>
    <row r="155" spans="1:78" s="234" customFormat="1" ht="15" customHeight="1">
      <c r="A155" s="234" t="s">
        <v>133</v>
      </c>
      <c r="B155" s="234" t="s">
        <v>291</v>
      </c>
      <c r="C155" s="392"/>
      <c r="D155" s="328"/>
      <c r="E155" s="386">
        <v>6600</v>
      </c>
      <c r="F155" s="328" t="s">
        <v>202</v>
      </c>
      <c r="G155" s="329"/>
      <c r="H155" s="329"/>
      <c r="I155" s="329"/>
      <c r="J155" s="329">
        <v>0</v>
      </c>
      <c r="K155" s="329">
        <v>0</v>
      </c>
      <c r="L155" s="329">
        <v>0</v>
      </c>
      <c r="M155" s="388">
        <v>0</v>
      </c>
      <c r="N155" s="388">
        <v>0</v>
      </c>
      <c r="O155" s="388">
        <v>0</v>
      </c>
      <c r="P155" s="388">
        <v>0</v>
      </c>
      <c r="Q155" s="388">
        <v>0</v>
      </c>
      <c r="R155" s="329">
        <v>0</v>
      </c>
      <c r="S155" s="329">
        <v>0</v>
      </c>
      <c r="T155" s="329">
        <v>0</v>
      </c>
      <c r="U155" s="329">
        <v>0.16666666666666666</v>
      </c>
      <c r="V155" s="329">
        <v>0.33333333333333331</v>
      </c>
      <c r="W155" s="329">
        <v>0.33333333333333331</v>
      </c>
      <c r="X155" s="329">
        <v>0.16666666666666666</v>
      </c>
      <c r="Y155" s="329"/>
      <c r="Z155" s="329"/>
      <c r="AA155" s="329"/>
      <c r="AB155" s="329"/>
      <c r="AC155" s="426">
        <f t="shared" si="308"/>
        <v>0.99999999999999989</v>
      </c>
      <c r="AD155" s="328"/>
      <c r="AE155" s="330">
        <f t="shared" si="459"/>
        <v>0</v>
      </c>
      <c r="AF155" s="330">
        <f t="shared" si="460"/>
        <v>0</v>
      </c>
      <c r="AG155" s="330">
        <f t="shared" si="461"/>
        <v>0</v>
      </c>
      <c r="AH155" s="330">
        <f t="shared" si="462"/>
        <v>0</v>
      </c>
      <c r="AI155" s="330">
        <f t="shared" si="463"/>
        <v>0</v>
      </c>
      <c r="AJ155" s="386">
        <f t="shared" si="464"/>
        <v>0</v>
      </c>
      <c r="AK155" s="330">
        <f t="shared" si="465"/>
        <v>0</v>
      </c>
      <c r="AL155" s="386">
        <f t="shared" si="466"/>
        <v>0</v>
      </c>
      <c r="AM155" s="386">
        <f t="shared" si="467"/>
        <v>0</v>
      </c>
      <c r="AN155" s="330">
        <f t="shared" si="468"/>
        <v>0</v>
      </c>
      <c r="AO155" s="386">
        <f t="shared" si="469"/>
        <v>0</v>
      </c>
      <c r="AP155" s="326">
        <f t="shared" si="470"/>
        <v>0</v>
      </c>
      <c r="AQ155" s="326">
        <f t="shared" si="471"/>
        <v>0</v>
      </c>
      <c r="AR155" s="330">
        <f t="shared" si="472"/>
        <v>0</v>
      </c>
      <c r="AS155" s="326">
        <f t="shared" si="473"/>
        <v>1100</v>
      </c>
      <c r="AT155" s="326">
        <f t="shared" si="474"/>
        <v>2200</v>
      </c>
      <c r="AU155" s="326">
        <f t="shared" si="475"/>
        <v>2200</v>
      </c>
      <c r="AV155" s="326">
        <f t="shared" si="476"/>
        <v>1100</v>
      </c>
      <c r="AW155" s="326">
        <f t="shared" si="477"/>
        <v>0</v>
      </c>
      <c r="AX155" s="326">
        <f t="shared" si="481"/>
        <v>0</v>
      </c>
      <c r="AY155" s="326">
        <f t="shared" si="482"/>
        <v>0</v>
      </c>
      <c r="AZ155" s="326">
        <f t="shared" si="483"/>
        <v>0</v>
      </c>
      <c r="BA155" s="330"/>
      <c r="BB155" s="330">
        <f t="shared" si="510"/>
        <v>0</v>
      </c>
      <c r="BC155" s="330">
        <f t="shared" si="510"/>
        <v>0</v>
      </c>
      <c r="BD155" s="330">
        <f t="shared" si="510"/>
        <v>0</v>
      </c>
      <c r="BE155" s="330">
        <f t="shared" si="510"/>
        <v>0</v>
      </c>
      <c r="BF155" s="330">
        <f t="shared" si="510"/>
        <v>0</v>
      </c>
      <c r="BG155" s="330">
        <f t="shared" si="510"/>
        <v>0</v>
      </c>
      <c r="BH155" s="330">
        <f t="shared" si="510"/>
        <v>0</v>
      </c>
      <c r="BI155" s="330">
        <f t="shared" si="510"/>
        <v>0</v>
      </c>
      <c r="BJ155" s="386">
        <f t="shared" si="510"/>
        <v>0</v>
      </c>
      <c r="BK155" s="330">
        <f t="shared" si="510"/>
        <v>0</v>
      </c>
      <c r="BL155" s="330">
        <f t="shared" si="510"/>
        <v>0</v>
      </c>
      <c r="BM155" s="330">
        <f t="shared" si="510"/>
        <v>0</v>
      </c>
      <c r="BN155" s="330">
        <f t="shared" si="510"/>
        <v>0</v>
      </c>
      <c r="BO155" s="326">
        <f t="shared" si="510"/>
        <v>0</v>
      </c>
      <c r="BP155" s="330">
        <f t="shared" si="510"/>
        <v>6600</v>
      </c>
      <c r="BQ155" s="330">
        <f t="shared" si="510"/>
        <v>0</v>
      </c>
      <c r="BR155" s="330">
        <f t="shared" si="510"/>
        <v>0</v>
      </c>
      <c r="BS155" s="330">
        <f t="shared" si="488"/>
        <v>0</v>
      </c>
      <c r="BT155" s="330">
        <f t="shared" si="488"/>
        <v>0</v>
      </c>
      <c r="BU155" s="330">
        <f t="shared" si="488"/>
        <v>0</v>
      </c>
      <c r="BV155" s="330">
        <f t="shared" si="488"/>
        <v>0</v>
      </c>
      <c r="BW155" s="330">
        <f t="shared" si="488"/>
        <v>0</v>
      </c>
      <c r="BX155" s="351">
        <f t="shared" si="484"/>
        <v>0</v>
      </c>
      <c r="BY155" s="378">
        <f t="shared" si="485"/>
        <v>0</v>
      </c>
      <c r="BZ155" s="378">
        <f t="shared" si="486"/>
        <v>0</v>
      </c>
    </row>
    <row r="156" spans="1:78" s="234" customFormat="1" ht="15" customHeight="1">
      <c r="A156" s="234" t="s">
        <v>133</v>
      </c>
      <c r="B156" s="234" t="s">
        <v>291</v>
      </c>
      <c r="C156" s="392"/>
      <c r="D156" s="328"/>
      <c r="E156" s="386">
        <v>26400</v>
      </c>
      <c r="F156" s="328" t="s">
        <v>253</v>
      </c>
      <c r="G156" s="329"/>
      <c r="H156" s="329"/>
      <c r="I156" s="329"/>
      <c r="J156" s="329">
        <v>0</v>
      </c>
      <c r="K156" s="329">
        <v>0</v>
      </c>
      <c r="L156" s="329">
        <v>0</v>
      </c>
      <c r="M156" s="388">
        <v>0</v>
      </c>
      <c r="N156" s="388">
        <v>0</v>
      </c>
      <c r="O156" s="388">
        <v>0</v>
      </c>
      <c r="P156" s="388">
        <v>0</v>
      </c>
      <c r="Q156" s="388">
        <v>0</v>
      </c>
      <c r="R156" s="329">
        <v>0</v>
      </c>
      <c r="S156" s="329">
        <v>0</v>
      </c>
      <c r="T156" s="329">
        <v>0</v>
      </c>
      <c r="U156" s="329">
        <v>0</v>
      </c>
      <c r="V156" s="329">
        <v>0</v>
      </c>
      <c r="W156" s="329">
        <v>0.33333333333333331</v>
      </c>
      <c r="X156" s="329">
        <v>0.25</v>
      </c>
      <c r="Y156" s="329">
        <v>0.41666666666666669</v>
      </c>
      <c r="Z156" s="329">
        <v>0</v>
      </c>
      <c r="AA156" s="329"/>
      <c r="AB156" s="329"/>
      <c r="AC156" s="426">
        <f t="shared" si="308"/>
        <v>1</v>
      </c>
      <c r="AD156" s="328"/>
      <c r="AE156" s="330">
        <f t="shared" si="459"/>
        <v>0</v>
      </c>
      <c r="AF156" s="330">
        <f t="shared" si="460"/>
        <v>0</v>
      </c>
      <c r="AG156" s="330">
        <f t="shared" si="461"/>
        <v>0</v>
      </c>
      <c r="AH156" s="330">
        <f t="shared" si="462"/>
        <v>0</v>
      </c>
      <c r="AI156" s="330">
        <f t="shared" si="463"/>
        <v>0</v>
      </c>
      <c r="AJ156" s="386">
        <f t="shared" si="464"/>
        <v>0</v>
      </c>
      <c r="AK156" s="330">
        <f t="shared" si="465"/>
        <v>0</v>
      </c>
      <c r="AL156" s="386">
        <f t="shared" si="466"/>
        <v>0</v>
      </c>
      <c r="AM156" s="386">
        <f t="shared" si="467"/>
        <v>0</v>
      </c>
      <c r="AN156" s="330">
        <f t="shared" si="468"/>
        <v>0</v>
      </c>
      <c r="AO156" s="386">
        <f t="shared" si="469"/>
        <v>0</v>
      </c>
      <c r="AP156" s="326">
        <f t="shared" si="470"/>
        <v>0</v>
      </c>
      <c r="AQ156" s="326">
        <f t="shared" si="471"/>
        <v>0</v>
      </c>
      <c r="AR156" s="330">
        <f t="shared" si="472"/>
        <v>0</v>
      </c>
      <c r="AS156" s="326">
        <f t="shared" si="473"/>
        <v>0</v>
      </c>
      <c r="AT156" s="326">
        <f t="shared" si="474"/>
        <v>0</v>
      </c>
      <c r="AU156" s="326">
        <f t="shared" si="475"/>
        <v>8800</v>
      </c>
      <c r="AV156" s="326">
        <f t="shared" si="476"/>
        <v>6600</v>
      </c>
      <c r="AW156" s="326">
        <f t="shared" si="477"/>
        <v>11000</v>
      </c>
      <c r="AX156" s="326">
        <f t="shared" si="481"/>
        <v>0</v>
      </c>
      <c r="AY156" s="326">
        <f t="shared" si="482"/>
        <v>0</v>
      </c>
      <c r="AZ156" s="326">
        <f t="shared" si="483"/>
        <v>0</v>
      </c>
      <c r="BA156" s="330"/>
      <c r="BB156" s="330">
        <f t="shared" ref="BB156:BR156" si="512">IF(BB$3=$F156,$E156,0)</f>
        <v>0</v>
      </c>
      <c r="BC156" s="330">
        <f t="shared" si="512"/>
        <v>0</v>
      </c>
      <c r="BD156" s="330">
        <f t="shared" si="512"/>
        <v>0</v>
      </c>
      <c r="BE156" s="330">
        <f t="shared" si="512"/>
        <v>0</v>
      </c>
      <c r="BF156" s="330">
        <f t="shared" si="512"/>
        <v>0</v>
      </c>
      <c r="BG156" s="330">
        <f t="shared" si="512"/>
        <v>0</v>
      </c>
      <c r="BH156" s="330">
        <f t="shared" si="512"/>
        <v>0</v>
      </c>
      <c r="BI156" s="330">
        <f t="shared" si="512"/>
        <v>0</v>
      </c>
      <c r="BJ156" s="386">
        <f t="shared" si="512"/>
        <v>0</v>
      </c>
      <c r="BK156" s="330">
        <f t="shared" si="512"/>
        <v>0</v>
      </c>
      <c r="BL156" s="330">
        <f t="shared" si="512"/>
        <v>0</v>
      </c>
      <c r="BM156" s="330">
        <f t="shared" si="512"/>
        <v>0</v>
      </c>
      <c r="BN156" s="330">
        <f t="shared" si="512"/>
        <v>0</v>
      </c>
      <c r="BO156" s="326">
        <f t="shared" si="512"/>
        <v>0</v>
      </c>
      <c r="BP156" s="330">
        <f t="shared" si="512"/>
        <v>0</v>
      </c>
      <c r="BQ156" s="330">
        <f t="shared" si="512"/>
        <v>26400</v>
      </c>
      <c r="BR156" s="330">
        <f t="shared" si="512"/>
        <v>0</v>
      </c>
      <c r="BS156" s="330">
        <f t="shared" si="488"/>
        <v>0</v>
      </c>
      <c r="BT156" s="330">
        <f t="shared" si="488"/>
        <v>0</v>
      </c>
      <c r="BU156" s="330">
        <f t="shared" si="488"/>
        <v>0</v>
      </c>
      <c r="BV156" s="330">
        <f t="shared" si="488"/>
        <v>0</v>
      </c>
      <c r="BW156" s="330">
        <f t="shared" si="488"/>
        <v>0</v>
      </c>
      <c r="BX156" s="351">
        <f t="shared" si="484"/>
        <v>0</v>
      </c>
      <c r="BY156" s="378">
        <f t="shared" si="485"/>
        <v>0</v>
      </c>
      <c r="BZ156" s="378">
        <f t="shared" si="486"/>
        <v>0</v>
      </c>
    </row>
    <row r="157" spans="1:78" s="234" customFormat="1" ht="14.45" customHeight="1">
      <c r="A157" s="234" t="s">
        <v>133</v>
      </c>
      <c r="B157" s="234" t="s">
        <v>319</v>
      </c>
      <c r="C157" s="392"/>
      <c r="D157" s="328"/>
      <c r="E157" s="386">
        <v>6090</v>
      </c>
      <c r="F157" s="328" t="s">
        <v>245</v>
      </c>
      <c r="G157" s="388"/>
      <c r="H157" s="388"/>
      <c r="I157" s="388"/>
      <c r="J157" s="388"/>
      <c r="K157" s="388"/>
      <c r="L157" s="329"/>
      <c r="M157" s="329">
        <v>0</v>
      </c>
      <c r="N157" s="329">
        <v>0</v>
      </c>
      <c r="O157" s="329">
        <v>0</v>
      </c>
      <c r="P157" s="329">
        <v>0</v>
      </c>
      <c r="Q157" s="329">
        <v>0</v>
      </c>
      <c r="R157" s="329">
        <v>0</v>
      </c>
      <c r="S157" s="329">
        <v>0</v>
      </c>
      <c r="T157" s="329">
        <v>0</v>
      </c>
      <c r="U157" s="329">
        <v>0</v>
      </c>
      <c r="V157" s="329">
        <v>0</v>
      </c>
      <c r="W157" s="329">
        <v>0</v>
      </c>
      <c r="X157" s="329">
        <v>1</v>
      </c>
      <c r="Y157" s="329"/>
      <c r="Z157" s="329"/>
      <c r="AA157" s="329"/>
      <c r="AB157" s="329"/>
      <c r="AC157" s="426">
        <f t="shared" si="308"/>
        <v>1</v>
      </c>
      <c r="AD157" s="328"/>
      <c r="AE157" s="330">
        <f t="shared" si="459"/>
        <v>0</v>
      </c>
      <c r="AF157" s="330">
        <f t="shared" si="460"/>
        <v>0</v>
      </c>
      <c r="AG157" s="330">
        <f t="shared" si="461"/>
        <v>0</v>
      </c>
      <c r="AH157" s="330">
        <f t="shared" si="462"/>
        <v>0</v>
      </c>
      <c r="AI157" s="330">
        <f t="shared" si="463"/>
        <v>0</v>
      </c>
      <c r="AJ157" s="386">
        <f t="shared" si="464"/>
        <v>0</v>
      </c>
      <c r="AK157" s="330">
        <f t="shared" si="465"/>
        <v>0</v>
      </c>
      <c r="AL157" s="386">
        <f t="shared" si="466"/>
        <v>0</v>
      </c>
      <c r="AM157" s="330">
        <f t="shared" si="467"/>
        <v>0</v>
      </c>
      <c r="AN157" s="330">
        <f t="shared" si="468"/>
        <v>0</v>
      </c>
      <c r="AO157" s="386">
        <f t="shared" si="469"/>
        <v>0</v>
      </c>
      <c r="AP157" s="326">
        <f t="shared" si="470"/>
        <v>0</v>
      </c>
      <c r="AQ157" s="326">
        <f t="shared" si="471"/>
        <v>0</v>
      </c>
      <c r="AR157" s="330">
        <f t="shared" si="472"/>
        <v>0</v>
      </c>
      <c r="AS157" s="326">
        <f t="shared" si="473"/>
        <v>0</v>
      </c>
      <c r="AT157" s="326">
        <f t="shared" si="474"/>
        <v>0</v>
      </c>
      <c r="AU157" s="326">
        <f t="shared" si="475"/>
        <v>0</v>
      </c>
      <c r="AV157" s="326">
        <f t="shared" si="476"/>
        <v>6090</v>
      </c>
      <c r="AW157" s="326">
        <f t="shared" si="477"/>
        <v>0</v>
      </c>
      <c r="AX157" s="326">
        <f t="shared" si="481"/>
        <v>0</v>
      </c>
      <c r="AY157" s="326">
        <f t="shared" si="482"/>
        <v>0</v>
      </c>
      <c r="AZ157" s="326">
        <f t="shared" si="483"/>
        <v>0</v>
      </c>
      <c r="BA157" s="330"/>
      <c r="BB157" s="330">
        <f t="shared" si="510"/>
        <v>0</v>
      </c>
      <c r="BC157" s="330">
        <f t="shared" si="510"/>
        <v>0</v>
      </c>
      <c r="BD157" s="330">
        <f t="shared" si="510"/>
        <v>0</v>
      </c>
      <c r="BE157" s="330">
        <f t="shared" si="510"/>
        <v>0</v>
      </c>
      <c r="BF157" s="330">
        <f t="shared" si="510"/>
        <v>0</v>
      </c>
      <c r="BG157" s="330">
        <f t="shared" si="510"/>
        <v>0</v>
      </c>
      <c r="BH157" s="330">
        <f t="shared" si="510"/>
        <v>0</v>
      </c>
      <c r="BI157" s="330">
        <f t="shared" si="510"/>
        <v>0</v>
      </c>
      <c r="BJ157" s="330">
        <f t="shared" si="510"/>
        <v>0</v>
      </c>
      <c r="BK157" s="330">
        <f t="shared" si="510"/>
        <v>0</v>
      </c>
      <c r="BL157" s="330">
        <f t="shared" si="510"/>
        <v>0</v>
      </c>
      <c r="BM157" s="330">
        <f t="shared" si="510"/>
        <v>0</v>
      </c>
      <c r="BN157" s="330">
        <f t="shared" si="510"/>
        <v>0</v>
      </c>
      <c r="BO157" s="326">
        <f t="shared" si="510"/>
        <v>0</v>
      </c>
      <c r="BP157" s="330">
        <f t="shared" si="510"/>
        <v>0</v>
      </c>
      <c r="BQ157" s="330">
        <f t="shared" si="510"/>
        <v>0</v>
      </c>
      <c r="BR157" s="330">
        <f t="shared" si="488"/>
        <v>0</v>
      </c>
      <c r="BS157" s="326">
        <f t="shared" si="488"/>
        <v>6090</v>
      </c>
      <c r="BT157" s="330">
        <f t="shared" si="488"/>
        <v>0</v>
      </c>
      <c r="BU157" s="330">
        <f t="shared" si="488"/>
        <v>0</v>
      </c>
      <c r="BV157" s="330">
        <f t="shared" si="488"/>
        <v>0</v>
      </c>
      <c r="BW157" s="330">
        <f t="shared" si="488"/>
        <v>0</v>
      </c>
      <c r="BX157" s="351">
        <f t="shared" si="484"/>
        <v>0</v>
      </c>
      <c r="BY157" s="378">
        <f t="shared" si="485"/>
        <v>0</v>
      </c>
      <c r="BZ157" s="378">
        <f t="shared" si="486"/>
        <v>0</v>
      </c>
    </row>
    <row r="158" spans="1:78" s="234" customFormat="1" ht="14.45" customHeight="1">
      <c r="A158" s="234" t="s">
        <v>136</v>
      </c>
      <c r="C158" s="392"/>
      <c r="D158" s="328"/>
      <c r="E158" s="386">
        <v>14722.43</v>
      </c>
      <c r="F158" s="328" t="s">
        <v>202</v>
      </c>
      <c r="G158" s="388"/>
      <c r="H158" s="388"/>
      <c r="I158" s="388"/>
      <c r="J158" s="388"/>
      <c r="K158" s="388"/>
      <c r="L158" s="329"/>
      <c r="M158" s="329">
        <v>0</v>
      </c>
      <c r="N158" s="329">
        <v>0</v>
      </c>
      <c r="O158" s="329">
        <v>0</v>
      </c>
      <c r="P158" s="329">
        <v>0</v>
      </c>
      <c r="Q158" s="329">
        <v>0</v>
      </c>
      <c r="R158" s="329">
        <v>0</v>
      </c>
      <c r="S158" s="329">
        <v>0</v>
      </c>
      <c r="T158" s="329">
        <v>0</v>
      </c>
      <c r="U158" s="329">
        <v>1</v>
      </c>
      <c r="V158" s="329"/>
      <c r="W158" s="329">
        <v>0</v>
      </c>
      <c r="X158" s="329">
        <v>0</v>
      </c>
      <c r="Y158" s="329"/>
      <c r="Z158" s="329"/>
      <c r="AA158" s="329"/>
      <c r="AB158" s="329"/>
      <c r="AC158" s="426">
        <f t="shared" si="308"/>
        <v>1</v>
      </c>
      <c r="AD158" s="328"/>
      <c r="AE158" s="330">
        <f t="shared" si="459"/>
        <v>0</v>
      </c>
      <c r="AF158" s="330">
        <f t="shared" si="460"/>
        <v>0</v>
      </c>
      <c r="AG158" s="330">
        <f t="shared" si="461"/>
        <v>0</v>
      </c>
      <c r="AH158" s="330">
        <f t="shared" si="462"/>
        <v>0</v>
      </c>
      <c r="AI158" s="330">
        <f t="shared" si="463"/>
        <v>0</v>
      </c>
      <c r="AJ158" s="386">
        <f t="shared" si="464"/>
        <v>0</v>
      </c>
      <c r="AK158" s="330">
        <f t="shared" si="465"/>
        <v>0</v>
      </c>
      <c r="AL158" s="386">
        <f t="shared" si="466"/>
        <v>0</v>
      </c>
      <c r="AM158" s="330">
        <f t="shared" si="467"/>
        <v>0</v>
      </c>
      <c r="AN158" s="330">
        <f t="shared" si="468"/>
        <v>0</v>
      </c>
      <c r="AO158" s="386">
        <f t="shared" si="469"/>
        <v>0</v>
      </c>
      <c r="AP158" s="326">
        <f t="shared" si="470"/>
        <v>0</v>
      </c>
      <c r="AQ158" s="326">
        <f t="shared" si="471"/>
        <v>0</v>
      </c>
      <c r="AR158" s="330">
        <f t="shared" si="472"/>
        <v>0</v>
      </c>
      <c r="AS158" s="326">
        <f t="shared" si="473"/>
        <v>14722.43</v>
      </c>
      <c r="AT158" s="326">
        <f t="shared" si="474"/>
        <v>0</v>
      </c>
      <c r="AU158" s="326">
        <f t="shared" si="475"/>
        <v>0</v>
      </c>
      <c r="AV158" s="326">
        <f t="shared" si="476"/>
        <v>0</v>
      </c>
      <c r="AW158" s="326">
        <f t="shared" si="477"/>
        <v>0</v>
      </c>
      <c r="AX158" s="326">
        <f t="shared" si="481"/>
        <v>0</v>
      </c>
      <c r="AY158" s="326">
        <f t="shared" si="482"/>
        <v>0</v>
      </c>
      <c r="AZ158" s="326">
        <f t="shared" si="483"/>
        <v>0</v>
      </c>
      <c r="BA158" s="330"/>
      <c r="BB158" s="330">
        <f t="shared" ref="BB158:BQ158" si="513">IF(BB$3=$F158,$E158,0)</f>
        <v>0</v>
      </c>
      <c r="BC158" s="330">
        <f t="shared" si="513"/>
        <v>0</v>
      </c>
      <c r="BD158" s="330">
        <f t="shared" si="513"/>
        <v>0</v>
      </c>
      <c r="BE158" s="330">
        <f t="shared" si="513"/>
        <v>0</v>
      </c>
      <c r="BF158" s="330">
        <f t="shared" si="513"/>
        <v>0</v>
      </c>
      <c r="BG158" s="330">
        <f t="shared" si="513"/>
        <v>0</v>
      </c>
      <c r="BH158" s="330">
        <f t="shared" si="513"/>
        <v>0</v>
      </c>
      <c r="BI158" s="330">
        <f t="shared" si="513"/>
        <v>0</v>
      </c>
      <c r="BJ158" s="330">
        <f t="shared" si="513"/>
        <v>0</v>
      </c>
      <c r="BK158" s="330">
        <f t="shared" si="513"/>
        <v>0</v>
      </c>
      <c r="BL158" s="330">
        <f t="shared" si="513"/>
        <v>0</v>
      </c>
      <c r="BM158" s="330">
        <f t="shared" si="513"/>
        <v>0</v>
      </c>
      <c r="BN158" s="330">
        <f t="shared" si="513"/>
        <v>0</v>
      </c>
      <c r="BO158" s="326">
        <f t="shared" si="513"/>
        <v>0</v>
      </c>
      <c r="BP158" s="330">
        <f t="shared" si="513"/>
        <v>14722.43</v>
      </c>
      <c r="BQ158" s="330">
        <f t="shared" si="513"/>
        <v>0</v>
      </c>
      <c r="BR158" s="330">
        <f t="shared" si="488"/>
        <v>0</v>
      </c>
      <c r="BS158" s="330">
        <f t="shared" si="488"/>
        <v>0</v>
      </c>
      <c r="BT158" s="330">
        <f t="shared" si="488"/>
        <v>0</v>
      </c>
      <c r="BU158" s="330">
        <f t="shared" si="488"/>
        <v>0</v>
      </c>
      <c r="BV158" s="330">
        <f t="shared" si="488"/>
        <v>0</v>
      </c>
      <c r="BW158" s="330">
        <f t="shared" si="488"/>
        <v>0</v>
      </c>
      <c r="BX158" s="351">
        <f t="shared" si="484"/>
        <v>0</v>
      </c>
      <c r="BY158" s="378">
        <f t="shared" si="485"/>
        <v>0</v>
      </c>
      <c r="BZ158" s="378">
        <f t="shared" si="486"/>
        <v>0</v>
      </c>
    </row>
    <row r="159" spans="1:78" s="234" customFormat="1" ht="14.45" customHeight="1">
      <c r="A159" s="234" t="s">
        <v>136</v>
      </c>
      <c r="C159" s="392"/>
      <c r="D159" s="328"/>
      <c r="E159" s="386">
        <v>1873.22</v>
      </c>
      <c r="F159" s="328" t="s">
        <v>240</v>
      </c>
      <c r="G159" s="388"/>
      <c r="H159" s="388"/>
      <c r="I159" s="388"/>
      <c r="J159" s="388"/>
      <c r="K159" s="388"/>
      <c r="L159" s="329"/>
      <c r="M159" s="329">
        <v>0</v>
      </c>
      <c r="N159" s="329">
        <v>0</v>
      </c>
      <c r="O159" s="329">
        <v>0</v>
      </c>
      <c r="P159" s="329">
        <v>0</v>
      </c>
      <c r="Q159" s="329">
        <v>0</v>
      </c>
      <c r="R159" s="329">
        <v>0</v>
      </c>
      <c r="S159" s="329">
        <v>0</v>
      </c>
      <c r="T159" s="329">
        <v>1</v>
      </c>
      <c r="U159" s="329">
        <v>0</v>
      </c>
      <c r="V159" s="329"/>
      <c r="W159" s="329"/>
      <c r="X159" s="329"/>
      <c r="Y159" s="329">
        <v>0</v>
      </c>
      <c r="Z159" s="329"/>
      <c r="AA159" s="329"/>
      <c r="AB159" s="329"/>
      <c r="AC159" s="426">
        <f t="shared" ref="AC159:AC169" si="514">SUM(G159:AB159)</f>
        <v>1</v>
      </c>
      <c r="AD159" s="328"/>
      <c r="AE159" s="330">
        <f t="shared" si="459"/>
        <v>0</v>
      </c>
      <c r="AF159" s="330">
        <f t="shared" si="460"/>
        <v>0</v>
      </c>
      <c r="AG159" s="330">
        <f t="shared" si="461"/>
        <v>0</v>
      </c>
      <c r="AH159" s="330">
        <f t="shared" si="462"/>
        <v>0</v>
      </c>
      <c r="AI159" s="330">
        <f t="shared" si="463"/>
        <v>0</v>
      </c>
      <c r="AJ159" s="386">
        <f t="shared" si="464"/>
        <v>0</v>
      </c>
      <c r="AK159" s="330">
        <f t="shared" si="465"/>
        <v>0</v>
      </c>
      <c r="AL159" s="386">
        <f t="shared" si="466"/>
        <v>0</v>
      </c>
      <c r="AM159" s="330">
        <f t="shared" si="467"/>
        <v>0</v>
      </c>
      <c r="AN159" s="330">
        <f t="shared" si="468"/>
        <v>0</v>
      </c>
      <c r="AO159" s="386">
        <f t="shared" si="469"/>
        <v>0</v>
      </c>
      <c r="AP159" s="326">
        <f t="shared" si="470"/>
        <v>0</v>
      </c>
      <c r="AQ159" s="326">
        <f t="shared" si="471"/>
        <v>0</v>
      </c>
      <c r="AR159" s="326">
        <f t="shared" si="472"/>
        <v>1873.22</v>
      </c>
      <c r="AS159" s="326">
        <f t="shared" si="473"/>
        <v>0</v>
      </c>
      <c r="AT159" s="326">
        <f t="shared" si="474"/>
        <v>0</v>
      </c>
      <c r="AU159" s="326">
        <f t="shared" si="475"/>
        <v>0</v>
      </c>
      <c r="AV159" s="326">
        <f t="shared" si="476"/>
        <v>0</v>
      </c>
      <c r="AW159" s="326">
        <f t="shared" si="477"/>
        <v>0</v>
      </c>
      <c r="AX159" s="326">
        <f t="shared" si="481"/>
        <v>0</v>
      </c>
      <c r="AY159" s="326">
        <f t="shared" si="482"/>
        <v>0</v>
      </c>
      <c r="AZ159" s="326">
        <f t="shared" si="483"/>
        <v>0</v>
      </c>
      <c r="BA159" s="330"/>
      <c r="BB159" s="330">
        <f t="shared" ref="BB159:BQ159" si="515">IF(BB$3=$F159,$E159,0)</f>
        <v>0</v>
      </c>
      <c r="BC159" s="330">
        <f t="shared" si="515"/>
        <v>0</v>
      </c>
      <c r="BD159" s="330">
        <f t="shared" si="515"/>
        <v>0</v>
      </c>
      <c r="BE159" s="330">
        <f t="shared" si="515"/>
        <v>0</v>
      </c>
      <c r="BF159" s="330">
        <f t="shared" si="515"/>
        <v>0</v>
      </c>
      <c r="BG159" s="330">
        <f t="shared" si="515"/>
        <v>0</v>
      </c>
      <c r="BH159" s="330">
        <f t="shared" si="515"/>
        <v>0</v>
      </c>
      <c r="BI159" s="330">
        <f t="shared" si="515"/>
        <v>0</v>
      </c>
      <c r="BJ159" s="330">
        <f t="shared" si="515"/>
        <v>0</v>
      </c>
      <c r="BK159" s="330">
        <f t="shared" si="515"/>
        <v>0</v>
      </c>
      <c r="BL159" s="330">
        <f t="shared" si="515"/>
        <v>0</v>
      </c>
      <c r="BM159" s="330">
        <f t="shared" si="515"/>
        <v>0</v>
      </c>
      <c r="BN159" s="330">
        <f t="shared" si="515"/>
        <v>0</v>
      </c>
      <c r="BO159" s="326">
        <f t="shared" si="515"/>
        <v>1873.22</v>
      </c>
      <c r="BP159" s="330">
        <f t="shared" si="515"/>
        <v>0</v>
      </c>
      <c r="BQ159" s="330">
        <f t="shared" si="515"/>
        <v>0</v>
      </c>
      <c r="BR159" s="330">
        <f t="shared" si="488"/>
        <v>0</v>
      </c>
      <c r="BS159" s="330">
        <f t="shared" si="488"/>
        <v>0</v>
      </c>
      <c r="BT159" s="330">
        <f t="shared" si="488"/>
        <v>0</v>
      </c>
      <c r="BU159" s="330">
        <f t="shared" si="488"/>
        <v>0</v>
      </c>
      <c r="BV159" s="330">
        <f t="shared" si="488"/>
        <v>0</v>
      </c>
      <c r="BW159" s="330">
        <f t="shared" si="488"/>
        <v>0</v>
      </c>
      <c r="BX159" s="351">
        <f t="shared" si="484"/>
        <v>0</v>
      </c>
      <c r="BY159" s="378">
        <f t="shared" si="485"/>
        <v>0</v>
      </c>
      <c r="BZ159" s="378">
        <f t="shared" si="486"/>
        <v>0</v>
      </c>
    </row>
    <row r="160" spans="1:78" s="234" customFormat="1" ht="15" customHeight="1">
      <c r="A160" s="234" t="s">
        <v>133</v>
      </c>
      <c r="B160" s="234" t="s">
        <v>291</v>
      </c>
      <c r="C160" s="392"/>
      <c r="D160" s="328"/>
      <c r="E160" s="386">
        <v>1500</v>
      </c>
      <c r="F160" s="328" t="s">
        <v>250</v>
      </c>
      <c r="G160" s="329"/>
      <c r="H160" s="329"/>
      <c r="I160" s="329"/>
      <c r="J160" s="329">
        <v>0</v>
      </c>
      <c r="K160" s="329">
        <v>0</v>
      </c>
      <c r="L160" s="329">
        <v>0</v>
      </c>
      <c r="M160" s="388">
        <v>0</v>
      </c>
      <c r="N160" s="388">
        <v>0</v>
      </c>
      <c r="O160" s="388">
        <v>0</v>
      </c>
      <c r="P160" s="388">
        <v>0</v>
      </c>
      <c r="Q160" s="388">
        <v>0</v>
      </c>
      <c r="R160" s="329">
        <v>0</v>
      </c>
      <c r="S160" s="329">
        <v>0</v>
      </c>
      <c r="T160" s="329">
        <v>0</v>
      </c>
      <c r="U160" s="329">
        <v>0</v>
      </c>
      <c r="V160" s="329">
        <v>0</v>
      </c>
      <c r="W160" s="329">
        <v>0</v>
      </c>
      <c r="X160" s="329">
        <v>0</v>
      </c>
      <c r="Y160" s="329">
        <v>1</v>
      </c>
      <c r="Z160" s="329"/>
      <c r="AA160" s="329"/>
      <c r="AB160" s="329"/>
      <c r="AC160" s="426">
        <f t="shared" si="514"/>
        <v>1</v>
      </c>
      <c r="AD160" s="328"/>
      <c r="AE160" s="330">
        <f t="shared" si="459"/>
        <v>0</v>
      </c>
      <c r="AF160" s="330">
        <f t="shared" si="460"/>
        <v>0</v>
      </c>
      <c r="AG160" s="330">
        <f t="shared" si="461"/>
        <v>0</v>
      </c>
      <c r="AH160" s="330">
        <f t="shared" si="462"/>
        <v>0</v>
      </c>
      <c r="AI160" s="330">
        <f t="shared" si="463"/>
        <v>0</v>
      </c>
      <c r="AJ160" s="386">
        <f t="shared" si="464"/>
        <v>0</v>
      </c>
      <c r="AK160" s="330">
        <f t="shared" si="465"/>
        <v>0</v>
      </c>
      <c r="AL160" s="386">
        <f t="shared" si="466"/>
        <v>0</v>
      </c>
      <c r="AM160" s="386">
        <f t="shared" si="467"/>
        <v>0</v>
      </c>
      <c r="AN160" s="330">
        <f t="shared" si="468"/>
        <v>0</v>
      </c>
      <c r="AO160" s="386">
        <f t="shared" si="469"/>
        <v>0</v>
      </c>
      <c r="AP160" s="326">
        <f t="shared" si="470"/>
        <v>0</v>
      </c>
      <c r="AQ160" s="326">
        <f t="shared" si="471"/>
        <v>0</v>
      </c>
      <c r="AR160" s="330">
        <f t="shared" si="472"/>
        <v>0</v>
      </c>
      <c r="AS160" s="326">
        <f t="shared" si="473"/>
        <v>0</v>
      </c>
      <c r="AT160" s="326">
        <f t="shared" si="474"/>
        <v>0</v>
      </c>
      <c r="AU160" s="326">
        <f t="shared" si="475"/>
        <v>0</v>
      </c>
      <c r="AV160" s="326">
        <f t="shared" si="476"/>
        <v>0</v>
      </c>
      <c r="AW160" s="326">
        <f t="shared" si="477"/>
        <v>1500</v>
      </c>
      <c r="AX160" s="326">
        <f t="shared" si="481"/>
        <v>0</v>
      </c>
      <c r="AY160" s="326">
        <f t="shared" si="482"/>
        <v>0</v>
      </c>
      <c r="AZ160" s="326">
        <f t="shared" si="483"/>
        <v>0</v>
      </c>
      <c r="BA160" s="330"/>
      <c r="BB160" s="330">
        <f t="shared" si="510"/>
        <v>0</v>
      </c>
      <c r="BC160" s="330">
        <f t="shared" si="510"/>
        <v>0</v>
      </c>
      <c r="BD160" s="330">
        <f t="shared" si="510"/>
        <v>0</v>
      </c>
      <c r="BE160" s="330">
        <f t="shared" si="510"/>
        <v>0</v>
      </c>
      <c r="BF160" s="330">
        <f t="shared" si="510"/>
        <v>0</v>
      </c>
      <c r="BG160" s="330">
        <f t="shared" si="510"/>
        <v>0</v>
      </c>
      <c r="BH160" s="330">
        <f t="shared" si="510"/>
        <v>0</v>
      </c>
      <c r="BI160" s="330">
        <f t="shared" si="510"/>
        <v>0</v>
      </c>
      <c r="BJ160" s="386">
        <f t="shared" si="510"/>
        <v>0</v>
      </c>
      <c r="BK160" s="330">
        <f t="shared" si="510"/>
        <v>0</v>
      </c>
      <c r="BL160" s="330">
        <f t="shared" si="510"/>
        <v>0</v>
      </c>
      <c r="BM160" s="330">
        <f t="shared" si="510"/>
        <v>0</v>
      </c>
      <c r="BN160" s="330">
        <f t="shared" si="510"/>
        <v>0</v>
      </c>
      <c r="BO160" s="326">
        <f t="shared" si="510"/>
        <v>0</v>
      </c>
      <c r="BP160" s="330">
        <f t="shared" si="510"/>
        <v>0</v>
      </c>
      <c r="BQ160" s="330">
        <f t="shared" si="510"/>
        <v>0</v>
      </c>
      <c r="BR160" s="330">
        <f t="shared" si="510"/>
        <v>0</v>
      </c>
      <c r="BS160" s="330">
        <f t="shared" si="488"/>
        <v>0</v>
      </c>
      <c r="BT160" s="330">
        <f t="shared" si="488"/>
        <v>1500</v>
      </c>
      <c r="BU160" s="330">
        <f t="shared" si="488"/>
        <v>0</v>
      </c>
      <c r="BV160" s="330">
        <f t="shared" si="488"/>
        <v>0</v>
      </c>
      <c r="BW160" s="330">
        <f t="shared" si="488"/>
        <v>0</v>
      </c>
      <c r="BX160" s="351">
        <f t="shared" si="484"/>
        <v>0</v>
      </c>
      <c r="BY160" s="378">
        <f t="shared" si="485"/>
        <v>0</v>
      </c>
      <c r="BZ160" s="378">
        <f t="shared" si="486"/>
        <v>0</v>
      </c>
    </row>
    <row r="161" spans="1:78" s="234" customFormat="1" ht="15" customHeight="1">
      <c r="A161" s="234" t="s">
        <v>133</v>
      </c>
      <c r="C161" s="392"/>
      <c r="D161" s="328"/>
      <c r="E161" s="386">
        <v>5000</v>
      </c>
      <c r="F161" s="328" t="s">
        <v>266</v>
      </c>
      <c r="G161" s="329"/>
      <c r="H161" s="329"/>
      <c r="I161" s="329"/>
      <c r="J161" s="329">
        <v>0</v>
      </c>
      <c r="K161" s="329">
        <v>0</v>
      </c>
      <c r="L161" s="329">
        <v>0</v>
      </c>
      <c r="M161" s="388">
        <v>0</v>
      </c>
      <c r="N161" s="388">
        <v>0</v>
      </c>
      <c r="O161" s="388">
        <v>0</v>
      </c>
      <c r="P161" s="388">
        <v>0</v>
      </c>
      <c r="Q161" s="388">
        <v>0</v>
      </c>
      <c r="R161" s="329">
        <v>0</v>
      </c>
      <c r="S161" s="329">
        <v>0</v>
      </c>
      <c r="T161" s="329">
        <v>0</v>
      </c>
      <c r="U161" s="329">
        <v>0</v>
      </c>
      <c r="V161" s="329">
        <v>0</v>
      </c>
      <c r="W161" s="329">
        <v>0</v>
      </c>
      <c r="X161" s="329">
        <v>0</v>
      </c>
      <c r="Y161" s="329">
        <v>0</v>
      </c>
      <c r="Z161" s="329"/>
      <c r="AA161" s="329">
        <v>1</v>
      </c>
      <c r="AB161" s="329"/>
      <c r="AC161" s="426">
        <f t="shared" ref="AC161" si="516">SUM(G161:AB161)</f>
        <v>1</v>
      </c>
      <c r="AD161" s="328"/>
      <c r="AE161" s="330">
        <f t="shared" ref="AE161" si="517">G161*$E161</f>
        <v>0</v>
      </c>
      <c r="AF161" s="330">
        <f t="shared" ref="AF161" si="518">H161*$E161</f>
        <v>0</v>
      </c>
      <c r="AG161" s="330">
        <f t="shared" ref="AG161" si="519">I161*$E161</f>
        <v>0</v>
      </c>
      <c r="AH161" s="330">
        <f t="shared" ref="AH161" si="520">J161*$E161</f>
        <v>0</v>
      </c>
      <c r="AI161" s="330">
        <f t="shared" ref="AI161" si="521">K161*$E161</f>
        <v>0</v>
      </c>
      <c r="AJ161" s="386">
        <f t="shared" ref="AJ161" si="522">L161*$E161</f>
        <v>0</v>
      </c>
      <c r="AK161" s="330">
        <f t="shared" ref="AK161" si="523">M161*$E161</f>
        <v>0</v>
      </c>
      <c r="AL161" s="386">
        <f t="shared" ref="AL161" si="524">N161*$E161</f>
        <v>0</v>
      </c>
      <c r="AM161" s="386">
        <f t="shared" ref="AM161" si="525">O161*$E161</f>
        <v>0</v>
      </c>
      <c r="AN161" s="330">
        <f t="shared" ref="AN161" si="526">P161*$E161</f>
        <v>0</v>
      </c>
      <c r="AO161" s="386">
        <f t="shared" ref="AO161" si="527">Q161*$E161</f>
        <v>0</v>
      </c>
      <c r="AP161" s="326">
        <f t="shared" ref="AP161" si="528">R161*$E161</f>
        <v>0</v>
      </c>
      <c r="AQ161" s="326">
        <f t="shared" ref="AQ161" si="529">S161*$E161</f>
        <v>0</v>
      </c>
      <c r="AR161" s="330">
        <f t="shared" ref="AR161" si="530">T161*$E161</f>
        <v>0</v>
      </c>
      <c r="AS161" s="326">
        <f t="shared" ref="AS161" si="531">U161*$E161</f>
        <v>0</v>
      </c>
      <c r="AT161" s="326">
        <f t="shared" ref="AT161" si="532">V161*$E161</f>
        <v>0</v>
      </c>
      <c r="AU161" s="326">
        <f t="shared" ref="AU161" si="533">W161*$E161</f>
        <v>0</v>
      </c>
      <c r="AV161" s="326">
        <f t="shared" ref="AV161" si="534">X161*$E161</f>
        <v>0</v>
      </c>
      <c r="AW161" s="326">
        <f t="shared" ref="AW161" si="535">Y161*$E161</f>
        <v>0</v>
      </c>
      <c r="AX161" s="326">
        <f t="shared" ref="AX161" si="536">Z161*$E161</f>
        <v>0</v>
      </c>
      <c r="AY161" s="326">
        <f t="shared" ref="AY161" si="537">AA161*$E161</f>
        <v>5000</v>
      </c>
      <c r="AZ161" s="326">
        <f t="shared" ref="AZ161" si="538">AB161*$E161</f>
        <v>0</v>
      </c>
      <c r="BA161" s="330"/>
      <c r="BB161" s="330">
        <f t="shared" si="510"/>
        <v>0</v>
      </c>
      <c r="BC161" s="330">
        <f t="shared" si="510"/>
        <v>0</v>
      </c>
      <c r="BD161" s="330">
        <f t="shared" si="510"/>
        <v>0</v>
      </c>
      <c r="BE161" s="330">
        <f t="shared" si="510"/>
        <v>0</v>
      </c>
      <c r="BF161" s="330">
        <f t="shared" si="510"/>
        <v>0</v>
      </c>
      <c r="BG161" s="330">
        <f t="shared" si="510"/>
        <v>0</v>
      </c>
      <c r="BH161" s="330">
        <f t="shared" si="510"/>
        <v>0</v>
      </c>
      <c r="BI161" s="330">
        <f t="shared" si="510"/>
        <v>0</v>
      </c>
      <c r="BJ161" s="386">
        <f t="shared" si="510"/>
        <v>0</v>
      </c>
      <c r="BK161" s="330">
        <f t="shared" si="510"/>
        <v>0</v>
      </c>
      <c r="BL161" s="330">
        <f t="shared" si="510"/>
        <v>0</v>
      </c>
      <c r="BM161" s="330">
        <f t="shared" si="510"/>
        <v>0</v>
      </c>
      <c r="BN161" s="330">
        <f t="shared" si="510"/>
        <v>0</v>
      </c>
      <c r="BO161" s="326">
        <f t="shared" si="510"/>
        <v>0</v>
      </c>
      <c r="BP161" s="330">
        <f t="shared" si="510"/>
        <v>0</v>
      </c>
      <c r="BQ161" s="330">
        <f t="shared" si="510"/>
        <v>0</v>
      </c>
      <c r="BR161" s="330">
        <f t="shared" si="510"/>
        <v>0</v>
      </c>
      <c r="BS161" s="330">
        <f t="shared" si="488"/>
        <v>0</v>
      </c>
      <c r="BT161" s="330">
        <f t="shared" si="488"/>
        <v>0</v>
      </c>
      <c r="BU161" s="330">
        <f t="shared" si="488"/>
        <v>5000</v>
      </c>
      <c r="BV161" s="330">
        <f t="shared" si="488"/>
        <v>0</v>
      </c>
      <c r="BW161" s="330">
        <f t="shared" si="488"/>
        <v>0</v>
      </c>
      <c r="BX161" s="351">
        <f t="shared" ref="BX161" si="539">SUM(AE161:AZ161)-SUM(BB161:BW161)</f>
        <v>0</v>
      </c>
      <c r="BY161" s="378">
        <f t="shared" ref="BY161" si="540">E161-SUM(BB161:BW161)</f>
        <v>0</v>
      </c>
      <c r="BZ161" s="378">
        <f t="shared" ref="BZ161" si="541">+E161-SUM(AE161:AZ161)</f>
        <v>0</v>
      </c>
    </row>
    <row r="162" spans="1:78" s="234" customFormat="1" ht="15" customHeight="1">
      <c r="A162" s="234" t="s">
        <v>133</v>
      </c>
      <c r="B162" s="234" t="s">
        <v>291</v>
      </c>
      <c r="C162" s="392"/>
      <c r="D162" s="328"/>
      <c r="E162" s="386">
        <v>1500</v>
      </c>
      <c r="F162" s="328" t="s">
        <v>250</v>
      </c>
      <c r="G162" s="329"/>
      <c r="H162" s="329"/>
      <c r="I162" s="329"/>
      <c r="J162" s="329">
        <v>0</v>
      </c>
      <c r="K162" s="329">
        <v>0</v>
      </c>
      <c r="L162" s="329">
        <v>0</v>
      </c>
      <c r="M162" s="388">
        <v>0</v>
      </c>
      <c r="N162" s="388">
        <v>0</v>
      </c>
      <c r="O162" s="388">
        <v>0</v>
      </c>
      <c r="P162" s="388">
        <v>0</v>
      </c>
      <c r="Q162" s="388">
        <v>0</v>
      </c>
      <c r="R162" s="329">
        <v>0</v>
      </c>
      <c r="S162" s="329">
        <v>0</v>
      </c>
      <c r="T162" s="329">
        <v>0</v>
      </c>
      <c r="U162" s="329">
        <v>0</v>
      </c>
      <c r="V162" s="329">
        <v>0</v>
      </c>
      <c r="W162" s="329">
        <v>0</v>
      </c>
      <c r="X162" s="329">
        <v>0</v>
      </c>
      <c r="Y162" s="329">
        <v>1</v>
      </c>
      <c r="Z162" s="329"/>
      <c r="AA162" s="329"/>
      <c r="AB162" s="329"/>
      <c r="AC162" s="426">
        <f t="shared" si="514"/>
        <v>1</v>
      </c>
      <c r="AD162" s="328"/>
      <c r="AE162" s="330">
        <f t="shared" si="459"/>
        <v>0</v>
      </c>
      <c r="AF162" s="330">
        <f t="shared" si="460"/>
        <v>0</v>
      </c>
      <c r="AG162" s="330">
        <f t="shared" si="461"/>
        <v>0</v>
      </c>
      <c r="AH162" s="330">
        <f t="shared" si="462"/>
        <v>0</v>
      </c>
      <c r="AI162" s="330">
        <f t="shared" si="463"/>
        <v>0</v>
      </c>
      <c r="AJ162" s="386">
        <f t="shared" si="464"/>
        <v>0</v>
      </c>
      <c r="AK162" s="330">
        <f t="shared" si="465"/>
        <v>0</v>
      </c>
      <c r="AL162" s="386">
        <f t="shared" si="466"/>
        <v>0</v>
      </c>
      <c r="AM162" s="386">
        <f t="shared" si="467"/>
        <v>0</v>
      </c>
      <c r="AN162" s="330">
        <f t="shared" si="468"/>
        <v>0</v>
      </c>
      <c r="AO162" s="386">
        <f t="shared" si="469"/>
        <v>0</v>
      </c>
      <c r="AP162" s="326">
        <f t="shared" si="470"/>
        <v>0</v>
      </c>
      <c r="AQ162" s="326">
        <f t="shared" si="471"/>
        <v>0</v>
      </c>
      <c r="AR162" s="330">
        <f t="shared" si="472"/>
        <v>0</v>
      </c>
      <c r="AS162" s="326">
        <f t="shared" si="473"/>
        <v>0</v>
      </c>
      <c r="AT162" s="326">
        <f t="shared" si="474"/>
        <v>0</v>
      </c>
      <c r="AU162" s="326">
        <f t="shared" si="475"/>
        <v>0</v>
      </c>
      <c r="AV162" s="326">
        <f t="shared" si="476"/>
        <v>0</v>
      </c>
      <c r="AW162" s="326">
        <f t="shared" si="477"/>
        <v>1500</v>
      </c>
      <c r="AX162" s="326">
        <f t="shared" si="481"/>
        <v>0</v>
      </c>
      <c r="AY162" s="326">
        <f t="shared" si="482"/>
        <v>0</v>
      </c>
      <c r="AZ162" s="326">
        <f t="shared" si="483"/>
        <v>0</v>
      </c>
      <c r="BA162" s="330"/>
      <c r="BB162" s="330">
        <f t="shared" si="510"/>
        <v>0</v>
      </c>
      <c r="BC162" s="330">
        <f t="shared" si="510"/>
        <v>0</v>
      </c>
      <c r="BD162" s="330">
        <f t="shared" si="510"/>
        <v>0</v>
      </c>
      <c r="BE162" s="330">
        <f t="shared" si="510"/>
        <v>0</v>
      </c>
      <c r="BF162" s="330">
        <f t="shared" si="510"/>
        <v>0</v>
      </c>
      <c r="BG162" s="330">
        <f t="shared" si="510"/>
        <v>0</v>
      </c>
      <c r="BH162" s="330">
        <f t="shared" si="510"/>
        <v>0</v>
      </c>
      <c r="BI162" s="330">
        <f t="shared" si="510"/>
        <v>0</v>
      </c>
      <c r="BJ162" s="386">
        <f t="shared" si="510"/>
        <v>0</v>
      </c>
      <c r="BK162" s="330">
        <f t="shared" si="510"/>
        <v>0</v>
      </c>
      <c r="BL162" s="330">
        <f t="shared" si="510"/>
        <v>0</v>
      </c>
      <c r="BM162" s="330">
        <f t="shared" si="510"/>
        <v>0</v>
      </c>
      <c r="BN162" s="330">
        <f t="shared" si="510"/>
        <v>0</v>
      </c>
      <c r="BO162" s="326">
        <f t="shared" si="510"/>
        <v>0</v>
      </c>
      <c r="BP162" s="330">
        <f t="shared" si="510"/>
        <v>0</v>
      </c>
      <c r="BQ162" s="330">
        <f t="shared" si="510"/>
        <v>0</v>
      </c>
      <c r="BR162" s="330">
        <f t="shared" si="510"/>
        <v>0</v>
      </c>
      <c r="BS162" s="330">
        <f t="shared" si="488"/>
        <v>0</v>
      </c>
      <c r="BT162" s="330">
        <f t="shared" si="488"/>
        <v>1500</v>
      </c>
      <c r="BU162" s="330">
        <f t="shared" si="488"/>
        <v>0</v>
      </c>
      <c r="BV162" s="330">
        <f t="shared" si="488"/>
        <v>0</v>
      </c>
      <c r="BW162" s="330">
        <f t="shared" si="488"/>
        <v>0</v>
      </c>
      <c r="BX162" s="351">
        <f t="shared" si="484"/>
        <v>0</v>
      </c>
      <c r="BY162" s="378">
        <f t="shared" si="485"/>
        <v>0</v>
      </c>
      <c r="BZ162" s="378">
        <f t="shared" si="486"/>
        <v>0</v>
      </c>
    </row>
    <row r="163" spans="1:78" s="234" customFormat="1" ht="14.45" customHeight="1">
      <c r="A163" s="234" t="s">
        <v>136</v>
      </c>
      <c r="C163" s="392"/>
      <c r="D163" s="328"/>
      <c r="E163" s="386">
        <v>0</v>
      </c>
      <c r="F163" s="328" t="s">
        <v>250</v>
      </c>
      <c r="G163" s="388"/>
      <c r="H163" s="388"/>
      <c r="I163" s="388"/>
      <c r="J163" s="388"/>
      <c r="K163" s="388"/>
      <c r="L163" s="329"/>
      <c r="M163" s="329">
        <v>0</v>
      </c>
      <c r="N163" s="329">
        <v>0</v>
      </c>
      <c r="O163" s="329">
        <v>0</v>
      </c>
      <c r="P163" s="329">
        <v>0</v>
      </c>
      <c r="Q163" s="329">
        <v>0</v>
      </c>
      <c r="R163" s="329">
        <v>0</v>
      </c>
      <c r="S163" s="329">
        <v>0</v>
      </c>
      <c r="T163" s="329">
        <v>0</v>
      </c>
      <c r="U163" s="329">
        <v>0</v>
      </c>
      <c r="V163" s="329"/>
      <c r="W163" s="329"/>
      <c r="X163" s="329"/>
      <c r="Y163" s="329">
        <v>1</v>
      </c>
      <c r="Z163" s="329"/>
      <c r="AA163" s="329"/>
      <c r="AB163" s="329"/>
      <c r="AC163" s="426">
        <f t="shared" si="514"/>
        <v>1</v>
      </c>
      <c r="AD163" s="328"/>
      <c r="AE163" s="330">
        <f t="shared" si="459"/>
        <v>0</v>
      </c>
      <c r="AF163" s="330">
        <f t="shared" si="460"/>
        <v>0</v>
      </c>
      <c r="AG163" s="330">
        <f t="shared" si="461"/>
        <v>0</v>
      </c>
      <c r="AH163" s="330">
        <f t="shared" si="462"/>
        <v>0</v>
      </c>
      <c r="AI163" s="330">
        <f t="shared" si="463"/>
        <v>0</v>
      </c>
      <c r="AJ163" s="386">
        <f t="shared" si="464"/>
        <v>0</v>
      </c>
      <c r="AK163" s="330">
        <f t="shared" si="465"/>
        <v>0</v>
      </c>
      <c r="AL163" s="386">
        <f t="shared" si="466"/>
        <v>0</v>
      </c>
      <c r="AM163" s="330">
        <f t="shared" si="467"/>
        <v>0</v>
      </c>
      <c r="AN163" s="330">
        <f t="shared" si="468"/>
        <v>0</v>
      </c>
      <c r="AO163" s="386">
        <f t="shared" si="469"/>
        <v>0</v>
      </c>
      <c r="AP163" s="326">
        <f t="shared" si="470"/>
        <v>0</v>
      </c>
      <c r="AQ163" s="326">
        <f t="shared" si="471"/>
        <v>0</v>
      </c>
      <c r="AR163" s="326">
        <f t="shared" si="472"/>
        <v>0</v>
      </c>
      <c r="AS163" s="326">
        <f t="shared" si="473"/>
        <v>0</v>
      </c>
      <c r="AT163" s="326">
        <f t="shared" si="474"/>
        <v>0</v>
      </c>
      <c r="AU163" s="326">
        <f t="shared" si="475"/>
        <v>0</v>
      </c>
      <c r="AV163" s="326">
        <f t="shared" si="476"/>
        <v>0</v>
      </c>
      <c r="AW163" s="326">
        <f t="shared" si="477"/>
        <v>0</v>
      </c>
      <c r="AX163" s="326">
        <f t="shared" si="481"/>
        <v>0</v>
      </c>
      <c r="AY163" s="326">
        <f t="shared" si="482"/>
        <v>0</v>
      </c>
      <c r="AZ163" s="326">
        <f t="shared" si="483"/>
        <v>0</v>
      </c>
      <c r="BA163" s="330"/>
      <c r="BB163" s="330">
        <f t="shared" si="510"/>
        <v>0</v>
      </c>
      <c r="BC163" s="330">
        <f t="shared" si="510"/>
        <v>0</v>
      </c>
      <c r="BD163" s="330">
        <f t="shared" si="510"/>
        <v>0</v>
      </c>
      <c r="BE163" s="330">
        <f t="shared" si="510"/>
        <v>0</v>
      </c>
      <c r="BF163" s="330">
        <f t="shared" si="510"/>
        <v>0</v>
      </c>
      <c r="BG163" s="330">
        <f t="shared" si="510"/>
        <v>0</v>
      </c>
      <c r="BH163" s="330">
        <f t="shared" si="510"/>
        <v>0</v>
      </c>
      <c r="BI163" s="330">
        <f t="shared" si="510"/>
        <v>0</v>
      </c>
      <c r="BJ163" s="330">
        <f t="shared" si="510"/>
        <v>0</v>
      </c>
      <c r="BK163" s="330">
        <f t="shared" si="510"/>
        <v>0</v>
      </c>
      <c r="BL163" s="330">
        <f t="shared" si="510"/>
        <v>0</v>
      </c>
      <c r="BM163" s="330">
        <f t="shared" si="510"/>
        <v>0</v>
      </c>
      <c r="BN163" s="330">
        <f t="shared" si="510"/>
        <v>0</v>
      </c>
      <c r="BO163" s="326">
        <f t="shared" si="510"/>
        <v>0</v>
      </c>
      <c r="BP163" s="330">
        <f t="shared" si="510"/>
        <v>0</v>
      </c>
      <c r="BQ163" s="330">
        <f t="shared" si="510"/>
        <v>0</v>
      </c>
      <c r="BR163" s="330">
        <f t="shared" si="488"/>
        <v>0</v>
      </c>
      <c r="BS163" s="330">
        <f t="shared" si="488"/>
        <v>0</v>
      </c>
      <c r="BT163" s="330">
        <f t="shared" si="488"/>
        <v>0</v>
      </c>
      <c r="BU163" s="330">
        <f t="shared" si="488"/>
        <v>0</v>
      </c>
      <c r="BV163" s="330">
        <f t="shared" si="488"/>
        <v>0</v>
      </c>
      <c r="BW163" s="330">
        <f t="shared" si="488"/>
        <v>0</v>
      </c>
      <c r="BX163" s="351">
        <f t="shared" si="484"/>
        <v>0</v>
      </c>
      <c r="BY163" s="378">
        <f t="shared" si="485"/>
        <v>0</v>
      </c>
      <c r="BZ163" s="378">
        <f t="shared" si="486"/>
        <v>0</v>
      </c>
    </row>
    <row r="164" spans="1:78" s="234" customFormat="1" ht="14.45" customHeight="1">
      <c r="A164" s="234" t="s">
        <v>139</v>
      </c>
      <c r="C164" s="392"/>
      <c r="D164" s="328"/>
      <c r="E164" s="330">
        <v>120000</v>
      </c>
      <c r="F164" s="328" t="s">
        <v>209</v>
      </c>
      <c r="G164" s="388"/>
      <c r="H164" s="388"/>
      <c r="I164" s="388"/>
      <c r="J164" s="388"/>
      <c r="K164" s="388"/>
      <c r="L164" s="394">
        <v>0</v>
      </c>
      <c r="M164" s="394">
        <v>0</v>
      </c>
      <c r="N164" s="394">
        <v>8.3333333333333329E-2</v>
      </c>
      <c r="O164" s="394">
        <v>4.1666666666666664E-2</v>
      </c>
      <c r="P164" s="394">
        <v>4.1666666666666664E-2</v>
      </c>
      <c r="Q164" s="394">
        <v>9.166666666666666E-2</v>
      </c>
      <c r="R164" s="394">
        <v>0.1</v>
      </c>
      <c r="S164" s="389">
        <v>0.05</v>
      </c>
      <c r="T164" s="329">
        <v>0.05</v>
      </c>
      <c r="U164" s="394">
        <v>0.15</v>
      </c>
      <c r="V164" s="389">
        <v>0.1</v>
      </c>
      <c r="W164" s="389">
        <v>0</v>
      </c>
      <c r="X164" s="394">
        <v>0.125</v>
      </c>
      <c r="Y164" s="394">
        <v>4.1666666666666664E-2</v>
      </c>
      <c r="Z164" s="394">
        <v>4.1666666666666664E-2</v>
      </c>
      <c r="AA164" s="394"/>
      <c r="AB164" s="394">
        <v>8.3333333333333329E-2</v>
      </c>
      <c r="AC164" s="426">
        <f t="shared" si="514"/>
        <v>0.99999999999999989</v>
      </c>
      <c r="AD164" s="328"/>
      <c r="AE164" s="330">
        <f t="shared" si="459"/>
        <v>0</v>
      </c>
      <c r="AF164" s="330">
        <f t="shared" si="460"/>
        <v>0</v>
      </c>
      <c r="AG164" s="330">
        <f t="shared" si="461"/>
        <v>0</v>
      </c>
      <c r="AH164" s="330">
        <f t="shared" si="462"/>
        <v>0</v>
      </c>
      <c r="AI164" s="330">
        <f t="shared" si="463"/>
        <v>0</v>
      </c>
      <c r="AJ164" s="330">
        <f t="shared" si="464"/>
        <v>0</v>
      </c>
      <c r="AK164" s="330">
        <f t="shared" si="465"/>
        <v>0</v>
      </c>
      <c r="AL164" s="330">
        <f t="shared" si="466"/>
        <v>10000</v>
      </c>
      <c r="AM164" s="386">
        <f t="shared" si="467"/>
        <v>5000</v>
      </c>
      <c r="AN164" s="330">
        <f t="shared" si="468"/>
        <v>5000</v>
      </c>
      <c r="AO164" s="330">
        <f t="shared" si="469"/>
        <v>11000</v>
      </c>
      <c r="AP164" s="326">
        <f t="shared" si="470"/>
        <v>12000</v>
      </c>
      <c r="AQ164" s="330">
        <f t="shared" si="471"/>
        <v>6000</v>
      </c>
      <c r="AR164" s="330">
        <f t="shared" si="472"/>
        <v>6000</v>
      </c>
      <c r="AS164" s="330">
        <f t="shared" si="473"/>
        <v>18000</v>
      </c>
      <c r="AT164" s="330">
        <f t="shared" si="474"/>
        <v>12000</v>
      </c>
      <c r="AU164" s="330">
        <f t="shared" si="475"/>
        <v>0</v>
      </c>
      <c r="AV164" s="330">
        <f t="shared" si="476"/>
        <v>15000</v>
      </c>
      <c r="AW164" s="330">
        <f t="shared" si="477"/>
        <v>5000</v>
      </c>
      <c r="AX164" s="330">
        <f t="shared" si="481"/>
        <v>5000</v>
      </c>
      <c r="AY164" s="330">
        <f t="shared" si="482"/>
        <v>0</v>
      </c>
      <c r="AZ164" s="330">
        <f t="shared" si="482"/>
        <v>10000</v>
      </c>
      <c r="BA164" s="330"/>
      <c r="BB164" s="330">
        <f t="shared" si="456"/>
        <v>0</v>
      </c>
      <c r="BC164" s="330">
        <f t="shared" si="456"/>
        <v>0</v>
      </c>
      <c r="BD164" s="330">
        <f t="shared" si="456"/>
        <v>0</v>
      </c>
      <c r="BE164" s="330">
        <f t="shared" si="456"/>
        <v>0</v>
      </c>
      <c r="BF164" s="330">
        <f t="shared" si="456"/>
        <v>0</v>
      </c>
      <c r="BG164" s="330">
        <f t="shared" si="456"/>
        <v>0</v>
      </c>
      <c r="BH164" s="330">
        <f t="shared" si="456"/>
        <v>0</v>
      </c>
      <c r="BI164" s="330">
        <f t="shared" si="456"/>
        <v>120000</v>
      </c>
      <c r="BJ164" s="330">
        <f t="shared" si="456"/>
        <v>0</v>
      </c>
      <c r="BK164" s="330">
        <f t="shared" si="456"/>
        <v>0</v>
      </c>
      <c r="BL164" s="330">
        <f t="shared" si="456"/>
        <v>0</v>
      </c>
      <c r="BM164" s="330">
        <f t="shared" si="456"/>
        <v>0</v>
      </c>
      <c r="BN164" s="330">
        <f t="shared" si="456"/>
        <v>0</v>
      </c>
      <c r="BO164" s="330">
        <f t="shared" si="456"/>
        <v>0</v>
      </c>
      <c r="BP164" s="330">
        <f t="shared" si="456"/>
        <v>0</v>
      </c>
      <c r="BQ164" s="330">
        <f t="shared" si="488"/>
        <v>0</v>
      </c>
      <c r="BR164" s="330">
        <f t="shared" si="488"/>
        <v>0</v>
      </c>
      <c r="BS164" s="330">
        <f t="shared" si="488"/>
        <v>0</v>
      </c>
      <c r="BT164" s="330">
        <f t="shared" si="488"/>
        <v>0</v>
      </c>
      <c r="BU164" s="330">
        <f t="shared" si="488"/>
        <v>0</v>
      </c>
      <c r="BV164" s="330">
        <f t="shared" si="488"/>
        <v>0</v>
      </c>
      <c r="BW164" s="330">
        <f t="shared" si="488"/>
        <v>0</v>
      </c>
      <c r="BX164" s="351">
        <f t="shared" si="484"/>
        <v>0</v>
      </c>
      <c r="BY164" s="378">
        <f t="shared" si="485"/>
        <v>0</v>
      </c>
      <c r="BZ164" s="378">
        <f t="shared" si="486"/>
        <v>0</v>
      </c>
    </row>
    <row r="165" spans="1:78" s="234" customFormat="1" ht="14.45" customHeight="1">
      <c r="A165" s="234" t="s">
        <v>139</v>
      </c>
      <c r="C165" s="392"/>
      <c r="D165" s="328"/>
      <c r="E165" s="330">
        <v>20000</v>
      </c>
      <c r="F165" s="328" t="s">
        <v>266</v>
      </c>
      <c r="G165" s="388"/>
      <c r="H165" s="388"/>
      <c r="I165" s="388"/>
      <c r="J165" s="388"/>
      <c r="K165" s="388"/>
      <c r="L165" s="394">
        <v>0</v>
      </c>
      <c r="M165" s="394">
        <v>0</v>
      </c>
      <c r="N165" s="394">
        <v>0</v>
      </c>
      <c r="O165" s="394">
        <v>0</v>
      </c>
      <c r="P165" s="394">
        <v>0</v>
      </c>
      <c r="Q165" s="394">
        <v>0</v>
      </c>
      <c r="R165" s="394">
        <v>0</v>
      </c>
      <c r="S165" s="389">
        <v>0</v>
      </c>
      <c r="T165" s="329">
        <v>0</v>
      </c>
      <c r="U165" s="394">
        <v>0</v>
      </c>
      <c r="V165" s="389">
        <v>0</v>
      </c>
      <c r="W165" s="389">
        <v>0</v>
      </c>
      <c r="X165" s="394">
        <v>0</v>
      </c>
      <c r="Y165" s="394">
        <v>0</v>
      </c>
      <c r="Z165" s="394">
        <v>0</v>
      </c>
      <c r="AA165" s="394"/>
      <c r="AB165" s="394">
        <v>1</v>
      </c>
      <c r="AC165" s="426">
        <f t="shared" ref="AC165" si="542">SUM(G165:AB165)</f>
        <v>1</v>
      </c>
      <c r="AD165" s="328"/>
      <c r="AE165" s="330">
        <f t="shared" ref="AE165" si="543">G165*$E165</f>
        <v>0</v>
      </c>
      <c r="AF165" s="330">
        <f t="shared" ref="AF165" si="544">H165*$E165</f>
        <v>0</v>
      </c>
      <c r="AG165" s="330">
        <f t="shared" ref="AG165" si="545">I165*$E165</f>
        <v>0</v>
      </c>
      <c r="AH165" s="330">
        <f t="shared" ref="AH165" si="546">J165*$E165</f>
        <v>0</v>
      </c>
      <c r="AI165" s="330">
        <f t="shared" ref="AI165" si="547">K165*$E165</f>
        <v>0</v>
      </c>
      <c r="AJ165" s="330">
        <f t="shared" ref="AJ165" si="548">L165*$E165</f>
        <v>0</v>
      </c>
      <c r="AK165" s="330">
        <f t="shared" ref="AK165" si="549">M165*$E165</f>
        <v>0</v>
      </c>
      <c r="AL165" s="330">
        <f t="shared" ref="AL165" si="550">N165*$E165</f>
        <v>0</v>
      </c>
      <c r="AM165" s="386">
        <f t="shared" ref="AM165" si="551">O165*$E165</f>
        <v>0</v>
      </c>
      <c r="AN165" s="330">
        <f t="shared" ref="AN165" si="552">P165*$E165</f>
        <v>0</v>
      </c>
      <c r="AO165" s="330">
        <f t="shared" ref="AO165" si="553">Q165*$E165</f>
        <v>0</v>
      </c>
      <c r="AP165" s="326">
        <f t="shared" ref="AP165" si="554">R165*$E165</f>
        <v>0</v>
      </c>
      <c r="AQ165" s="330">
        <f t="shared" ref="AQ165" si="555">S165*$E165</f>
        <v>0</v>
      </c>
      <c r="AR165" s="330">
        <f t="shared" ref="AR165" si="556">T165*$E165</f>
        <v>0</v>
      </c>
      <c r="AS165" s="330">
        <f t="shared" ref="AS165" si="557">U165*$E165</f>
        <v>0</v>
      </c>
      <c r="AT165" s="330">
        <f t="shared" ref="AT165" si="558">V165*$E165</f>
        <v>0</v>
      </c>
      <c r="AU165" s="330">
        <f t="shared" ref="AU165" si="559">W165*$E165</f>
        <v>0</v>
      </c>
      <c r="AV165" s="330">
        <f t="shared" ref="AV165" si="560">X165*$E165</f>
        <v>0</v>
      </c>
      <c r="AW165" s="330">
        <f t="shared" ref="AW165" si="561">Y165*$E165</f>
        <v>0</v>
      </c>
      <c r="AX165" s="330">
        <f t="shared" si="481"/>
        <v>0</v>
      </c>
      <c r="AY165" s="330">
        <f t="shared" si="482"/>
        <v>0</v>
      </c>
      <c r="AZ165" s="330">
        <f t="shared" si="483"/>
        <v>20000</v>
      </c>
      <c r="BA165" s="330"/>
      <c r="BB165" s="330">
        <f t="shared" si="456"/>
        <v>0</v>
      </c>
      <c r="BC165" s="330">
        <f t="shared" si="456"/>
        <v>0</v>
      </c>
      <c r="BD165" s="330">
        <f t="shared" si="456"/>
        <v>0</v>
      </c>
      <c r="BE165" s="330">
        <f t="shared" si="456"/>
        <v>0</v>
      </c>
      <c r="BF165" s="330">
        <f t="shared" si="456"/>
        <v>0</v>
      </c>
      <c r="BG165" s="330">
        <f t="shared" si="456"/>
        <v>0</v>
      </c>
      <c r="BH165" s="330">
        <f t="shared" si="456"/>
        <v>0</v>
      </c>
      <c r="BI165" s="330">
        <f t="shared" si="456"/>
        <v>0</v>
      </c>
      <c r="BJ165" s="330">
        <f t="shared" si="456"/>
        <v>0</v>
      </c>
      <c r="BK165" s="330">
        <f t="shared" si="456"/>
        <v>0</v>
      </c>
      <c r="BL165" s="330">
        <f t="shared" si="456"/>
        <v>0</v>
      </c>
      <c r="BM165" s="330">
        <f t="shared" si="456"/>
        <v>0</v>
      </c>
      <c r="BN165" s="330">
        <f t="shared" si="456"/>
        <v>0</v>
      </c>
      <c r="BO165" s="330">
        <f t="shared" si="456"/>
        <v>0</v>
      </c>
      <c r="BP165" s="330">
        <f t="shared" si="456"/>
        <v>0</v>
      </c>
      <c r="BQ165" s="330">
        <f t="shared" si="488"/>
        <v>0</v>
      </c>
      <c r="BR165" s="330">
        <f t="shared" si="488"/>
        <v>0</v>
      </c>
      <c r="BS165" s="330">
        <f t="shared" si="488"/>
        <v>0</v>
      </c>
      <c r="BT165" s="330">
        <f t="shared" si="488"/>
        <v>0</v>
      </c>
      <c r="BU165" s="330">
        <f t="shared" si="488"/>
        <v>20000</v>
      </c>
      <c r="BV165" s="330">
        <f t="shared" si="488"/>
        <v>0</v>
      </c>
      <c r="BW165" s="330">
        <f t="shared" si="488"/>
        <v>0</v>
      </c>
      <c r="BX165" s="351">
        <f t="shared" si="484"/>
        <v>0</v>
      </c>
      <c r="BY165" s="378">
        <f t="shared" si="485"/>
        <v>0</v>
      </c>
      <c r="BZ165" s="378">
        <f t="shared" si="486"/>
        <v>0</v>
      </c>
    </row>
    <row r="166" spans="1:78" s="234" customFormat="1" ht="14.45" customHeight="1">
      <c r="A166" s="234" t="s">
        <v>140</v>
      </c>
      <c r="C166" s="392"/>
      <c r="D166" s="328"/>
      <c r="E166" s="326">
        <v>7666.96</v>
      </c>
      <c r="F166" s="328" t="s">
        <v>189</v>
      </c>
      <c r="G166" s="329"/>
      <c r="H166" s="329">
        <v>1</v>
      </c>
      <c r="I166" s="329">
        <v>0</v>
      </c>
      <c r="J166" s="329">
        <v>0</v>
      </c>
      <c r="K166" s="388"/>
      <c r="L166" s="388"/>
      <c r="M166" s="388"/>
      <c r="N166" s="388"/>
      <c r="O166" s="388"/>
      <c r="P166" s="388"/>
      <c r="Q166" s="388"/>
      <c r="R166" s="388"/>
      <c r="S166" s="388"/>
      <c r="T166" s="388"/>
      <c r="U166" s="388"/>
      <c r="V166" s="388"/>
      <c r="W166" s="388"/>
      <c r="X166" s="388"/>
      <c r="Y166" s="388"/>
      <c r="Z166" s="388"/>
      <c r="AA166" s="388"/>
      <c r="AB166" s="388"/>
      <c r="AC166" s="426">
        <f t="shared" si="514"/>
        <v>1</v>
      </c>
      <c r="AD166" s="328"/>
      <c r="AE166" s="330">
        <f t="shared" si="459"/>
        <v>0</v>
      </c>
      <c r="AF166" s="326">
        <f t="shared" si="460"/>
        <v>7666.96</v>
      </c>
      <c r="AG166" s="330">
        <f t="shared" si="461"/>
        <v>0</v>
      </c>
      <c r="AH166" s="330">
        <f t="shared" si="462"/>
        <v>0</v>
      </c>
      <c r="AI166" s="330">
        <f t="shared" si="463"/>
        <v>0</v>
      </c>
      <c r="AJ166" s="330">
        <f t="shared" si="464"/>
        <v>0</v>
      </c>
      <c r="AK166" s="330">
        <f t="shared" si="465"/>
        <v>0</v>
      </c>
      <c r="AL166" s="330">
        <f t="shared" si="466"/>
        <v>0</v>
      </c>
      <c r="AM166" s="386">
        <f t="shared" si="467"/>
        <v>0</v>
      </c>
      <c r="AN166" s="326">
        <f t="shared" si="468"/>
        <v>0</v>
      </c>
      <c r="AO166" s="330">
        <f t="shared" si="469"/>
        <v>0</v>
      </c>
      <c r="AP166" s="326">
        <f t="shared" si="470"/>
        <v>0</v>
      </c>
      <c r="AQ166" s="330">
        <f t="shared" si="471"/>
        <v>0</v>
      </c>
      <c r="AR166" s="330">
        <f t="shared" si="472"/>
        <v>0</v>
      </c>
      <c r="AS166" s="330">
        <f t="shared" si="473"/>
        <v>0</v>
      </c>
      <c r="AT166" s="330">
        <f t="shared" si="474"/>
        <v>0</v>
      </c>
      <c r="AU166" s="330">
        <f t="shared" si="475"/>
        <v>0</v>
      </c>
      <c r="AV166" s="330">
        <f t="shared" si="476"/>
        <v>0</v>
      </c>
      <c r="AW166" s="330">
        <f t="shared" si="477"/>
        <v>0</v>
      </c>
      <c r="AX166" s="330">
        <f t="shared" si="481"/>
        <v>0</v>
      </c>
      <c r="AY166" s="330">
        <f t="shared" si="482"/>
        <v>0</v>
      </c>
      <c r="AZ166" s="330">
        <f t="shared" si="483"/>
        <v>0</v>
      </c>
      <c r="BA166" s="330"/>
      <c r="BB166" s="330">
        <f t="shared" si="456"/>
        <v>0</v>
      </c>
      <c r="BC166" s="330">
        <f t="shared" si="456"/>
        <v>7666.96</v>
      </c>
      <c r="BD166" s="330">
        <f t="shared" si="456"/>
        <v>0</v>
      </c>
      <c r="BE166" s="330">
        <f t="shared" si="456"/>
        <v>0</v>
      </c>
      <c r="BF166" s="330">
        <f t="shared" si="456"/>
        <v>0</v>
      </c>
      <c r="BG166" s="330">
        <f t="shared" si="456"/>
        <v>0</v>
      </c>
      <c r="BH166" s="330">
        <f t="shared" si="456"/>
        <v>0</v>
      </c>
      <c r="BI166" s="330">
        <f t="shared" si="456"/>
        <v>0</v>
      </c>
      <c r="BJ166" s="330">
        <f t="shared" si="456"/>
        <v>0</v>
      </c>
      <c r="BK166" s="330">
        <f t="shared" si="456"/>
        <v>0</v>
      </c>
      <c r="BL166" s="330">
        <f t="shared" si="456"/>
        <v>0</v>
      </c>
      <c r="BM166" s="330">
        <f t="shared" si="456"/>
        <v>0</v>
      </c>
      <c r="BN166" s="330">
        <f t="shared" si="456"/>
        <v>0</v>
      </c>
      <c r="BO166" s="330">
        <f t="shared" si="456"/>
        <v>0</v>
      </c>
      <c r="BP166" s="330">
        <f t="shared" si="456"/>
        <v>0</v>
      </c>
      <c r="BQ166" s="330">
        <f t="shared" si="488"/>
        <v>0</v>
      </c>
      <c r="BR166" s="330">
        <f t="shared" si="488"/>
        <v>0</v>
      </c>
      <c r="BS166" s="330">
        <f t="shared" si="488"/>
        <v>0</v>
      </c>
      <c r="BT166" s="330">
        <f t="shared" si="488"/>
        <v>0</v>
      </c>
      <c r="BU166" s="330">
        <f t="shared" si="488"/>
        <v>0</v>
      </c>
      <c r="BV166" s="330">
        <f t="shared" si="488"/>
        <v>0</v>
      </c>
      <c r="BW166" s="330">
        <f t="shared" si="488"/>
        <v>0</v>
      </c>
      <c r="BX166" s="351">
        <f t="shared" si="484"/>
        <v>0</v>
      </c>
      <c r="BY166" s="378">
        <f t="shared" si="485"/>
        <v>0</v>
      </c>
      <c r="BZ166" s="378">
        <f t="shared" si="486"/>
        <v>0</v>
      </c>
    </row>
    <row r="167" spans="1:78" s="234" customFormat="1" ht="14.45" customHeight="1">
      <c r="A167" s="234" t="s">
        <v>140</v>
      </c>
      <c r="B167" s="234" t="s">
        <v>293</v>
      </c>
      <c r="C167" s="392"/>
      <c r="D167" s="328"/>
      <c r="E167" s="326">
        <v>1124.3800000000001</v>
      </c>
      <c r="F167" s="328" t="s">
        <v>161</v>
      </c>
      <c r="G167" s="329"/>
      <c r="H167" s="329">
        <v>0</v>
      </c>
      <c r="I167" s="329">
        <v>0</v>
      </c>
      <c r="J167" s="329">
        <v>1</v>
      </c>
      <c r="K167" s="388"/>
      <c r="L167" s="388"/>
      <c r="M167" s="388"/>
      <c r="N167" s="388"/>
      <c r="O167" s="388"/>
      <c r="P167" s="388"/>
      <c r="Q167" s="388"/>
      <c r="R167" s="388"/>
      <c r="S167" s="388"/>
      <c r="T167" s="388"/>
      <c r="U167" s="388"/>
      <c r="V167" s="388"/>
      <c r="W167" s="388"/>
      <c r="X167" s="388"/>
      <c r="Y167" s="388"/>
      <c r="Z167" s="388"/>
      <c r="AA167" s="388"/>
      <c r="AB167" s="388"/>
      <c r="AC167" s="426">
        <f t="shared" si="514"/>
        <v>1</v>
      </c>
      <c r="AD167" s="328"/>
      <c r="AE167" s="330">
        <f t="shared" si="459"/>
        <v>0</v>
      </c>
      <c r="AF167" s="326">
        <f t="shared" si="460"/>
        <v>0</v>
      </c>
      <c r="AG167" s="330">
        <f t="shared" si="461"/>
        <v>0</v>
      </c>
      <c r="AH167" s="330">
        <f t="shared" si="462"/>
        <v>1124.3800000000001</v>
      </c>
      <c r="AI167" s="330">
        <f t="shared" si="463"/>
        <v>0</v>
      </c>
      <c r="AJ167" s="330">
        <f t="shared" si="464"/>
        <v>0</v>
      </c>
      <c r="AK167" s="330">
        <f t="shared" si="465"/>
        <v>0</v>
      </c>
      <c r="AL167" s="330">
        <f t="shared" si="466"/>
        <v>0</v>
      </c>
      <c r="AM167" s="386">
        <f t="shared" si="467"/>
        <v>0</v>
      </c>
      <c r="AN167" s="326">
        <f t="shared" si="468"/>
        <v>0</v>
      </c>
      <c r="AO167" s="330">
        <f t="shared" si="469"/>
        <v>0</v>
      </c>
      <c r="AP167" s="326">
        <f t="shared" si="470"/>
        <v>0</v>
      </c>
      <c r="AQ167" s="330">
        <f t="shared" si="471"/>
        <v>0</v>
      </c>
      <c r="AR167" s="330">
        <f t="shared" si="472"/>
        <v>0</v>
      </c>
      <c r="AS167" s="330">
        <f t="shared" si="473"/>
        <v>0</v>
      </c>
      <c r="AT167" s="330">
        <f t="shared" si="474"/>
        <v>0</v>
      </c>
      <c r="AU167" s="330">
        <f t="shared" si="475"/>
        <v>0</v>
      </c>
      <c r="AV167" s="330">
        <f t="shared" si="476"/>
        <v>0</v>
      </c>
      <c r="AW167" s="330">
        <f t="shared" si="477"/>
        <v>0</v>
      </c>
      <c r="AX167" s="330">
        <f t="shared" si="481"/>
        <v>0</v>
      </c>
      <c r="AY167" s="330">
        <f t="shared" si="482"/>
        <v>0</v>
      </c>
      <c r="AZ167" s="330">
        <f t="shared" si="483"/>
        <v>0</v>
      </c>
      <c r="BA167" s="330"/>
      <c r="BB167" s="330">
        <f t="shared" ref="BB167:BP176" si="562">IF(BB$3=$F167,$E167,0)</f>
        <v>0</v>
      </c>
      <c r="BC167" s="330">
        <f t="shared" si="562"/>
        <v>0</v>
      </c>
      <c r="BD167" s="330">
        <f t="shared" si="562"/>
        <v>1124.3800000000001</v>
      </c>
      <c r="BE167" s="330">
        <f t="shared" si="562"/>
        <v>0</v>
      </c>
      <c r="BF167" s="330">
        <f t="shared" si="562"/>
        <v>0</v>
      </c>
      <c r="BG167" s="330">
        <f t="shared" si="562"/>
        <v>0</v>
      </c>
      <c r="BH167" s="330">
        <f t="shared" si="562"/>
        <v>0</v>
      </c>
      <c r="BI167" s="330">
        <f t="shared" si="562"/>
        <v>0</v>
      </c>
      <c r="BJ167" s="330">
        <f t="shared" si="562"/>
        <v>0</v>
      </c>
      <c r="BK167" s="330">
        <f t="shared" si="562"/>
        <v>0</v>
      </c>
      <c r="BL167" s="330">
        <f t="shared" si="562"/>
        <v>0</v>
      </c>
      <c r="BM167" s="330">
        <f t="shared" si="562"/>
        <v>0</v>
      </c>
      <c r="BN167" s="330">
        <f t="shared" si="562"/>
        <v>0</v>
      </c>
      <c r="BO167" s="330">
        <f t="shared" si="562"/>
        <v>0</v>
      </c>
      <c r="BP167" s="330">
        <f t="shared" si="562"/>
        <v>0</v>
      </c>
      <c r="BQ167" s="330">
        <f t="shared" si="488"/>
        <v>0</v>
      </c>
      <c r="BR167" s="330">
        <f t="shared" si="488"/>
        <v>0</v>
      </c>
      <c r="BS167" s="330">
        <f t="shared" si="488"/>
        <v>0</v>
      </c>
      <c r="BT167" s="330">
        <f t="shared" si="488"/>
        <v>0</v>
      </c>
      <c r="BU167" s="330">
        <f t="shared" si="488"/>
        <v>0</v>
      </c>
      <c r="BV167" s="330">
        <f t="shared" si="488"/>
        <v>0</v>
      </c>
      <c r="BW167" s="330">
        <f t="shared" si="488"/>
        <v>0</v>
      </c>
      <c r="BX167" s="351">
        <f t="shared" si="484"/>
        <v>0</v>
      </c>
      <c r="BY167" s="378">
        <f t="shared" si="485"/>
        <v>0</v>
      </c>
      <c r="BZ167" s="378">
        <f t="shared" si="486"/>
        <v>0</v>
      </c>
    </row>
    <row r="168" spans="1:78" s="234" customFormat="1" ht="14.45" customHeight="1">
      <c r="A168" s="234" t="s">
        <v>140</v>
      </c>
      <c r="B168" s="234" t="s">
        <v>300</v>
      </c>
      <c r="C168" s="392"/>
      <c r="D168" s="328"/>
      <c r="E168" s="326">
        <v>2343.7800000000002</v>
      </c>
      <c r="F168" s="328" t="s">
        <v>202</v>
      </c>
      <c r="G168" s="329"/>
      <c r="H168" s="329">
        <v>0</v>
      </c>
      <c r="I168" s="329">
        <v>0</v>
      </c>
      <c r="J168" s="329">
        <v>0</v>
      </c>
      <c r="K168" s="388"/>
      <c r="L168" s="388"/>
      <c r="M168" s="388"/>
      <c r="N168" s="388"/>
      <c r="O168" s="388"/>
      <c r="P168" s="388"/>
      <c r="Q168" s="388"/>
      <c r="R168" s="388"/>
      <c r="S168" s="388"/>
      <c r="T168" s="388"/>
      <c r="U168" s="388">
        <v>0</v>
      </c>
      <c r="V168" s="389">
        <v>1</v>
      </c>
      <c r="W168" s="388">
        <v>0</v>
      </c>
      <c r="X168" s="388"/>
      <c r="Y168" s="388"/>
      <c r="Z168" s="388"/>
      <c r="AA168" s="388"/>
      <c r="AB168" s="388"/>
      <c r="AC168" s="426">
        <f t="shared" si="514"/>
        <v>1</v>
      </c>
      <c r="AD168" s="328"/>
      <c r="AE168" s="330">
        <f t="shared" si="459"/>
        <v>0</v>
      </c>
      <c r="AF168" s="326">
        <f t="shared" si="460"/>
        <v>0</v>
      </c>
      <c r="AG168" s="330">
        <f t="shared" si="461"/>
        <v>0</v>
      </c>
      <c r="AH168" s="330">
        <f t="shared" si="462"/>
        <v>0</v>
      </c>
      <c r="AI168" s="330">
        <f t="shared" si="463"/>
        <v>0</v>
      </c>
      <c r="AJ168" s="330">
        <f t="shared" si="464"/>
        <v>0</v>
      </c>
      <c r="AK168" s="330">
        <f t="shared" si="465"/>
        <v>0</v>
      </c>
      <c r="AL168" s="330">
        <f t="shared" si="466"/>
        <v>0</v>
      </c>
      <c r="AM168" s="386">
        <f t="shared" si="467"/>
        <v>0</v>
      </c>
      <c r="AN168" s="326">
        <f t="shared" si="468"/>
        <v>0</v>
      </c>
      <c r="AO168" s="330">
        <f t="shared" si="469"/>
        <v>0</v>
      </c>
      <c r="AP168" s="326">
        <f t="shared" si="470"/>
        <v>0</v>
      </c>
      <c r="AQ168" s="330">
        <f t="shared" si="471"/>
        <v>0</v>
      </c>
      <c r="AR168" s="330">
        <f t="shared" si="472"/>
        <v>0</v>
      </c>
      <c r="AS168" s="330">
        <f t="shared" si="473"/>
        <v>0</v>
      </c>
      <c r="AT168" s="326">
        <f t="shared" si="474"/>
        <v>2343.7800000000002</v>
      </c>
      <c r="AU168" s="330">
        <f t="shared" si="475"/>
        <v>0</v>
      </c>
      <c r="AV168" s="330">
        <f t="shared" si="476"/>
        <v>0</v>
      </c>
      <c r="AW168" s="330">
        <f t="shared" si="477"/>
        <v>0</v>
      </c>
      <c r="AX168" s="330">
        <f t="shared" si="481"/>
        <v>0</v>
      </c>
      <c r="AY168" s="330">
        <f t="shared" si="482"/>
        <v>0</v>
      </c>
      <c r="AZ168" s="330">
        <f t="shared" si="483"/>
        <v>0</v>
      </c>
      <c r="BA168" s="330"/>
      <c r="BB168" s="330">
        <f t="shared" si="562"/>
        <v>0</v>
      </c>
      <c r="BC168" s="330">
        <f t="shared" si="562"/>
        <v>0</v>
      </c>
      <c r="BD168" s="330">
        <f t="shared" si="562"/>
        <v>0</v>
      </c>
      <c r="BE168" s="330">
        <f t="shared" si="562"/>
        <v>0</v>
      </c>
      <c r="BF168" s="330">
        <f t="shared" si="562"/>
        <v>0</v>
      </c>
      <c r="BG168" s="330">
        <f t="shared" si="562"/>
        <v>0</v>
      </c>
      <c r="BH168" s="330">
        <f t="shared" si="562"/>
        <v>0</v>
      </c>
      <c r="BI168" s="330">
        <f t="shared" si="562"/>
        <v>0</v>
      </c>
      <c r="BJ168" s="330">
        <f t="shared" si="562"/>
        <v>0</v>
      </c>
      <c r="BK168" s="330">
        <f t="shared" si="562"/>
        <v>0</v>
      </c>
      <c r="BL168" s="330">
        <f t="shared" si="562"/>
        <v>0</v>
      </c>
      <c r="BM168" s="330">
        <f t="shared" si="562"/>
        <v>0</v>
      </c>
      <c r="BN168" s="330">
        <f t="shared" si="562"/>
        <v>0</v>
      </c>
      <c r="BO168" s="330">
        <f t="shared" si="562"/>
        <v>0</v>
      </c>
      <c r="BP168" s="330">
        <f t="shared" si="562"/>
        <v>2343.7800000000002</v>
      </c>
      <c r="BQ168" s="330">
        <f t="shared" si="488"/>
        <v>0</v>
      </c>
      <c r="BR168" s="330">
        <f t="shared" si="488"/>
        <v>0</v>
      </c>
      <c r="BS168" s="330">
        <f t="shared" si="488"/>
        <v>0</v>
      </c>
      <c r="BT168" s="330">
        <f t="shared" si="488"/>
        <v>0</v>
      </c>
      <c r="BU168" s="330">
        <f t="shared" si="488"/>
        <v>0</v>
      </c>
      <c r="BV168" s="330">
        <f t="shared" si="488"/>
        <v>0</v>
      </c>
      <c r="BW168" s="330">
        <f t="shared" si="488"/>
        <v>0</v>
      </c>
      <c r="BX168" s="351">
        <f t="shared" si="484"/>
        <v>0</v>
      </c>
      <c r="BY168" s="378">
        <f t="shared" si="485"/>
        <v>0</v>
      </c>
      <c r="BZ168" s="378">
        <f t="shared" si="486"/>
        <v>0</v>
      </c>
    </row>
    <row r="169" spans="1:78" s="234" customFormat="1" ht="14.45" customHeight="1">
      <c r="A169" s="234" t="s">
        <v>140</v>
      </c>
      <c r="B169" s="234" t="s">
        <v>297</v>
      </c>
      <c r="C169" s="392"/>
      <c r="D169" s="328"/>
      <c r="E169" s="326">
        <v>982.1</v>
      </c>
      <c r="F169" s="328" t="s">
        <v>161</v>
      </c>
      <c r="G169" s="329"/>
      <c r="H169" s="329">
        <v>0</v>
      </c>
      <c r="I169" s="329">
        <v>0.18181818181818182</v>
      </c>
      <c r="J169" s="329">
        <v>0.27272727272727271</v>
      </c>
      <c r="K169" s="395">
        <v>0.27272727272727271</v>
      </c>
      <c r="L169" s="395">
        <v>0.27272727272727271</v>
      </c>
      <c r="M169" s="388"/>
      <c r="N169" s="388"/>
      <c r="O169" s="388"/>
      <c r="P169" s="388"/>
      <c r="Q169" s="388"/>
      <c r="R169" s="388"/>
      <c r="S169" s="388"/>
      <c r="T169" s="388"/>
      <c r="U169" s="388"/>
      <c r="V169" s="388"/>
      <c r="W169" s="388"/>
      <c r="X169" s="388"/>
      <c r="Y169" s="388"/>
      <c r="Z169" s="388"/>
      <c r="AA169" s="388"/>
      <c r="AB169" s="388"/>
      <c r="AC169" s="426">
        <f t="shared" si="514"/>
        <v>1</v>
      </c>
      <c r="AD169" s="328"/>
      <c r="AE169" s="330">
        <f t="shared" si="459"/>
        <v>0</v>
      </c>
      <c r="AF169" s="326">
        <f t="shared" si="460"/>
        <v>0</v>
      </c>
      <c r="AG169" s="330">
        <f t="shared" si="461"/>
        <v>178.56363636363636</v>
      </c>
      <c r="AH169" s="330">
        <f t="shared" si="462"/>
        <v>267.84545454545452</v>
      </c>
      <c r="AI169" s="330">
        <f t="shared" si="463"/>
        <v>267.84545454545452</v>
      </c>
      <c r="AJ169" s="330">
        <f t="shared" si="464"/>
        <v>267.84545454545452</v>
      </c>
      <c r="AK169" s="330">
        <f t="shared" si="465"/>
        <v>0</v>
      </c>
      <c r="AL169" s="330">
        <f t="shared" si="466"/>
        <v>0</v>
      </c>
      <c r="AM169" s="386">
        <f t="shared" si="467"/>
        <v>0</v>
      </c>
      <c r="AN169" s="326">
        <f t="shared" si="468"/>
        <v>0</v>
      </c>
      <c r="AO169" s="330">
        <f t="shared" si="469"/>
        <v>0</v>
      </c>
      <c r="AP169" s="326">
        <f t="shared" si="470"/>
        <v>0</v>
      </c>
      <c r="AQ169" s="330">
        <f t="shared" si="471"/>
        <v>0</v>
      </c>
      <c r="AR169" s="330">
        <f t="shared" si="472"/>
        <v>0</v>
      </c>
      <c r="AS169" s="330">
        <f t="shared" si="473"/>
        <v>0</v>
      </c>
      <c r="AT169" s="330">
        <f t="shared" si="474"/>
        <v>0</v>
      </c>
      <c r="AU169" s="330">
        <f t="shared" si="475"/>
        <v>0</v>
      </c>
      <c r="AV169" s="330">
        <f t="shared" si="476"/>
        <v>0</v>
      </c>
      <c r="AW169" s="330">
        <f t="shared" si="477"/>
        <v>0</v>
      </c>
      <c r="AX169" s="330">
        <f t="shared" si="481"/>
        <v>0</v>
      </c>
      <c r="AY169" s="330">
        <f t="shared" si="482"/>
        <v>0</v>
      </c>
      <c r="AZ169" s="330">
        <f t="shared" si="483"/>
        <v>0</v>
      </c>
      <c r="BA169" s="330"/>
      <c r="BB169" s="330">
        <f t="shared" ref="BB169:BW169" si="563">IF(BB$3=$F169,$E169,0)</f>
        <v>0</v>
      </c>
      <c r="BC169" s="330">
        <f t="shared" si="563"/>
        <v>0</v>
      </c>
      <c r="BD169" s="330">
        <f t="shared" si="563"/>
        <v>982.1</v>
      </c>
      <c r="BE169" s="330">
        <f t="shared" si="563"/>
        <v>0</v>
      </c>
      <c r="BF169" s="330">
        <f t="shared" si="563"/>
        <v>0</v>
      </c>
      <c r="BG169" s="330">
        <f t="shared" si="563"/>
        <v>0</v>
      </c>
      <c r="BH169" s="330">
        <f t="shared" si="563"/>
        <v>0</v>
      </c>
      <c r="BI169" s="330">
        <f t="shared" si="563"/>
        <v>0</v>
      </c>
      <c r="BJ169" s="330">
        <f t="shared" si="563"/>
        <v>0</v>
      </c>
      <c r="BK169" s="330">
        <f t="shared" si="563"/>
        <v>0</v>
      </c>
      <c r="BL169" s="330">
        <f t="shared" si="563"/>
        <v>0</v>
      </c>
      <c r="BM169" s="330">
        <f t="shared" si="563"/>
        <v>0</v>
      </c>
      <c r="BN169" s="330">
        <f t="shared" si="563"/>
        <v>0</v>
      </c>
      <c r="BO169" s="330">
        <f t="shared" si="563"/>
        <v>0</v>
      </c>
      <c r="BP169" s="330">
        <f t="shared" si="563"/>
        <v>0</v>
      </c>
      <c r="BQ169" s="330">
        <f t="shared" si="563"/>
        <v>0</v>
      </c>
      <c r="BR169" s="330">
        <f t="shared" si="563"/>
        <v>0</v>
      </c>
      <c r="BS169" s="330">
        <f t="shared" si="563"/>
        <v>0</v>
      </c>
      <c r="BT169" s="330">
        <f t="shared" si="563"/>
        <v>0</v>
      </c>
      <c r="BU169" s="330">
        <f t="shared" si="563"/>
        <v>0</v>
      </c>
      <c r="BV169" s="330">
        <f t="shared" si="563"/>
        <v>0</v>
      </c>
      <c r="BW169" s="330">
        <f t="shared" si="563"/>
        <v>0</v>
      </c>
      <c r="BX169" s="351">
        <f t="shared" si="484"/>
        <v>0</v>
      </c>
      <c r="BY169" s="378">
        <f t="shared" si="485"/>
        <v>0</v>
      </c>
      <c r="BZ169" s="378">
        <f t="shared" si="486"/>
        <v>0</v>
      </c>
    </row>
    <row r="170" spans="1:78" s="234" customFormat="1" ht="14.45" customHeight="1" outlineLevel="1">
      <c r="A170" s="234" t="s">
        <v>137</v>
      </c>
      <c r="C170" s="392"/>
      <c r="D170" s="328"/>
      <c r="E170" s="330">
        <f>SUM(G170:AB170)</f>
        <v>15389.66</v>
      </c>
      <c r="F170" s="388" t="s">
        <v>161</v>
      </c>
      <c r="G170" s="391"/>
      <c r="H170" s="391">
        <v>0</v>
      </c>
      <c r="I170" s="391">
        <v>375</v>
      </c>
      <c r="J170" s="391">
        <v>4500</v>
      </c>
      <c r="K170" s="391">
        <v>4848.4799999999996</v>
      </c>
      <c r="L170" s="391">
        <v>4771.5200000000004</v>
      </c>
      <c r="M170" s="391">
        <v>894.66</v>
      </c>
      <c r="N170" s="391">
        <v>0</v>
      </c>
      <c r="O170" s="391">
        <v>0</v>
      </c>
      <c r="P170" s="391">
        <v>0</v>
      </c>
      <c r="Q170" s="391">
        <v>0</v>
      </c>
      <c r="R170" s="391">
        <v>0</v>
      </c>
      <c r="S170" s="391">
        <v>0</v>
      </c>
      <c r="T170" s="391">
        <v>0</v>
      </c>
      <c r="U170" s="396">
        <v>0</v>
      </c>
      <c r="V170" s="396">
        <v>0</v>
      </c>
      <c r="W170" s="396">
        <v>0</v>
      </c>
      <c r="X170" s="396">
        <v>0</v>
      </c>
      <c r="Y170" s="396">
        <v>0</v>
      </c>
      <c r="Z170" s="396"/>
      <c r="AA170" s="396"/>
      <c r="AB170" s="396"/>
      <c r="AC170" s="330">
        <f>SUM(G170:AB170)</f>
        <v>15389.66</v>
      </c>
      <c r="AD170" s="328"/>
      <c r="AE170" s="330">
        <f t="shared" ref="AE170:AN171" si="564">G170</f>
        <v>0</v>
      </c>
      <c r="AF170" s="330">
        <f t="shared" si="564"/>
        <v>0</v>
      </c>
      <c r="AG170" s="330">
        <f t="shared" si="564"/>
        <v>375</v>
      </c>
      <c r="AH170" s="330">
        <f t="shared" si="564"/>
        <v>4500</v>
      </c>
      <c r="AI170" s="330">
        <f t="shared" si="564"/>
        <v>4848.4799999999996</v>
      </c>
      <c r="AJ170" s="330">
        <f t="shared" si="564"/>
        <v>4771.5200000000004</v>
      </c>
      <c r="AK170" s="330">
        <f t="shared" si="564"/>
        <v>894.66</v>
      </c>
      <c r="AL170" s="330">
        <f t="shared" si="564"/>
        <v>0</v>
      </c>
      <c r="AM170" s="386">
        <f t="shared" si="564"/>
        <v>0</v>
      </c>
      <c r="AN170" s="330">
        <f t="shared" si="564"/>
        <v>0</v>
      </c>
      <c r="AO170" s="330">
        <f t="shared" ref="AO170:AW171" si="565">Q170</f>
        <v>0</v>
      </c>
      <c r="AP170" s="326">
        <f t="shared" si="565"/>
        <v>0</v>
      </c>
      <c r="AQ170" s="330">
        <f t="shared" si="565"/>
        <v>0</v>
      </c>
      <c r="AR170" s="330">
        <f t="shared" si="565"/>
        <v>0</v>
      </c>
      <c r="AS170" s="330">
        <f t="shared" si="565"/>
        <v>0</v>
      </c>
      <c r="AT170" s="330">
        <f t="shared" si="565"/>
        <v>0</v>
      </c>
      <c r="AU170" s="330">
        <f t="shared" si="565"/>
        <v>0</v>
      </c>
      <c r="AV170" s="330">
        <f t="shared" si="565"/>
        <v>0</v>
      </c>
      <c r="AW170" s="330">
        <f t="shared" si="565"/>
        <v>0</v>
      </c>
      <c r="AX170" s="330">
        <f t="shared" ref="AX170:AZ171" si="566">Z170</f>
        <v>0</v>
      </c>
      <c r="AY170" s="330">
        <f t="shared" si="566"/>
        <v>0</v>
      </c>
      <c r="AZ170" s="330">
        <f t="shared" si="566"/>
        <v>0</v>
      </c>
      <c r="BA170" s="330"/>
      <c r="BB170" s="330">
        <f>IF(BB$191=$F170,SUM(AE170:AH170),0)</f>
        <v>0</v>
      </c>
      <c r="BC170" s="330">
        <f>IF(BC$191=$F170,SUM(AF170:AI170),0)</f>
        <v>0</v>
      </c>
      <c r="BD170" s="330">
        <f>IF(BD$191=$F170,SUM(AG170:AJ170),0)</f>
        <v>14495</v>
      </c>
      <c r="BE170" s="330">
        <v>894.66</v>
      </c>
      <c r="BF170" s="330">
        <v>0</v>
      </c>
      <c r="BG170" s="330">
        <f>IF(BG$191=$F170,SUM(AJ170:AM170),0)</f>
        <v>0</v>
      </c>
      <c r="BH170" s="330">
        <v>0</v>
      </c>
      <c r="BI170" s="330">
        <f t="shared" ref="BI170:BK171" si="567">IF(BI$191=$F170,SUM(AL170:AO170),0)</f>
        <v>0</v>
      </c>
      <c r="BJ170" s="330">
        <f t="shared" si="567"/>
        <v>0</v>
      </c>
      <c r="BK170" s="330">
        <f t="shared" si="567"/>
        <v>0</v>
      </c>
      <c r="BL170" s="330">
        <v>0</v>
      </c>
      <c r="BM170" s="330">
        <f>IF(BM$191=$F170,SUM(AP170:AS170),0)</f>
        <v>0</v>
      </c>
      <c r="BN170" s="330">
        <f>IF(BN$191=$F170,SUM(AQ170:$AS170),0)</f>
        <v>0</v>
      </c>
      <c r="BO170" s="326">
        <f>IF(BO$191=$F170,SUM(AR170:$AS170),0)</f>
        <v>0</v>
      </c>
      <c r="BP170" s="330">
        <f>IF(BP$191=$F170,SUM(AS170:$AS170),0)</f>
        <v>0</v>
      </c>
      <c r="BQ170" s="330">
        <f>IF(BQ$191=$F170,SUM($AS170:AT170),0)</f>
        <v>0</v>
      </c>
      <c r="BR170" s="330">
        <f>IF(BR$191=$F170,SUM($AS170:AU170),0)</f>
        <v>0</v>
      </c>
      <c r="BS170" s="326">
        <f>IF(BS$191=$F170,SUM($AS170:AV170),0)</f>
        <v>0</v>
      </c>
      <c r="BT170" s="326">
        <f>IF(BT$191=$F170,SUM($AS170:AW170),0)</f>
        <v>0</v>
      </c>
      <c r="BU170" s="330">
        <f>IF(BU$191=$F170,SUM($AS170:AX170),0)</f>
        <v>0</v>
      </c>
      <c r="BV170" s="330">
        <f>IF(BV$191=$F170,SUM($AS170:AY170),0)</f>
        <v>0</v>
      </c>
      <c r="BW170" s="330">
        <f>IF(BW$191=$F170,SUM($AS170:AZ170),0)</f>
        <v>0</v>
      </c>
      <c r="BX170" s="351">
        <f t="shared" ref="BX170:BX203" si="568">SUM(AE170:AZ170)-SUM(BB170:BW170)</f>
        <v>0</v>
      </c>
      <c r="BY170" s="378">
        <f t="shared" ref="BY170:BY206" si="569">E170-SUM(BB170:BW170)</f>
        <v>0</v>
      </c>
      <c r="BZ170" s="378">
        <f t="shared" ref="BZ170:BZ206" si="570">+E170-SUM(AE170:AZ170)</f>
        <v>0</v>
      </c>
    </row>
    <row r="171" spans="1:78" s="234" customFormat="1" ht="14.45" customHeight="1">
      <c r="A171" s="234" t="s">
        <v>140</v>
      </c>
      <c r="B171" s="234" t="s">
        <v>295</v>
      </c>
      <c r="C171" s="392"/>
      <c r="D171" s="328"/>
      <c r="E171" s="326">
        <v>7222.5</v>
      </c>
      <c r="F171" s="388" t="s">
        <v>161</v>
      </c>
      <c r="G171" s="391"/>
      <c r="H171" s="391"/>
      <c r="I171" s="391"/>
      <c r="J171" s="391" t="s">
        <v>98</v>
      </c>
      <c r="K171" s="391"/>
      <c r="L171" s="391">
        <v>0</v>
      </c>
      <c r="M171" s="391">
        <v>0</v>
      </c>
      <c r="N171" s="391">
        <v>0</v>
      </c>
      <c r="O171" s="391">
        <v>0</v>
      </c>
      <c r="P171" s="391">
        <v>7222.5</v>
      </c>
      <c r="Q171" s="391"/>
      <c r="R171" s="391"/>
      <c r="S171" s="391"/>
      <c r="T171" s="391"/>
      <c r="U171" s="396"/>
      <c r="V171" s="396"/>
      <c r="W171" s="396"/>
      <c r="X171" s="396"/>
      <c r="Y171" s="396"/>
      <c r="Z171" s="396"/>
      <c r="AA171" s="396"/>
      <c r="AB171" s="396"/>
      <c r="AC171" s="330">
        <f t="shared" ref="AC171:AC172" si="571">SUM(G171:AB171)</f>
        <v>7222.5</v>
      </c>
      <c r="AD171" s="328"/>
      <c r="AE171" s="330">
        <f t="shared" si="564"/>
        <v>0</v>
      </c>
      <c r="AF171" s="326">
        <f t="shared" si="564"/>
        <v>0</v>
      </c>
      <c r="AG171" s="330">
        <f t="shared" si="564"/>
        <v>0</v>
      </c>
      <c r="AH171" s="330" t="str">
        <f t="shared" si="564"/>
        <v xml:space="preserve"> </v>
      </c>
      <c r="AI171" s="330">
        <f t="shared" si="564"/>
        <v>0</v>
      </c>
      <c r="AJ171" s="330">
        <f t="shared" si="564"/>
        <v>0</v>
      </c>
      <c r="AK171" s="330">
        <f t="shared" si="564"/>
        <v>0</v>
      </c>
      <c r="AL171" s="386">
        <f t="shared" si="564"/>
        <v>0</v>
      </c>
      <c r="AM171" s="386">
        <f t="shared" si="564"/>
        <v>0</v>
      </c>
      <c r="AN171" s="326">
        <f t="shared" si="564"/>
        <v>7222.5</v>
      </c>
      <c r="AO171" s="330">
        <f t="shared" si="565"/>
        <v>0</v>
      </c>
      <c r="AP171" s="326">
        <f t="shared" si="565"/>
        <v>0</v>
      </c>
      <c r="AQ171" s="330">
        <f t="shared" si="565"/>
        <v>0</v>
      </c>
      <c r="AR171" s="330">
        <f t="shared" si="565"/>
        <v>0</v>
      </c>
      <c r="AS171" s="330">
        <f t="shared" si="565"/>
        <v>0</v>
      </c>
      <c r="AT171" s="330">
        <f t="shared" si="565"/>
        <v>0</v>
      </c>
      <c r="AU171" s="330">
        <f t="shared" si="565"/>
        <v>0</v>
      </c>
      <c r="AV171" s="330">
        <f t="shared" si="565"/>
        <v>0</v>
      </c>
      <c r="AW171" s="330">
        <f t="shared" si="565"/>
        <v>0</v>
      </c>
      <c r="AX171" s="330">
        <f t="shared" si="566"/>
        <v>0</v>
      </c>
      <c r="AY171" s="330">
        <f t="shared" si="566"/>
        <v>0</v>
      </c>
      <c r="AZ171" s="330">
        <f t="shared" si="566"/>
        <v>0</v>
      </c>
      <c r="BA171" s="330"/>
      <c r="BB171" s="330">
        <f>IF(BB$191=$F171,SUM(AE171:AH171),0)</f>
        <v>0</v>
      </c>
      <c r="BC171" s="330">
        <f>IF(BC$191=$F171,SUM(AF171:AI171),0)</f>
        <v>0</v>
      </c>
      <c r="BD171" s="330">
        <v>7222.5</v>
      </c>
      <c r="BE171" s="330">
        <f>IF(BE$191=$F171,SUM(AH171:AK171),0)</f>
        <v>0</v>
      </c>
      <c r="BF171" s="330">
        <f>IF(BF$191=$F171,SUM(AI171:AL171),0)</f>
        <v>0</v>
      </c>
      <c r="BG171" s="330">
        <f>IF(BG$191=$F171,SUM(AJ171:AM171),0)</f>
        <v>0</v>
      </c>
      <c r="BH171" s="330">
        <v>0</v>
      </c>
      <c r="BI171" s="330">
        <f t="shared" si="567"/>
        <v>0</v>
      </c>
      <c r="BJ171" s="330">
        <f t="shared" si="567"/>
        <v>0</v>
      </c>
      <c r="BK171" s="330">
        <f t="shared" si="567"/>
        <v>0</v>
      </c>
      <c r="BL171" s="330">
        <f>IF(BL$191=$F171,SUM(AO171:AR171),0)</f>
        <v>0</v>
      </c>
      <c r="BM171" s="330">
        <f>IF(BM$191=$F171,SUM(AP171:AS171),0)</f>
        <v>0</v>
      </c>
      <c r="BN171" s="330">
        <f>IF(BN$191=$F171,SUM(AQ171:$AS171),0)</f>
        <v>0</v>
      </c>
      <c r="BO171" s="330">
        <f>IF(BO$191=$F171,SUM(AR171:$AS171),0)</f>
        <v>0</v>
      </c>
      <c r="BP171" s="330">
        <f>IF(BP$191=$F171,SUM(AS171:$AS171),0)</f>
        <v>0</v>
      </c>
      <c r="BQ171" s="330">
        <f>IF(BQ$191=$F171,SUM($AS171:AT171),0)</f>
        <v>0</v>
      </c>
      <c r="BR171" s="330">
        <v>0</v>
      </c>
      <c r="BS171" s="330">
        <v>0</v>
      </c>
      <c r="BT171" s="330">
        <v>0</v>
      </c>
      <c r="BU171" s="330">
        <v>0</v>
      </c>
      <c r="BV171" s="330">
        <v>0</v>
      </c>
      <c r="BW171" s="330">
        <v>0</v>
      </c>
      <c r="BX171" s="351">
        <f t="shared" si="568"/>
        <v>0</v>
      </c>
      <c r="BY171" s="378">
        <f t="shared" si="569"/>
        <v>0</v>
      </c>
      <c r="BZ171" s="378">
        <f t="shared" si="570"/>
        <v>0</v>
      </c>
    </row>
    <row r="172" spans="1:78" s="234" customFormat="1" ht="14.45" customHeight="1">
      <c r="A172" s="234" t="s">
        <v>140</v>
      </c>
      <c r="B172" s="234" t="s">
        <v>299</v>
      </c>
      <c r="C172" s="392"/>
      <c r="D172" s="328"/>
      <c r="E172" s="326">
        <v>505.16</v>
      </c>
      <c r="F172" s="328" t="s">
        <v>193</v>
      </c>
      <c r="G172" s="329"/>
      <c r="H172" s="329">
        <v>0</v>
      </c>
      <c r="I172" s="329">
        <v>0</v>
      </c>
      <c r="J172" s="329">
        <v>1</v>
      </c>
      <c r="K172" s="329">
        <v>0</v>
      </c>
      <c r="L172" s="329">
        <v>0</v>
      </c>
      <c r="M172" s="329">
        <v>0</v>
      </c>
      <c r="N172" s="388"/>
      <c r="O172" s="388"/>
      <c r="P172" s="388"/>
      <c r="Q172" s="388"/>
      <c r="R172" s="388"/>
      <c r="S172" s="388"/>
      <c r="T172" s="388"/>
      <c r="U172" s="388"/>
      <c r="V172" s="388"/>
      <c r="W172" s="388"/>
      <c r="X172" s="388"/>
      <c r="Y172" s="388"/>
      <c r="Z172" s="388"/>
      <c r="AA172" s="388"/>
      <c r="AB172" s="388"/>
      <c r="AC172" s="426">
        <f t="shared" si="571"/>
        <v>1</v>
      </c>
      <c r="AD172" s="328"/>
      <c r="AE172" s="330">
        <f t="shared" ref="AE172:AW172" si="572">G172*$E172</f>
        <v>0</v>
      </c>
      <c r="AF172" s="326">
        <f t="shared" si="572"/>
        <v>0</v>
      </c>
      <c r="AG172" s="330">
        <f t="shared" si="572"/>
        <v>0</v>
      </c>
      <c r="AH172" s="330">
        <f t="shared" si="572"/>
        <v>505.16</v>
      </c>
      <c r="AI172" s="330">
        <f t="shared" si="572"/>
        <v>0</v>
      </c>
      <c r="AJ172" s="330">
        <f t="shared" si="572"/>
        <v>0</v>
      </c>
      <c r="AK172" s="330">
        <f t="shared" si="572"/>
        <v>0</v>
      </c>
      <c r="AL172" s="330">
        <f t="shared" si="572"/>
        <v>0</v>
      </c>
      <c r="AM172" s="386">
        <f t="shared" si="572"/>
        <v>0</v>
      </c>
      <c r="AN172" s="326">
        <f t="shared" si="572"/>
        <v>0</v>
      </c>
      <c r="AO172" s="330">
        <f t="shared" si="572"/>
        <v>0</v>
      </c>
      <c r="AP172" s="326">
        <f t="shared" si="572"/>
        <v>0</v>
      </c>
      <c r="AQ172" s="330">
        <f t="shared" si="572"/>
        <v>0</v>
      </c>
      <c r="AR172" s="330">
        <f t="shared" si="572"/>
        <v>0</v>
      </c>
      <c r="AS172" s="330">
        <f t="shared" si="572"/>
        <v>0</v>
      </c>
      <c r="AT172" s="330">
        <f t="shared" si="572"/>
        <v>0</v>
      </c>
      <c r="AU172" s="330">
        <f t="shared" si="572"/>
        <v>0</v>
      </c>
      <c r="AV172" s="330">
        <f t="shared" si="572"/>
        <v>0</v>
      </c>
      <c r="AW172" s="330">
        <f t="shared" si="572"/>
        <v>0</v>
      </c>
      <c r="AX172" s="330">
        <f>Z172*$E172</f>
        <v>0</v>
      </c>
      <c r="AY172" s="330">
        <f>AA172*$E172</f>
        <v>0</v>
      </c>
      <c r="AZ172" s="330">
        <f>AB172*$E172</f>
        <v>0</v>
      </c>
      <c r="BA172" s="330"/>
      <c r="BB172" s="330">
        <f t="shared" ref="BB172:BW172" si="573">IF(BB$3=$F172,$E172,0)</f>
        <v>0</v>
      </c>
      <c r="BC172" s="330">
        <f t="shared" si="573"/>
        <v>0</v>
      </c>
      <c r="BD172" s="330">
        <f t="shared" si="573"/>
        <v>0</v>
      </c>
      <c r="BE172" s="330">
        <f t="shared" si="573"/>
        <v>505.16</v>
      </c>
      <c r="BF172" s="330">
        <f t="shared" si="573"/>
        <v>0</v>
      </c>
      <c r="BG172" s="330">
        <f t="shared" si="573"/>
        <v>0</v>
      </c>
      <c r="BH172" s="330">
        <f t="shared" si="573"/>
        <v>0</v>
      </c>
      <c r="BI172" s="330">
        <f t="shared" si="573"/>
        <v>0</v>
      </c>
      <c r="BJ172" s="330">
        <f t="shared" si="573"/>
        <v>0</v>
      </c>
      <c r="BK172" s="330">
        <f t="shared" si="573"/>
        <v>0</v>
      </c>
      <c r="BL172" s="330">
        <f t="shared" si="573"/>
        <v>0</v>
      </c>
      <c r="BM172" s="330">
        <f t="shared" si="573"/>
        <v>0</v>
      </c>
      <c r="BN172" s="330">
        <f t="shared" si="573"/>
        <v>0</v>
      </c>
      <c r="BO172" s="330">
        <f t="shared" si="573"/>
        <v>0</v>
      </c>
      <c r="BP172" s="330">
        <f t="shared" si="573"/>
        <v>0</v>
      </c>
      <c r="BQ172" s="330">
        <f t="shared" si="573"/>
        <v>0</v>
      </c>
      <c r="BR172" s="330">
        <f t="shared" si="573"/>
        <v>0</v>
      </c>
      <c r="BS172" s="330">
        <f t="shared" si="573"/>
        <v>0</v>
      </c>
      <c r="BT172" s="330">
        <f t="shared" si="573"/>
        <v>0</v>
      </c>
      <c r="BU172" s="330">
        <f t="shared" si="573"/>
        <v>0</v>
      </c>
      <c r="BV172" s="330">
        <f t="shared" si="573"/>
        <v>0</v>
      </c>
      <c r="BW172" s="330">
        <f t="shared" si="573"/>
        <v>0</v>
      </c>
      <c r="BX172" s="351">
        <f t="shared" si="568"/>
        <v>0</v>
      </c>
      <c r="BY172" s="378">
        <f t="shared" si="569"/>
        <v>0</v>
      </c>
      <c r="BZ172" s="378">
        <f t="shared" si="570"/>
        <v>0</v>
      </c>
    </row>
    <row r="173" spans="1:78" s="234" customFormat="1" ht="14.45" customHeight="1" outlineLevel="1">
      <c r="A173" s="234" t="s">
        <v>137</v>
      </c>
      <c r="C173" s="392"/>
      <c r="D173" s="328"/>
      <c r="E173" s="330">
        <f>SUM(G173:AB173)</f>
        <v>156905.56</v>
      </c>
      <c r="F173" s="388" t="s">
        <v>193</v>
      </c>
      <c r="G173" s="391">
        <v>0</v>
      </c>
      <c r="H173" s="391">
        <v>0</v>
      </c>
      <c r="I173" s="391">
        <v>0</v>
      </c>
      <c r="J173" s="391">
        <v>2666.56</v>
      </c>
      <c r="K173" s="391">
        <v>4615.2</v>
      </c>
      <c r="L173" s="391">
        <v>6230.52</v>
      </c>
      <c r="M173" s="391">
        <v>5435.68</v>
      </c>
      <c r="N173" s="391">
        <v>6153.6</v>
      </c>
      <c r="O173" s="391">
        <v>7295.78</v>
      </c>
      <c r="P173" s="391">
        <v>6828.72</v>
      </c>
      <c r="Q173" s="391">
        <v>6997.9</v>
      </c>
      <c r="R173" s="391">
        <v>7228.6</v>
      </c>
      <c r="S173" s="391">
        <v>7819.84</v>
      </c>
      <c r="T173" s="391">
        <v>8392.32</v>
      </c>
      <c r="U173" s="396">
        <v>7529.4000000000005</v>
      </c>
      <c r="V173" s="396">
        <v>8936.32</v>
      </c>
      <c r="W173" s="396">
        <v>9533.44</v>
      </c>
      <c r="X173" s="412">
        <v>9235.52</v>
      </c>
      <c r="Y173" s="396">
        <v>8964.880000000001</v>
      </c>
      <c r="Z173" s="412">
        <v>10321.92</v>
      </c>
      <c r="AA173" s="396">
        <v>11141.12</v>
      </c>
      <c r="AB173" s="396">
        <v>21578.239999999998</v>
      </c>
      <c r="AC173" s="330">
        <f>SUM(G173:AB173)</f>
        <v>156905.56</v>
      </c>
      <c r="AD173" s="328"/>
      <c r="AE173" s="330">
        <f t="shared" ref="AE173:AW173" si="574">G173</f>
        <v>0</v>
      </c>
      <c r="AF173" s="330">
        <f t="shared" si="574"/>
        <v>0</v>
      </c>
      <c r="AG173" s="330">
        <f t="shared" si="574"/>
        <v>0</v>
      </c>
      <c r="AH173" s="330">
        <f t="shared" si="574"/>
        <v>2666.56</v>
      </c>
      <c r="AI173" s="330">
        <f t="shared" si="574"/>
        <v>4615.2</v>
      </c>
      <c r="AJ173" s="330">
        <f t="shared" si="574"/>
        <v>6230.52</v>
      </c>
      <c r="AK173" s="330">
        <f t="shared" si="574"/>
        <v>5435.68</v>
      </c>
      <c r="AL173" s="330">
        <f t="shared" si="574"/>
        <v>6153.6</v>
      </c>
      <c r="AM173" s="330">
        <f t="shared" si="574"/>
        <v>7295.78</v>
      </c>
      <c r="AN173" s="330">
        <f t="shared" si="574"/>
        <v>6828.72</v>
      </c>
      <c r="AO173" s="330">
        <f t="shared" si="574"/>
        <v>6997.9</v>
      </c>
      <c r="AP173" s="330">
        <f t="shared" si="574"/>
        <v>7228.6</v>
      </c>
      <c r="AQ173" s="330">
        <f t="shared" si="574"/>
        <v>7819.84</v>
      </c>
      <c r="AR173" s="330">
        <f t="shared" si="574"/>
        <v>8392.32</v>
      </c>
      <c r="AS173" s="330">
        <f t="shared" si="574"/>
        <v>7529.4000000000005</v>
      </c>
      <c r="AT173" s="330">
        <f t="shared" si="574"/>
        <v>8936.32</v>
      </c>
      <c r="AU173" s="330">
        <f t="shared" si="574"/>
        <v>9533.44</v>
      </c>
      <c r="AV173" s="330">
        <f t="shared" si="574"/>
        <v>9235.52</v>
      </c>
      <c r="AW173" s="330">
        <f t="shared" si="574"/>
        <v>8964.880000000001</v>
      </c>
      <c r="AX173" s="330">
        <f>Z173</f>
        <v>10321.92</v>
      </c>
      <c r="AY173" s="326">
        <f>AA173</f>
        <v>11141.12</v>
      </c>
      <c r="AZ173" s="330">
        <f>AB173</f>
        <v>21578.239999999998</v>
      </c>
      <c r="BA173" s="330"/>
      <c r="BB173" s="330">
        <v>0</v>
      </c>
      <c r="BC173" s="330">
        <v>0</v>
      </c>
      <c r="BD173" s="330">
        <v>0</v>
      </c>
      <c r="BE173" s="330">
        <v>3384.48</v>
      </c>
      <c r="BF173" s="330">
        <v>24260.44</v>
      </c>
      <c r="BG173" s="330">
        <v>0</v>
      </c>
      <c r="BH173" s="330">
        <v>0</v>
      </c>
      <c r="BI173" s="330">
        <v>0</v>
      </c>
      <c r="BJ173" s="330">
        <v>29991</v>
      </c>
      <c r="BK173" s="330">
        <v>0</v>
      </c>
      <c r="BL173" s="330">
        <v>0</v>
      </c>
      <c r="BM173" s="330">
        <v>-1845.6</v>
      </c>
      <c r="BN173" s="330">
        <v>16497</v>
      </c>
      <c r="BO173" s="326">
        <v>-1133.6400000000001</v>
      </c>
      <c r="BP173" s="330">
        <v>9018.36</v>
      </c>
      <c r="BQ173" s="330">
        <v>26384.54</v>
      </c>
      <c r="BR173" s="330">
        <v>0</v>
      </c>
      <c r="BS173" s="326">
        <v>8932.9</v>
      </c>
      <c r="BT173" s="326">
        <v>26882.959999999999</v>
      </c>
      <c r="BU173" s="330">
        <v>0</v>
      </c>
      <c r="BV173" s="330">
        <v>0</v>
      </c>
      <c r="BW173" s="330">
        <v>14533.119999999999</v>
      </c>
      <c r="BX173" s="351">
        <f t="shared" si="568"/>
        <v>0</v>
      </c>
      <c r="BY173" s="378">
        <f t="shared" si="569"/>
        <v>0</v>
      </c>
      <c r="BZ173" s="378">
        <f t="shared" si="570"/>
        <v>0</v>
      </c>
    </row>
    <row r="174" spans="1:78" s="234" customFormat="1" ht="14.45" customHeight="1">
      <c r="A174" s="234" t="s">
        <v>140</v>
      </c>
      <c r="B174" s="234" t="s">
        <v>298</v>
      </c>
      <c r="C174" s="392"/>
      <c r="D174" s="328"/>
      <c r="E174" s="503">
        <v>1630</v>
      </c>
      <c r="F174" s="328" t="s">
        <v>190</v>
      </c>
      <c r="G174" s="329"/>
      <c r="H174" s="329">
        <v>0</v>
      </c>
      <c r="I174" s="329">
        <v>0</v>
      </c>
      <c r="J174" s="329">
        <v>0</v>
      </c>
      <c r="K174" s="329">
        <v>1</v>
      </c>
      <c r="L174" s="388"/>
      <c r="M174" s="388"/>
      <c r="N174" s="388"/>
      <c r="O174" s="388"/>
      <c r="P174" s="388"/>
      <c r="Q174" s="388"/>
      <c r="R174" s="388"/>
      <c r="S174" s="388"/>
      <c r="T174" s="388"/>
      <c r="U174" s="388"/>
      <c r="V174" s="388"/>
      <c r="W174" s="388"/>
      <c r="X174" s="388"/>
      <c r="Y174" s="388"/>
      <c r="Z174" s="388"/>
      <c r="AA174" s="388"/>
      <c r="AB174" s="388"/>
      <c r="AC174" s="387">
        <f>SUM(G174:AB174)</f>
        <v>1</v>
      </c>
      <c r="AD174" s="328"/>
      <c r="AE174" s="330">
        <f t="shared" ref="AE174:AW174" si="575">G174*$E174</f>
        <v>0</v>
      </c>
      <c r="AF174" s="326">
        <f t="shared" si="575"/>
        <v>0</v>
      </c>
      <c r="AG174" s="330">
        <f t="shared" si="575"/>
        <v>0</v>
      </c>
      <c r="AH174" s="330">
        <f t="shared" si="575"/>
        <v>0</v>
      </c>
      <c r="AI174" s="330">
        <f t="shared" si="575"/>
        <v>1630</v>
      </c>
      <c r="AJ174" s="330">
        <f t="shared" si="575"/>
        <v>0</v>
      </c>
      <c r="AK174" s="330">
        <f t="shared" si="575"/>
        <v>0</v>
      </c>
      <c r="AL174" s="330">
        <f t="shared" si="575"/>
        <v>0</v>
      </c>
      <c r="AM174" s="386">
        <f t="shared" si="575"/>
        <v>0</v>
      </c>
      <c r="AN174" s="326">
        <f t="shared" si="575"/>
        <v>0</v>
      </c>
      <c r="AO174" s="330">
        <f t="shared" si="575"/>
        <v>0</v>
      </c>
      <c r="AP174" s="326">
        <f t="shared" si="575"/>
        <v>0</v>
      </c>
      <c r="AQ174" s="330">
        <f t="shared" si="575"/>
        <v>0</v>
      </c>
      <c r="AR174" s="330">
        <f t="shared" si="575"/>
        <v>0</v>
      </c>
      <c r="AS174" s="330">
        <f t="shared" si="575"/>
        <v>0</v>
      </c>
      <c r="AT174" s="330">
        <f t="shared" si="575"/>
        <v>0</v>
      </c>
      <c r="AU174" s="330">
        <f t="shared" si="575"/>
        <v>0</v>
      </c>
      <c r="AV174" s="330">
        <f t="shared" si="575"/>
        <v>0</v>
      </c>
      <c r="AW174" s="330">
        <f t="shared" si="575"/>
        <v>0</v>
      </c>
      <c r="AX174" s="330">
        <f t="shared" ref="AX174:AZ178" si="576">Z174*$E174</f>
        <v>0</v>
      </c>
      <c r="AY174" s="330">
        <f t="shared" si="576"/>
        <v>0</v>
      </c>
      <c r="AZ174" s="330">
        <f t="shared" si="576"/>
        <v>0</v>
      </c>
      <c r="BA174" s="330"/>
      <c r="BB174" s="330">
        <f t="shared" si="562"/>
        <v>0</v>
      </c>
      <c r="BC174" s="330">
        <f t="shared" si="562"/>
        <v>0</v>
      </c>
      <c r="BD174" s="330">
        <f t="shared" si="562"/>
        <v>0</v>
      </c>
      <c r="BE174" s="330">
        <f t="shared" si="562"/>
        <v>0</v>
      </c>
      <c r="BF174" s="330">
        <f t="shared" si="562"/>
        <v>1630</v>
      </c>
      <c r="BG174" s="330">
        <f t="shared" si="562"/>
        <v>0</v>
      </c>
      <c r="BH174" s="330">
        <f t="shared" si="562"/>
        <v>0</v>
      </c>
      <c r="BI174" s="330">
        <f t="shared" si="562"/>
        <v>0</v>
      </c>
      <c r="BJ174" s="330">
        <f t="shared" si="562"/>
        <v>0</v>
      </c>
      <c r="BK174" s="330">
        <f t="shared" si="562"/>
        <v>0</v>
      </c>
      <c r="BL174" s="330">
        <f t="shared" si="562"/>
        <v>0</v>
      </c>
      <c r="BM174" s="330">
        <f t="shared" si="562"/>
        <v>0</v>
      </c>
      <c r="BN174" s="330">
        <f t="shared" si="562"/>
        <v>0</v>
      </c>
      <c r="BO174" s="330">
        <f t="shared" si="562"/>
        <v>0</v>
      </c>
      <c r="BP174" s="330">
        <f t="shared" si="562"/>
        <v>0</v>
      </c>
      <c r="BQ174" s="330">
        <f t="shared" si="488"/>
        <v>0</v>
      </c>
      <c r="BR174" s="330">
        <f t="shared" si="488"/>
        <v>0</v>
      </c>
      <c r="BS174" s="330">
        <f t="shared" si="488"/>
        <v>0</v>
      </c>
      <c r="BT174" s="326">
        <f t="shared" si="488"/>
        <v>0</v>
      </c>
      <c r="BU174" s="330">
        <f t="shared" si="488"/>
        <v>0</v>
      </c>
      <c r="BV174" s="330">
        <f t="shared" si="488"/>
        <v>0</v>
      </c>
      <c r="BW174" s="330">
        <f t="shared" si="488"/>
        <v>0</v>
      </c>
      <c r="BX174" s="351">
        <f t="shared" si="568"/>
        <v>0</v>
      </c>
      <c r="BY174" s="378">
        <f t="shared" si="569"/>
        <v>0</v>
      </c>
      <c r="BZ174" s="378">
        <f t="shared" si="570"/>
        <v>0</v>
      </c>
    </row>
    <row r="175" spans="1:78" s="234" customFormat="1" ht="14.45" customHeight="1">
      <c r="A175" s="234" t="s">
        <v>140</v>
      </c>
      <c r="B175" s="234" t="s">
        <v>294</v>
      </c>
      <c r="C175" s="392"/>
      <c r="D175" s="328"/>
      <c r="E175" s="326">
        <v>739.99</v>
      </c>
      <c r="F175" s="328" t="s">
        <v>163</v>
      </c>
      <c r="G175" s="329"/>
      <c r="H175" s="329">
        <v>0</v>
      </c>
      <c r="I175" s="329">
        <v>0</v>
      </c>
      <c r="J175" s="329">
        <v>0</v>
      </c>
      <c r="K175" s="388">
        <v>0</v>
      </c>
      <c r="L175" s="329">
        <v>1</v>
      </c>
      <c r="M175" s="329">
        <v>0</v>
      </c>
      <c r="N175" s="388"/>
      <c r="O175" s="388"/>
      <c r="P175" s="388"/>
      <c r="Q175" s="388"/>
      <c r="R175" s="388"/>
      <c r="S175" s="388"/>
      <c r="T175" s="388"/>
      <c r="U175" s="388"/>
      <c r="V175" s="388"/>
      <c r="W175" s="388"/>
      <c r="X175" s="388"/>
      <c r="Y175" s="388"/>
      <c r="Z175" s="388"/>
      <c r="AA175" s="388"/>
      <c r="AB175" s="388"/>
      <c r="AC175" s="387">
        <f t="shared" ref="AC175:AC178" si="577">SUM(G175:AB175)</f>
        <v>1</v>
      </c>
      <c r="AD175" s="328"/>
      <c r="AE175" s="330">
        <f t="shared" ref="AE175:AG178" si="578">G175*$E175</f>
        <v>0</v>
      </c>
      <c r="AF175" s="326">
        <f t="shared" si="578"/>
        <v>0</v>
      </c>
      <c r="AG175" s="330">
        <f t="shared" si="578"/>
        <v>0</v>
      </c>
      <c r="AH175" s="330">
        <v>0</v>
      </c>
      <c r="AI175" s="330">
        <f t="shared" ref="AI175:AR178" si="579">K175*$E175</f>
        <v>0</v>
      </c>
      <c r="AJ175" s="330">
        <f t="shared" si="579"/>
        <v>739.99</v>
      </c>
      <c r="AK175" s="330">
        <f t="shared" si="579"/>
        <v>0</v>
      </c>
      <c r="AL175" s="330">
        <f t="shared" si="579"/>
        <v>0</v>
      </c>
      <c r="AM175" s="386">
        <f t="shared" si="579"/>
        <v>0</v>
      </c>
      <c r="AN175" s="326">
        <f t="shared" si="579"/>
        <v>0</v>
      </c>
      <c r="AO175" s="330">
        <f t="shared" si="579"/>
        <v>0</v>
      </c>
      <c r="AP175" s="326">
        <f t="shared" si="579"/>
        <v>0</v>
      </c>
      <c r="AQ175" s="330">
        <f t="shared" si="579"/>
        <v>0</v>
      </c>
      <c r="AR175" s="330">
        <f t="shared" si="579"/>
        <v>0</v>
      </c>
      <c r="AS175" s="330">
        <f t="shared" ref="AS175:AW178" si="580">U175*$E175</f>
        <v>0</v>
      </c>
      <c r="AT175" s="330">
        <f t="shared" si="580"/>
        <v>0</v>
      </c>
      <c r="AU175" s="330">
        <f t="shared" si="580"/>
        <v>0</v>
      </c>
      <c r="AV175" s="330">
        <f t="shared" si="580"/>
        <v>0</v>
      </c>
      <c r="AW175" s="330">
        <f t="shared" si="580"/>
        <v>0</v>
      </c>
      <c r="AX175" s="330">
        <f t="shared" si="576"/>
        <v>0</v>
      </c>
      <c r="AY175" s="330">
        <f t="shared" si="576"/>
        <v>0</v>
      </c>
      <c r="AZ175" s="330">
        <f t="shared" si="576"/>
        <v>0</v>
      </c>
      <c r="BA175" s="330"/>
      <c r="BB175" s="330">
        <f t="shared" si="562"/>
        <v>0</v>
      </c>
      <c r="BC175" s="330">
        <f t="shared" si="562"/>
        <v>0</v>
      </c>
      <c r="BD175" s="330">
        <f t="shared" si="562"/>
        <v>0</v>
      </c>
      <c r="BE175" s="330">
        <f t="shared" si="562"/>
        <v>0</v>
      </c>
      <c r="BF175" s="330">
        <f t="shared" si="562"/>
        <v>0</v>
      </c>
      <c r="BG175" s="330">
        <f t="shared" si="562"/>
        <v>739.99</v>
      </c>
      <c r="BH175" s="330">
        <f t="shared" si="562"/>
        <v>0</v>
      </c>
      <c r="BI175" s="330">
        <f t="shared" si="562"/>
        <v>0</v>
      </c>
      <c r="BJ175" s="330">
        <f t="shared" si="562"/>
        <v>0</v>
      </c>
      <c r="BK175" s="330">
        <f t="shared" si="562"/>
        <v>0</v>
      </c>
      <c r="BL175" s="330">
        <f t="shared" si="562"/>
        <v>0</v>
      </c>
      <c r="BM175" s="330">
        <f t="shared" si="562"/>
        <v>0</v>
      </c>
      <c r="BN175" s="330">
        <f t="shared" si="562"/>
        <v>0</v>
      </c>
      <c r="BO175" s="330">
        <f t="shared" si="562"/>
        <v>0</v>
      </c>
      <c r="BP175" s="330">
        <f t="shared" si="562"/>
        <v>0</v>
      </c>
      <c r="BQ175" s="330">
        <f t="shared" si="488"/>
        <v>0</v>
      </c>
      <c r="BR175" s="330">
        <f t="shared" si="488"/>
        <v>0</v>
      </c>
      <c r="BS175" s="330">
        <f t="shared" si="488"/>
        <v>0</v>
      </c>
      <c r="BT175" s="326">
        <f t="shared" si="488"/>
        <v>0</v>
      </c>
      <c r="BU175" s="330">
        <f t="shared" si="488"/>
        <v>0</v>
      </c>
      <c r="BV175" s="330">
        <f t="shared" si="488"/>
        <v>0</v>
      </c>
      <c r="BW175" s="330">
        <f t="shared" si="488"/>
        <v>0</v>
      </c>
      <c r="BX175" s="351">
        <f t="shared" si="568"/>
        <v>0</v>
      </c>
      <c r="BY175" s="378">
        <f t="shared" si="569"/>
        <v>0</v>
      </c>
      <c r="BZ175" s="378">
        <f t="shared" si="570"/>
        <v>0</v>
      </c>
    </row>
    <row r="176" spans="1:78" s="234" customFormat="1" ht="14.45" customHeight="1">
      <c r="A176" s="234" t="s">
        <v>140</v>
      </c>
      <c r="B176" s="234" t="s">
        <v>295</v>
      </c>
      <c r="C176" s="392"/>
      <c r="D176" s="328"/>
      <c r="E176" s="326">
        <v>1232.1400000000001</v>
      </c>
      <c r="F176" s="328" t="s">
        <v>163</v>
      </c>
      <c r="G176" s="329"/>
      <c r="H176" s="329">
        <v>0</v>
      </c>
      <c r="I176" s="329">
        <v>0</v>
      </c>
      <c r="J176" s="329">
        <v>0</v>
      </c>
      <c r="K176" s="329">
        <v>0</v>
      </c>
      <c r="L176" s="329">
        <v>1</v>
      </c>
      <c r="M176" s="329">
        <v>0</v>
      </c>
      <c r="N176" s="388"/>
      <c r="O176" s="388"/>
      <c r="P176" s="388"/>
      <c r="Q176" s="388"/>
      <c r="R176" s="388"/>
      <c r="S176" s="388"/>
      <c r="T176" s="388"/>
      <c r="U176" s="388"/>
      <c r="V176" s="388"/>
      <c r="W176" s="388"/>
      <c r="X176" s="388"/>
      <c r="Y176" s="388"/>
      <c r="Z176" s="388"/>
      <c r="AA176" s="388"/>
      <c r="AB176" s="388"/>
      <c r="AC176" s="387">
        <f t="shared" si="577"/>
        <v>1</v>
      </c>
      <c r="AD176" s="328"/>
      <c r="AE176" s="330">
        <f t="shared" si="578"/>
        <v>0</v>
      </c>
      <c r="AF176" s="326">
        <f t="shared" si="578"/>
        <v>0</v>
      </c>
      <c r="AG176" s="330">
        <f t="shared" si="578"/>
        <v>0</v>
      </c>
      <c r="AH176" s="330">
        <f>J176*$E176</f>
        <v>0</v>
      </c>
      <c r="AI176" s="330">
        <f t="shared" si="579"/>
        <v>0</v>
      </c>
      <c r="AJ176" s="330">
        <f t="shared" si="579"/>
        <v>1232.1400000000001</v>
      </c>
      <c r="AK176" s="330">
        <f t="shared" si="579"/>
        <v>0</v>
      </c>
      <c r="AL176" s="330">
        <f t="shared" si="579"/>
        <v>0</v>
      </c>
      <c r="AM176" s="386">
        <f t="shared" si="579"/>
        <v>0</v>
      </c>
      <c r="AN176" s="326">
        <f t="shared" si="579"/>
        <v>0</v>
      </c>
      <c r="AO176" s="330">
        <f t="shared" si="579"/>
        <v>0</v>
      </c>
      <c r="AP176" s="326">
        <f t="shared" si="579"/>
        <v>0</v>
      </c>
      <c r="AQ176" s="330">
        <f t="shared" si="579"/>
        <v>0</v>
      </c>
      <c r="AR176" s="330">
        <f t="shared" si="579"/>
        <v>0</v>
      </c>
      <c r="AS176" s="330">
        <f t="shared" si="580"/>
        <v>0</v>
      </c>
      <c r="AT176" s="330">
        <f t="shared" si="580"/>
        <v>0</v>
      </c>
      <c r="AU176" s="330">
        <f t="shared" si="580"/>
        <v>0</v>
      </c>
      <c r="AV176" s="330">
        <f t="shared" si="580"/>
        <v>0</v>
      </c>
      <c r="AW176" s="330">
        <f t="shared" si="580"/>
        <v>0</v>
      </c>
      <c r="AX176" s="330">
        <f t="shared" si="576"/>
        <v>0</v>
      </c>
      <c r="AY176" s="330">
        <f t="shared" si="576"/>
        <v>0</v>
      </c>
      <c r="AZ176" s="330">
        <f t="shared" si="576"/>
        <v>0</v>
      </c>
      <c r="BA176" s="330"/>
      <c r="BB176" s="330">
        <f t="shared" si="562"/>
        <v>0</v>
      </c>
      <c r="BC176" s="330">
        <f t="shared" si="562"/>
        <v>0</v>
      </c>
      <c r="BD176" s="330">
        <f t="shared" si="562"/>
        <v>0</v>
      </c>
      <c r="BE176" s="330">
        <f t="shared" si="562"/>
        <v>0</v>
      </c>
      <c r="BF176" s="330">
        <f t="shared" si="562"/>
        <v>0</v>
      </c>
      <c r="BG176" s="330">
        <f t="shared" si="562"/>
        <v>1232.1400000000001</v>
      </c>
      <c r="BH176" s="330">
        <f t="shared" si="562"/>
        <v>0</v>
      </c>
      <c r="BI176" s="330">
        <f t="shared" si="562"/>
        <v>0</v>
      </c>
      <c r="BJ176" s="330">
        <f t="shared" si="562"/>
        <v>0</v>
      </c>
      <c r="BK176" s="330">
        <f t="shared" si="562"/>
        <v>0</v>
      </c>
      <c r="BL176" s="330">
        <f t="shared" si="562"/>
        <v>0</v>
      </c>
      <c r="BM176" s="330">
        <f t="shared" si="562"/>
        <v>0</v>
      </c>
      <c r="BN176" s="330">
        <f t="shared" si="562"/>
        <v>0</v>
      </c>
      <c r="BO176" s="330">
        <f t="shared" si="562"/>
        <v>0</v>
      </c>
      <c r="BP176" s="330">
        <f t="shared" si="562"/>
        <v>0</v>
      </c>
      <c r="BQ176" s="330">
        <f t="shared" si="488"/>
        <v>0</v>
      </c>
      <c r="BR176" s="330">
        <f t="shared" si="488"/>
        <v>0</v>
      </c>
      <c r="BS176" s="330">
        <f t="shared" si="488"/>
        <v>0</v>
      </c>
      <c r="BT176" s="326">
        <f t="shared" si="488"/>
        <v>0</v>
      </c>
      <c r="BU176" s="330">
        <f t="shared" si="488"/>
        <v>0</v>
      </c>
      <c r="BV176" s="330">
        <f t="shared" si="488"/>
        <v>0</v>
      </c>
      <c r="BW176" s="330">
        <f t="shared" si="488"/>
        <v>0</v>
      </c>
      <c r="BX176" s="351">
        <f t="shared" si="568"/>
        <v>0</v>
      </c>
      <c r="BY176" s="378">
        <f t="shared" si="569"/>
        <v>0</v>
      </c>
      <c r="BZ176" s="378">
        <f t="shared" si="570"/>
        <v>0</v>
      </c>
    </row>
    <row r="177" spans="1:78" s="234" customFormat="1" ht="14.45" customHeight="1">
      <c r="A177" s="234" t="s">
        <v>140</v>
      </c>
      <c r="B177" s="234" t="s">
        <v>297</v>
      </c>
      <c r="C177" s="392"/>
      <c r="D177" s="328"/>
      <c r="E177" s="326">
        <v>1071.43</v>
      </c>
      <c r="F177" s="328" t="s">
        <v>189</v>
      </c>
      <c r="G177" s="329"/>
      <c r="H177" s="329">
        <v>0.24996100005199995</v>
      </c>
      <c r="I177" s="329">
        <v>0.25</v>
      </c>
      <c r="J177" s="329">
        <v>0.25</v>
      </c>
      <c r="K177" s="329">
        <v>0.25</v>
      </c>
      <c r="L177" s="329">
        <f>1-(H177+I177+J177+K177)</f>
        <v>3.8999948000051354E-5</v>
      </c>
      <c r="M177" s="388"/>
      <c r="N177" s="388"/>
      <c r="O177" s="388"/>
      <c r="P177" s="388"/>
      <c r="Q177" s="388"/>
      <c r="R177" s="388"/>
      <c r="S177" s="388"/>
      <c r="T177" s="388"/>
      <c r="U177" s="388"/>
      <c r="V177" s="388"/>
      <c r="W177" s="388"/>
      <c r="X177" s="388"/>
      <c r="Y177" s="388"/>
      <c r="Z177" s="388"/>
      <c r="AA177" s="388"/>
      <c r="AB177" s="388"/>
      <c r="AC177" s="387">
        <f t="shared" si="577"/>
        <v>1</v>
      </c>
      <c r="AD177" s="328"/>
      <c r="AE177" s="330">
        <f t="shared" si="578"/>
        <v>0</v>
      </c>
      <c r="AF177" s="326">
        <f t="shared" si="578"/>
        <v>267.81571428571431</v>
      </c>
      <c r="AG177" s="330">
        <f t="shared" si="578"/>
        <v>267.85750000000002</v>
      </c>
      <c r="AH177" s="330">
        <f>J177*$E177</f>
        <v>267.85750000000002</v>
      </c>
      <c r="AI177" s="330">
        <f t="shared" si="579"/>
        <v>267.85750000000002</v>
      </c>
      <c r="AJ177" s="330">
        <f t="shared" si="579"/>
        <v>4.1785714285695025E-2</v>
      </c>
      <c r="AK177" s="330">
        <f t="shared" si="579"/>
        <v>0</v>
      </c>
      <c r="AL177" s="330">
        <f t="shared" si="579"/>
        <v>0</v>
      </c>
      <c r="AM177" s="386">
        <f t="shared" si="579"/>
        <v>0</v>
      </c>
      <c r="AN177" s="326">
        <f t="shared" si="579"/>
        <v>0</v>
      </c>
      <c r="AO177" s="330">
        <f t="shared" si="579"/>
        <v>0</v>
      </c>
      <c r="AP177" s="326">
        <f t="shared" si="579"/>
        <v>0</v>
      </c>
      <c r="AQ177" s="330">
        <f t="shared" si="579"/>
        <v>0</v>
      </c>
      <c r="AR177" s="330">
        <f t="shared" si="579"/>
        <v>0</v>
      </c>
      <c r="AS177" s="330">
        <f t="shared" si="580"/>
        <v>0</v>
      </c>
      <c r="AT177" s="330">
        <f t="shared" si="580"/>
        <v>0</v>
      </c>
      <c r="AU177" s="330">
        <f t="shared" si="580"/>
        <v>0</v>
      </c>
      <c r="AV177" s="330">
        <f t="shared" si="580"/>
        <v>0</v>
      </c>
      <c r="AW177" s="330">
        <f t="shared" si="580"/>
        <v>0</v>
      </c>
      <c r="AX177" s="330">
        <f t="shared" si="576"/>
        <v>0</v>
      </c>
      <c r="AY177" s="330">
        <f t="shared" si="576"/>
        <v>0</v>
      </c>
      <c r="AZ177" s="330">
        <f t="shared" si="576"/>
        <v>0</v>
      </c>
      <c r="BA177" s="330"/>
      <c r="BB177" s="330">
        <f t="shared" ref="BB177:BP188" si="581">IF(BB$3=$F177,$E177,0)</f>
        <v>0</v>
      </c>
      <c r="BC177" s="330">
        <f t="shared" si="581"/>
        <v>1071.43</v>
      </c>
      <c r="BD177" s="330">
        <f t="shared" si="581"/>
        <v>0</v>
      </c>
      <c r="BE177" s="330">
        <f t="shared" si="581"/>
        <v>0</v>
      </c>
      <c r="BF177" s="330">
        <f t="shared" si="581"/>
        <v>0</v>
      </c>
      <c r="BG177" s="330">
        <f t="shared" si="581"/>
        <v>0</v>
      </c>
      <c r="BH177" s="330">
        <f t="shared" si="581"/>
        <v>0</v>
      </c>
      <c r="BI177" s="330">
        <f t="shared" si="581"/>
        <v>0</v>
      </c>
      <c r="BJ177" s="330">
        <f t="shared" si="581"/>
        <v>0</v>
      </c>
      <c r="BK177" s="330">
        <f t="shared" si="581"/>
        <v>0</v>
      </c>
      <c r="BL177" s="330">
        <f t="shared" si="581"/>
        <v>0</v>
      </c>
      <c r="BM177" s="330">
        <f t="shared" si="581"/>
        <v>0</v>
      </c>
      <c r="BN177" s="330">
        <f t="shared" si="581"/>
        <v>0</v>
      </c>
      <c r="BO177" s="330">
        <f t="shared" si="581"/>
        <v>0</v>
      </c>
      <c r="BP177" s="330">
        <f t="shared" si="581"/>
        <v>0</v>
      </c>
      <c r="BQ177" s="330">
        <f t="shared" si="488"/>
        <v>0</v>
      </c>
      <c r="BR177" s="330">
        <f t="shared" si="488"/>
        <v>0</v>
      </c>
      <c r="BS177" s="330">
        <f t="shared" si="488"/>
        <v>0</v>
      </c>
      <c r="BT177" s="326">
        <f t="shared" si="488"/>
        <v>0</v>
      </c>
      <c r="BU177" s="330">
        <f t="shared" si="488"/>
        <v>0</v>
      </c>
      <c r="BV177" s="330">
        <f t="shared" si="488"/>
        <v>0</v>
      </c>
      <c r="BW177" s="330">
        <f t="shared" si="488"/>
        <v>0</v>
      </c>
      <c r="BX177" s="351">
        <f t="shared" si="568"/>
        <v>0</v>
      </c>
      <c r="BY177" s="378">
        <f t="shared" si="569"/>
        <v>0</v>
      </c>
      <c r="BZ177" s="378">
        <f t="shared" si="570"/>
        <v>0</v>
      </c>
    </row>
    <row r="178" spans="1:78" s="234" customFormat="1" ht="14.45" customHeight="1">
      <c r="A178" s="234" t="s">
        <v>140</v>
      </c>
      <c r="B178" s="234" t="s">
        <v>297</v>
      </c>
      <c r="C178" s="392"/>
      <c r="D178" s="328"/>
      <c r="E178" s="326">
        <v>982.15</v>
      </c>
      <c r="F178" s="328" t="s">
        <v>163</v>
      </c>
      <c r="G178" s="329"/>
      <c r="H178" s="329">
        <v>0</v>
      </c>
      <c r="I178" s="329">
        <v>0</v>
      </c>
      <c r="J178" s="329">
        <v>0</v>
      </c>
      <c r="K178" s="329"/>
      <c r="L178" s="329">
        <v>0.27271801659624295</v>
      </c>
      <c r="M178" s="329">
        <v>0.27273838008450851</v>
      </c>
      <c r="N178" s="329">
        <v>9.0912793361502833E-2</v>
      </c>
      <c r="O178" s="329">
        <v>0</v>
      </c>
      <c r="P178" s="329">
        <v>0.36363080995774583</v>
      </c>
      <c r="Q178" s="329"/>
      <c r="R178" s="388"/>
      <c r="S178" s="388"/>
      <c r="T178" s="388"/>
      <c r="U178" s="388"/>
      <c r="V178" s="388"/>
      <c r="W178" s="388"/>
      <c r="X178" s="388"/>
      <c r="Y178" s="388"/>
      <c r="Z178" s="388"/>
      <c r="AA178" s="388"/>
      <c r="AB178" s="388"/>
      <c r="AC178" s="387">
        <f t="shared" si="577"/>
        <v>1.0000000000000002</v>
      </c>
      <c r="AD178" s="328"/>
      <c r="AE178" s="330">
        <f t="shared" si="578"/>
        <v>0</v>
      </c>
      <c r="AF178" s="326">
        <f t="shared" si="578"/>
        <v>0</v>
      </c>
      <c r="AG178" s="330">
        <f t="shared" si="578"/>
        <v>0</v>
      </c>
      <c r="AH178" s="330">
        <f>J178*$E178</f>
        <v>0</v>
      </c>
      <c r="AI178" s="330">
        <f t="shared" si="579"/>
        <v>0</v>
      </c>
      <c r="AJ178" s="386">
        <f t="shared" si="579"/>
        <v>267.85000000000002</v>
      </c>
      <c r="AK178" s="386">
        <f t="shared" si="579"/>
        <v>267.87</v>
      </c>
      <c r="AL178" s="386">
        <f t="shared" si="579"/>
        <v>89.29</v>
      </c>
      <c r="AM178" s="386">
        <f t="shared" si="579"/>
        <v>0</v>
      </c>
      <c r="AN178" s="326">
        <f t="shared" si="579"/>
        <v>357.14000000000004</v>
      </c>
      <c r="AO178" s="330">
        <f t="shared" si="579"/>
        <v>0</v>
      </c>
      <c r="AP178" s="326">
        <f t="shared" si="579"/>
        <v>0</v>
      </c>
      <c r="AQ178" s="330">
        <f t="shared" si="579"/>
        <v>0</v>
      </c>
      <c r="AR178" s="330">
        <f t="shared" si="579"/>
        <v>0</v>
      </c>
      <c r="AS178" s="330">
        <f t="shared" si="580"/>
        <v>0</v>
      </c>
      <c r="AT178" s="330">
        <f t="shared" si="580"/>
        <v>0</v>
      </c>
      <c r="AU178" s="330">
        <f t="shared" si="580"/>
        <v>0</v>
      </c>
      <c r="AV178" s="330">
        <f t="shared" si="580"/>
        <v>0</v>
      </c>
      <c r="AW178" s="330">
        <f t="shared" si="580"/>
        <v>0</v>
      </c>
      <c r="AX178" s="330">
        <f t="shared" si="576"/>
        <v>0</v>
      </c>
      <c r="AY178" s="330">
        <f t="shared" si="576"/>
        <v>0</v>
      </c>
      <c r="AZ178" s="330">
        <f t="shared" si="576"/>
        <v>0</v>
      </c>
      <c r="BA178" s="330"/>
      <c r="BB178" s="330">
        <f t="shared" si="581"/>
        <v>0</v>
      </c>
      <c r="BC178" s="330">
        <f t="shared" si="581"/>
        <v>0</v>
      </c>
      <c r="BD178" s="330">
        <f t="shared" si="581"/>
        <v>0</v>
      </c>
      <c r="BE178" s="330">
        <f t="shared" si="581"/>
        <v>0</v>
      </c>
      <c r="BF178" s="330">
        <f t="shared" si="581"/>
        <v>0</v>
      </c>
      <c r="BG178" s="326">
        <f t="shared" si="581"/>
        <v>982.15</v>
      </c>
      <c r="BH178" s="330">
        <f t="shared" si="581"/>
        <v>0</v>
      </c>
      <c r="BI178" s="330">
        <f t="shared" si="581"/>
        <v>0</v>
      </c>
      <c r="BJ178" s="330">
        <f t="shared" si="581"/>
        <v>0</v>
      </c>
      <c r="BK178" s="330">
        <f t="shared" si="581"/>
        <v>0</v>
      </c>
      <c r="BL178" s="330">
        <f t="shared" si="581"/>
        <v>0</v>
      </c>
      <c r="BM178" s="330">
        <f t="shared" si="581"/>
        <v>0</v>
      </c>
      <c r="BN178" s="330">
        <f t="shared" si="581"/>
        <v>0</v>
      </c>
      <c r="BO178" s="330">
        <f t="shared" si="581"/>
        <v>0</v>
      </c>
      <c r="BP178" s="330">
        <f t="shared" si="581"/>
        <v>0</v>
      </c>
      <c r="BQ178" s="330">
        <f t="shared" si="488"/>
        <v>0</v>
      </c>
      <c r="BR178" s="330">
        <f t="shared" si="488"/>
        <v>0</v>
      </c>
      <c r="BS178" s="330">
        <f t="shared" si="488"/>
        <v>0</v>
      </c>
      <c r="BT178" s="326">
        <f t="shared" si="488"/>
        <v>0</v>
      </c>
      <c r="BU178" s="330">
        <f t="shared" si="488"/>
        <v>0</v>
      </c>
      <c r="BV178" s="330">
        <f t="shared" si="488"/>
        <v>0</v>
      </c>
      <c r="BW178" s="330">
        <f t="shared" si="488"/>
        <v>0</v>
      </c>
      <c r="BX178" s="351">
        <f t="shared" si="568"/>
        <v>0</v>
      </c>
      <c r="BY178" s="378">
        <f t="shared" si="569"/>
        <v>0</v>
      </c>
      <c r="BZ178" s="378">
        <f t="shared" si="570"/>
        <v>0</v>
      </c>
    </row>
    <row r="179" spans="1:78" s="234" customFormat="1" ht="14.45" customHeight="1" outlineLevel="1">
      <c r="A179" s="234" t="s">
        <v>137</v>
      </c>
      <c r="C179" s="392"/>
      <c r="D179" s="328"/>
      <c r="E179" s="330">
        <f>SUM(G179:AB179)</f>
        <v>30021.759999999998</v>
      </c>
      <c r="F179" s="388" t="s">
        <v>163</v>
      </c>
      <c r="G179" s="391">
        <v>0</v>
      </c>
      <c r="H179" s="391">
        <v>0</v>
      </c>
      <c r="I179" s="391">
        <v>0</v>
      </c>
      <c r="J179" s="391">
        <v>0</v>
      </c>
      <c r="K179" s="391">
        <v>0</v>
      </c>
      <c r="L179" s="391">
        <v>2706.88</v>
      </c>
      <c r="M179" s="391">
        <v>7628.48</v>
      </c>
      <c r="N179" s="391">
        <v>7505.44</v>
      </c>
      <c r="O179" s="391">
        <v>7751.52</v>
      </c>
      <c r="P179" s="391">
        <v>4429.4399999999996</v>
      </c>
      <c r="Q179" s="391"/>
      <c r="R179" s="391"/>
      <c r="S179" s="391"/>
      <c r="T179" s="391"/>
      <c r="U179" s="396"/>
      <c r="V179" s="396"/>
      <c r="W179" s="396"/>
      <c r="X179" s="412"/>
      <c r="Y179" s="396"/>
      <c r="Z179" s="396"/>
      <c r="AA179" s="396"/>
      <c r="AB179" s="396"/>
      <c r="AC179" s="330">
        <f>SUM(G179:AB179)</f>
        <v>30021.759999999998</v>
      </c>
      <c r="AD179" s="328"/>
      <c r="AE179" s="330">
        <f t="shared" ref="AE179:AW179" si="582">G179</f>
        <v>0</v>
      </c>
      <c r="AF179" s="330">
        <f t="shared" si="582"/>
        <v>0</v>
      </c>
      <c r="AG179" s="330">
        <f t="shared" si="582"/>
        <v>0</v>
      </c>
      <c r="AH179" s="330">
        <f t="shared" si="582"/>
        <v>0</v>
      </c>
      <c r="AI179" s="330">
        <f t="shared" si="582"/>
        <v>0</v>
      </c>
      <c r="AJ179" s="330">
        <f t="shared" si="582"/>
        <v>2706.88</v>
      </c>
      <c r="AK179" s="330">
        <f t="shared" si="582"/>
        <v>7628.48</v>
      </c>
      <c r="AL179" s="386">
        <f t="shared" si="582"/>
        <v>7505.44</v>
      </c>
      <c r="AM179" s="386">
        <f t="shared" si="582"/>
        <v>7751.52</v>
      </c>
      <c r="AN179" s="330">
        <f t="shared" si="582"/>
        <v>4429.4399999999996</v>
      </c>
      <c r="AO179" s="330">
        <f t="shared" si="582"/>
        <v>0</v>
      </c>
      <c r="AP179" s="326">
        <f t="shared" si="582"/>
        <v>0</v>
      </c>
      <c r="AQ179" s="326">
        <f t="shared" si="582"/>
        <v>0</v>
      </c>
      <c r="AR179" s="330">
        <f t="shared" si="582"/>
        <v>0</v>
      </c>
      <c r="AS179" s="326">
        <f t="shared" si="582"/>
        <v>0</v>
      </c>
      <c r="AT179" s="330">
        <f t="shared" si="582"/>
        <v>0</v>
      </c>
      <c r="AU179" s="330">
        <f t="shared" si="582"/>
        <v>0</v>
      </c>
      <c r="AV179" s="330">
        <f t="shared" si="582"/>
        <v>0</v>
      </c>
      <c r="AW179" s="330">
        <f t="shared" si="582"/>
        <v>0</v>
      </c>
      <c r="AX179" s="330">
        <f>Z179</f>
        <v>0</v>
      </c>
      <c r="AY179" s="330">
        <f>AA179</f>
        <v>0</v>
      </c>
      <c r="AZ179" s="330">
        <f>AB179</f>
        <v>0</v>
      </c>
      <c r="BA179" s="330"/>
      <c r="BB179" s="330">
        <f>IF(BB$191=$F179,SUM(AE179:AH179),0)</f>
        <v>0</v>
      </c>
      <c r="BC179" s="330">
        <f>IF(BC$191=$F179,SUM(AF179:AI179),0)</f>
        <v>0</v>
      </c>
      <c r="BD179" s="330">
        <f>IF(BD$191=$F179,SUM(AG179:AJ179),0)</f>
        <v>0</v>
      </c>
      <c r="BE179" s="330">
        <f>IF(BE$191=$F179,SUM(AH179:AK179),0)</f>
        <v>0</v>
      </c>
      <c r="BF179" s="330">
        <f>IF(BF$191=$F179,SUM(AI179:AL179),0)</f>
        <v>0</v>
      </c>
      <c r="BG179" s="330">
        <v>29991</v>
      </c>
      <c r="BH179" s="330">
        <f>IF(BH$191=$F179,SUM(AK179:AN179),0)</f>
        <v>0</v>
      </c>
      <c r="BI179" s="330">
        <f>IF(BI$191=$F179,SUM(AL179:AO179),0)</f>
        <v>0</v>
      </c>
      <c r="BJ179" s="330">
        <f>IF(BJ$191=$F179,SUM(AM179:AP179),0)</f>
        <v>0</v>
      </c>
      <c r="BK179" s="330">
        <v>30.76</v>
      </c>
      <c r="BL179" s="330">
        <f t="shared" ref="BL179:BQ179" si="583">IF(BL$191=$F179,SUM(AO179:AR179),0)</f>
        <v>0</v>
      </c>
      <c r="BM179" s="330">
        <f t="shared" si="583"/>
        <v>0</v>
      </c>
      <c r="BN179" s="330">
        <f t="shared" si="583"/>
        <v>0</v>
      </c>
      <c r="BO179" s="326">
        <f t="shared" si="583"/>
        <v>0</v>
      </c>
      <c r="BP179" s="330">
        <f t="shared" si="583"/>
        <v>0</v>
      </c>
      <c r="BQ179" s="330">
        <f t="shared" si="583"/>
        <v>0</v>
      </c>
      <c r="BR179" s="330">
        <f>IF(BR$191=$F179,SUM(AU179:BA179),0)</f>
        <v>0</v>
      </c>
      <c r="BS179" s="326">
        <f>IF(BS$191=$F179,SUM(AV179:BB179),0)</f>
        <v>0</v>
      </c>
      <c r="BT179" s="326">
        <f>IF(BT$191=$F179,SUM(AW179:BC179),0)</f>
        <v>0</v>
      </c>
      <c r="BU179" s="330">
        <f>IF(BU$191=$F179,SUM(AX179:BD179),0)</f>
        <v>0</v>
      </c>
      <c r="BV179" s="330">
        <f t="shared" ref="BV179:BW179" si="584">IF(BV$191=$F179,SUM(AY179:BE179),0)</f>
        <v>0</v>
      </c>
      <c r="BW179" s="330">
        <f t="shared" si="584"/>
        <v>0</v>
      </c>
      <c r="BX179" s="351">
        <f t="shared" si="568"/>
        <v>0</v>
      </c>
      <c r="BY179" s="378">
        <f t="shared" si="569"/>
        <v>0</v>
      </c>
      <c r="BZ179" s="378">
        <f t="shared" si="570"/>
        <v>0</v>
      </c>
    </row>
    <row r="180" spans="1:78" s="234" customFormat="1" ht="14.45" customHeight="1">
      <c r="A180" s="234" t="s">
        <v>140</v>
      </c>
      <c r="B180" s="234" t="s">
        <v>297</v>
      </c>
      <c r="C180" s="392"/>
      <c r="D180" s="328"/>
      <c r="E180" s="326">
        <v>714.25</v>
      </c>
      <c r="F180" s="328" t="s">
        <v>175</v>
      </c>
      <c r="G180" s="329"/>
      <c r="H180" s="329">
        <v>0</v>
      </c>
      <c r="I180" s="329">
        <v>0</v>
      </c>
      <c r="J180" s="329">
        <v>0</v>
      </c>
      <c r="K180" s="329"/>
      <c r="L180" s="329"/>
      <c r="M180" s="329">
        <v>0.37499474973748692</v>
      </c>
      <c r="N180" s="329">
        <v>0.12499824991249563</v>
      </c>
      <c r="O180" s="329">
        <v>0</v>
      </c>
      <c r="P180" s="329">
        <v>0.50000700035001755</v>
      </c>
      <c r="Q180" s="329"/>
      <c r="R180" s="388"/>
      <c r="S180" s="388"/>
      <c r="T180" s="388"/>
      <c r="U180" s="388"/>
      <c r="V180" s="388"/>
      <c r="W180" s="388"/>
      <c r="X180" s="388"/>
      <c r="Y180" s="388"/>
      <c r="Z180" s="388"/>
      <c r="AA180" s="388"/>
      <c r="AB180" s="388"/>
      <c r="AC180" s="387">
        <f>SUM(G180:AB180)</f>
        <v>1</v>
      </c>
      <c r="AD180" s="328"/>
      <c r="AE180" s="330">
        <f t="shared" ref="AE180:AN189" si="585">G180*$E180</f>
        <v>0</v>
      </c>
      <c r="AF180" s="326">
        <f t="shared" si="585"/>
        <v>0</v>
      </c>
      <c r="AG180" s="330">
        <f t="shared" si="585"/>
        <v>0</v>
      </c>
      <c r="AH180" s="330">
        <f t="shared" si="585"/>
        <v>0</v>
      </c>
      <c r="AI180" s="330">
        <f t="shared" si="585"/>
        <v>0</v>
      </c>
      <c r="AJ180" s="330">
        <f t="shared" si="585"/>
        <v>0</v>
      </c>
      <c r="AK180" s="386">
        <f t="shared" si="585"/>
        <v>267.84000000000003</v>
      </c>
      <c r="AL180" s="386">
        <f t="shared" si="585"/>
        <v>89.28</v>
      </c>
      <c r="AM180" s="386">
        <f t="shared" si="585"/>
        <v>0</v>
      </c>
      <c r="AN180" s="326">
        <f t="shared" si="585"/>
        <v>357.13000000000005</v>
      </c>
      <c r="AO180" s="330">
        <f t="shared" ref="AO180:AW189" si="586">Q180*$E180</f>
        <v>0</v>
      </c>
      <c r="AP180" s="326">
        <f t="shared" si="586"/>
        <v>0</v>
      </c>
      <c r="AQ180" s="330">
        <f t="shared" si="586"/>
        <v>0</v>
      </c>
      <c r="AR180" s="330">
        <f t="shared" si="586"/>
        <v>0</v>
      </c>
      <c r="AS180" s="330">
        <f t="shared" si="586"/>
        <v>0</v>
      </c>
      <c r="AT180" s="330">
        <f t="shared" si="586"/>
        <v>0</v>
      </c>
      <c r="AU180" s="330">
        <f t="shared" si="586"/>
        <v>0</v>
      </c>
      <c r="AV180" s="330">
        <f t="shared" si="586"/>
        <v>0</v>
      </c>
      <c r="AW180" s="330">
        <f t="shared" si="586"/>
        <v>0</v>
      </c>
      <c r="AX180" s="330">
        <f t="shared" ref="AX180:AZ189" si="587">Z180*$E180</f>
        <v>0</v>
      </c>
      <c r="AY180" s="330">
        <f t="shared" si="587"/>
        <v>0</v>
      </c>
      <c r="AZ180" s="330">
        <f t="shared" si="587"/>
        <v>0</v>
      </c>
      <c r="BA180" s="330"/>
      <c r="BB180" s="330">
        <f t="shared" ref="BB180:BW180" si="588">IF(BB$3=$F180,$E180,0)</f>
        <v>0</v>
      </c>
      <c r="BC180" s="330">
        <f t="shared" si="588"/>
        <v>0</v>
      </c>
      <c r="BD180" s="330">
        <f t="shared" si="588"/>
        <v>0</v>
      </c>
      <c r="BE180" s="330">
        <f t="shared" si="588"/>
        <v>0</v>
      </c>
      <c r="BF180" s="330">
        <f t="shared" si="588"/>
        <v>0</v>
      </c>
      <c r="BG180" s="330">
        <f t="shared" si="588"/>
        <v>0</v>
      </c>
      <c r="BH180" s="326">
        <f t="shared" si="588"/>
        <v>714.25</v>
      </c>
      <c r="BI180" s="330">
        <f t="shared" si="588"/>
        <v>0</v>
      </c>
      <c r="BJ180" s="330">
        <f t="shared" si="588"/>
        <v>0</v>
      </c>
      <c r="BK180" s="330">
        <f t="shared" si="588"/>
        <v>0</v>
      </c>
      <c r="BL180" s="330">
        <f t="shared" si="588"/>
        <v>0</v>
      </c>
      <c r="BM180" s="330">
        <f t="shared" si="588"/>
        <v>0</v>
      </c>
      <c r="BN180" s="330">
        <f t="shared" si="588"/>
        <v>0</v>
      </c>
      <c r="BO180" s="330">
        <f t="shared" si="588"/>
        <v>0</v>
      </c>
      <c r="BP180" s="330">
        <f t="shared" si="588"/>
        <v>0</v>
      </c>
      <c r="BQ180" s="330">
        <f t="shared" si="588"/>
        <v>0</v>
      </c>
      <c r="BR180" s="330">
        <f t="shared" si="588"/>
        <v>0</v>
      </c>
      <c r="BS180" s="330">
        <f t="shared" si="588"/>
        <v>0</v>
      </c>
      <c r="BT180" s="326">
        <f t="shared" si="588"/>
        <v>0</v>
      </c>
      <c r="BU180" s="330">
        <f t="shared" si="588"/>
        <v>0</v>
      </c>
      <c r="BV180" s="330">
        <f t="shared" si="588"/>
        <v>0</v>
      </c>
      <c r="BW180" s="330">
        <f t="shared" si="588"/>
        <v>0</v>
      </c>
      <c r="BX180" s="351">
        <f t="shared" si="568"/>
        <v>0</v>
      </c>
      <c r="BY180" s="378">
        <f t="shared" si="569"/>
        <v>0</v>
      </c>
      <c r="BZ180" s="378">
        <f t="shared" si="570"/>
        <v>0</v>
      </c>
    </row>
    <row r="181" spans="1:78" s="234" customFormat="1" ht="14.45" customHeight="1">
      <c r="A181" s="234" t="s">
        <v>140</v>
      </c>
      <c r="B181" s="234" t="s">
        <v>297</v>
      </c>
      <c r="C181" s="392"/>
      <c r="D181" s="328"/>
      <c r="E181" s="326">
        <v>7714.32</v>
      </c>
      <c r="F181" s="328" t="s">
        <v>230</v>
      </c>
      <c r="G181" s="329"/>
      <c r="H181" s="329">
        <v>0</v>
      </c>
      <c r="I181" s="329">
        <v>0</v>
      </c>
      <c r="J181" s="329">
        <v>0</v>
      </c>
      <c r="K181" s="329"/>
      <c r="L181" s="329">
        <v>0</v>
      </c>
      <c r="M181" s="329">
        <v>0</v>
      </c>
      <c r="N181" s="329">
        <v>0</v>
      </c>
      <c r="O181" s="329">
        <v>0</v>
      </c>
      <c r="P181" s="329">
        <v>0.33333333333333337</v>
      </c>
      <c r="Q181" s="329">
        <v>0.25</v>
      </c>
      <c r="R181" s="329">
        <v>0.25</v>
      </c>
      <c r="S181" s="329">
        <f>1-(P181+Q181+R181)</f>
        <v>0.16666666666666663</v>
      </c>
      <c r="T181" s="388"/>
      <c r="U181" s="388"/>
      <c r="V181" s="388"/>
      <c r="W181" s="388"/>
      <c r="X181" s="388"/>
      <c r="Y181" s="388"/>
      <c r="Z181" s="388"/>
      <c r="AA181" s="388"/>
      <c r="AB181" s="388"/>
      <c r="AC181" s="387">
        <f t="shared" ref="AC181:AC185" si="589">SUM(G181:AB181)</f>
        <v>1</v>
      </c>
      <c r="AD181" s="328"/>
      <c r="AE181" s="330">
        <f t="shared" si="585"/>
        <v>0</v>
      </c>
      <c r="AF181" s="326">
        <f t="shared" si="585"/>
        <v>0</v>
      </c>
      <c r="AG181" s="330">
        <f t="shared" si="585"/>
        <v>0</v>
      </c>
      <c r="AH181" s="330">
        <f t="shared" si="585"/>
        <v>0</v>
      </c>
      <c r="AI181" s="330">
        <f t="shared" si="585"/>
        <v>0</v>
      </c>
      <c r="AJ181" s="386">
        <f t="shared" si="585"/>
        <v>0</v>
      </c>
      <c r="AK181" s="386">
        <f t="shared" si="585"/>
        <v>0</v>
      </c>
      <c r="AL181" s="386">
        <f t="shared" si="585"/>
        <v>0</v>
      </c>
      <c r="AM181" s="386">
        <f t="shared" si="585"/>
        <v>0</v>
      </c>
      <c r="AN181" s="326">
        <f t="shared" si="585"/>
        <v>2571.44</v>
      </c>
      <c r="AO181" s="330">
        <f t="shared" si="586"/>
        <v>1928.58</v>
      </c>
      <c r="AP181" s="326">
        <f t="shared" si="586"/>
        <v>1928.58</v>
      </c>
      <c r="AQ181" s="326">
        <f t="shared" si="586"/>
        <v>1285.7199999999996</v>
      </c>
      <c r="AR181" s="330">
        <f t="shared" si="586"/>
        <v>0</v>
      </c>
      <c r="AS181" s="330">
        <f t="shared" si="586"/>
        <v>0</v>
      </c>
      <c r="AT181" s="330">
        <f t="shared" si="586"/>
        <v>0</v>
      </c>
      <c r="AU181" s="330">
        <f t="shared" si="586"/>
        <v>0</v>
      </c>
      <c r="AV181" s="330">
        <f t="shared" si="586"/>
        <v>0</v>
      </c>
      <c r="AW181" s="330">
        <f t="shared" si="586"/>
        <v>0</v>
      </c>
      <c r="AX181" s="330">
        <f t="shared" si="587"/>
        <v>0</v>
      </c>
      <c r="AY181" s="330">
        <f t="shared" si="587"/>
        <v>0</v>
      </c>
      <c r="AZ181" s="330">
        <f t="shared" si="587"/>
        <v>0</v>
      </c>
      <c r="BA181" s="330"/>
      <c r="BB181" s="330">
        <f t="shared" si="581"/>
        <v>0</v>
      </c>
      <c r="BC181" s="330">
        <f t="shared" si="581"/>
        <v>0</v>
      </c>
      <c r="BD181" s="330">
        <f t="shared" si="581"/>
        <v>0</v>
      </c>
      <c r="BE181" s="330">
        <f t="shared" si="581"/>
        <v>0</v>
      </c>
      <c r="BF181" s="330">
        <f t="shared" si="581"/>
        <v>0</v>
      </c>
      <c r="BG181" s="330">
        <f t="shared" si="581"/>
        <v>0</v>
      </c>
      <c r="BH181" s="330">
        <f t="shared" si="581"/>
        <v>0</v>
      </c>
      <c r="BI181" s="330">
        <f t="shared" si="581"/>
        <v>0</v>
      </c>
      <c r="BJ181" s="330">
        <f t="shared" si="581"/>
        <v>7714.32</v>
      </c>
      <c r="BK181" s="330">
        <f t="shared" si="581"/>
        <v>0</v>
      </c>
      <c r="BL181" s="330">
        <f t="shared" si="581"/>
        <v>0</v>
      </c>
      <c r="BM181" s="330">
        <f t="shared" si="581"/>
        <v>0</v>
      </c>
      <c r="BN181" s="330">
        <f t="shared" si="581"/>
        <v>0</v>
      </c>
      <c r="BO181" s="330">
        <f t="shared" si="581"/>
        <v>0</v>
      </c>
      <c r="BP181" s="330">
        <f t="shared" si="581"/>
        <v>0</v>
      </c>
      <c r="BQ181" s="330">
        <f t="shared" si="488"/>
        <v>0</v>
      </c>
      <c r="BR181" s="330">
        <f t="shared" si="488"/>
        <v>0</v>
      </c>
      <c r="BS181" s="330">
        <f t="shared" si="488"/>
        <v>0</v>
      </c>
      <c r="BT181" s="326">
        <f t="shared" si="488"/>
        <v>0</v>
      </c>
      <c r="BU181" s="330">
        <f t="shared" si="488"/>
        <v>0</v>
      </c>
      <c r="BV181" s="330">
        <f t="shared" si="488"/>
        <v>0</v>
      </c>
      <c r="BW181" s="330">
        <f t="shared" si="488"/>
        <v>0</v>
      </c>
      <c r="BX181" s="351">
        <f t="shared" si="568"/>
        <v>0</v>
      </c>
      <c r="BY181" s="378">
        <f t="shared" si="569"/>
        <v>0</v>
      </c>
      <c r="BZ181" s="378">
        <f t="shared" si="570"/>
        <v>0</v>
      </c>
    </row>
    <row r="182" spans="1:78" s="234" customFormat="1" ht="14.45" customHeight="1">
      <c r="A182" s="234" t="s">
        <v>140</v>
      </c>
      <c r="B182" s="234" t="s">
        <v>297</v>
      </c>
      <c r="C182" s="392"/>
      <c r="D182" s="328"/>
      <c r="E182" s="326">
        <v>4500.0200000000004</v>
      </c>
      <c r="F182" s="328" t="s">
        <v>241</v>
      </c>
      <c r="G182" s="329"/>
      <c r="H182" s="329">
        <v>0</v>
      </c>
      <c r="I182" s="329">
        <v>0</v>
      </c>
      <c r="J182" s="329">
        <v>0</v>
      </c>
      <c r="K182" s="329"/>
      <c r="L182" s="329">
        <v>0</v>
      </c>
      <c r="M182" s="329">
        <v>0</v>
      </c>
      <c r="N182" s="329">
        <v>0</v>
      </c>
      <c r="O182" s="329">
        <v>0</v>
      </c>
      <c r="P182" s="329">
        <v>0</v>
      </c>
      <c r="Q182" s="329">
        <v>0</v>
      </c>
      <c r="R182" s="329">
        <v>0</v>
      </c>
      <c r="S182" s="329">
        <v>0</v>
      </c>
      <c r="T182" s="389">
        <v>0.5714285714285714</v>
      </c>
      <c r="U182" s="389">
        <v>0.42857142857142849</v>
      </c>
      <c r="V182" s="389">
        <v>0</v>
      </c>
      <c r="W182" s="389">
        <v>0</v>
      </c>
      <c r="X182" s="388"/>
      <c r="Y182" s="388"/>
      <c r="Z182" s="388"/>
      <c r="AA182" s="388"/>
      <c r="AB182" s="388"/>
      <c r="AC182" s="387">
        <f t="shared" si="589"/>
        <v>0.99999999999999989</v>
      </c>
      <c r="AD182" s="328"/>
      <c r="AE182" s="330">
        <f t="shared" si="585"/>
        <v>0</v>
      </c>
      <c r="AF182" s="326">
        <f t="shared" si="585"/>
        <v>0</v>
      </c>
      <c r="AG182" s="330">
        <f t="shared" si="585"/>
        <v>0</v>
      </c>
      <c r="AH182" s="330">
        <f t="shared" si="585"/>
        <v>0</v>
      </c>
      <c r="AI182" s="330">
        <f t="shared" si="585"/>
        <v>0</v>
      </c>
      <c r="AJ182" s="386">
        <f t="shared" si="585"/>
        <v>0</v>
      </c>
      <c r="AK182" s="386">
        <f t="shared" si="585"/>
        <v>0</v>
      </c>
      <c r="AL182" s="386">
        <f t="shared" si="585"/>
        <v>0</v>
      </c>
      <c r="AM182" s="386">
        <f t="shared" si="585"/>
        <v>0</v>
      </c>
      <c r="AN182" s="326">
        <f t="shared" si="585"/>
        <v>0</v>
      </c>
      <c r="AO182" s="330">
        <f t="shared" si="586"/>
        <v>0</v>
      </c>
      <c r="AP182" s="326">
        <f t="shared" si="586"/>
        <v>0</v>
      </c>
      <c r="AQ182" s="326">
        <f t="shared" si="586"/>
        <v>0</v>
      </c>
      <c r="AR182" s="326">
        <f t="shared" si="586"/>
        <v>2571.44</v>
      </c>
      <c r="AS182" s="326">
        <f t="shared" si="586"/>
        <v>1928.58</v>
      </c>
      <c r="AT182" s="330">
        <f t="shared" si="586"/>
        <v>0</v>
      </c>
      <c r="AU182" s="330">
        <f t="shared" si="586"/>
        <v>0</v>
      </c>
      <c r="AV182" s="330">
        <f t="shared" si="586"/>
        <v>0</v>
      </c>
      <c r="AW182" s="330">
        <f t="shared" si="586"/>
        <v>0</v>
      </c>
      <c r="AX182" s="330">
        <f t="shared" si="587"/>
        <v>0</v>
      </c>
      <c r="AY182" s="330">
        <f t="shared" si="587"/>
        <v>0</v>
      </c>
      <c r="AZ182" s="330">
        <f t="shared" si="587"/>
        <v>0</v>
      </c>
      <c r="BA182" s="330"/>
      <c r="BB182" s="330">
        <f t="shared" si="581"/>
        <v>0</v>
      </c>
      <c r="BC182" s="330">
        <f t="shared" si="581"/>
        <v>0</v>
      </c>
      <c r="BD182" s="330">
        <f t="shared" si="581"/>
        <v>0</v>
      </c>
      <c r="BE182" s="330">
        <f t="shared" si="581"/>
        <v>0</v>
      </c>
      <c r="BF182" s="330">
        <f t="shared" si="581"/>
        <v>0</v>
      </c>
      <c r="BG182" s="330">
        <f t="shared" si="581"/>
        <v>0</v>
      </c>
      <c r="BH182" s="330">
        <f t="shared" si="581"/>
        <v>0</v>
      </c>
      <c r="BI182" s="330">
        <f t="shared" si="581"/>
        <v>0</v>
      </c>
      <c r="BJ182" s="330">
        <f t="shared" si="581"/>
        <v>0</v>
      </c>
      <c r="BK182" s="330">
        <f t="shared" si="581"/>
        <v>0</v>
      </c>
      <c r="BL182" s="330">
        <f t="shared" si="581"/>
        <v>0</v>
      </c>
      <c r="BM182" s="330">
        <f t="shared" si="581"/>
        <v>0</v>
      </c>
      <c r="BN182" s="326">
        <v>7214</v>
      </c>
      <c r="BO182" s="330">
        <v>500.32</v>
      </c>
      <c r="BP182" s="330">
        <v>-3214.3</v>
      </c>
      <c r="BQ182" s="330">
        <f t="shared" si="488"/>
        <v>0</v>
      </c>
      <c r="BR182" s="330">
        <f t="shared" si="488"/>
        <v>0</v>
      </c>
      <c r="BS182" s="330">
        <f t="shared" si="488"/>
        <v>0</v>
      </c>
      <c r="BT182" s="326">
        <f t="shared" si="488"/>
        <v>0</v>
      </c>
      <c r="BU182" s="330">
        <f t="shared" si="488"/>
        <v>0</v>
      </c>
      <c r="BV182" s="330">
        <f t="shared" si="488"/>
        <v>0</v>
      </c>
      <c r="BW182" s="330">
        <f t="shared" si="488"/>
        <v>0</v>
      </c>
      <c r="BX182" s="351">
        <f t="shared" si="568"/>
        <v>0</v>
      </c>
      <c r="BY182" s="378">
        <f t="shared" si="569"/>
        <v>0</v>
      </c>
      <c r="BZ182" s="378">
        <f t="shared" si="570"/>
        <v>0</v>
      </c>
    </row>
    <row r="183" spans="1:78" s="234" customFormat="1" ht="14.45" customHeight="1">
      <c r="A183" s="234" t="s">
        <v>140</v>
      </c>
      <c r="B183" s="234" t="s">
        <v>297</v>
      </c>
      <c r="C183" s="392"/>
      <c r="D183" s="328"/>
      <c r="E183" s="326">
        <v>267.87</v>
      </c>
      <c r="F183" s="328" t="s">
        <v>202</v>
      </c>
      <c r="G183" s="329"/>
      <c r="H183" s="329">
        <v>0</v>
      </c>
      <c r="I183" s="329">
        <v>0</v>
      </c>
      <c r="J183" s="329">
        <v>0</v>
      </c>
      <c r="K183" s="329"/>
      <c r="L183" s="329">
        <v>0</v>
      </c>
      <c r="M183" s="329">
        <v>0</v>
      </c>
      <c r="N183" s="329">
        <v>0</v>
      </c>
      <c r="O183" s="329">
        <v>0</v>
      </c>
      <c r="P183" s="329">
        <v>0</v>
      </c>
      <c r="Q183" s="329">
        <v>0</v>
      </c>
      <c r="R183" s="329">
        <v>0</v>
      </c>
      <c r="S183" s="329">
        <v>0</v>
      </c>
      <c r="T183" s="329">
        <v>0</v>
      </c>
      <c r="U183" s="329">
        <v>1</v>
      </c>
      <c r="V183" s="329">
        <v>0</v>
      </c>
      <c r="W183" s="389">
        <v>0</v>
      </c>
      <c r="X183" s="389">
        <v>0</v>
      </c>
      <c r="Y183" s="389">
        <v>0</v>
      </c>
      <c r="Z183" s="388"/>
      <c r="AA183" s="388"/>
      <c r="AB183" s="388"/>
      <c r="AC183" s="387">
        <f t="shared" si="589"/>
        <v>1</v>
      </c>
      <c r="AD183" s="328"/>
      <c r="AE183" s="330">
        <f t="shared" si="585"/>
        <v>0</v>
      </c>
      <c r="AF183" s="326">
        <f t="shared" si="585"/>
        <v>0</v>
      </c>
      <c r="AG183" s="330">
        <f t="shared" si="585"/>
        <v>0</v>
      </c>
      <c r="AH183" s="330">
        <f t="shared" si="585"/>
        <v>0</v>
      </c>
      <c r="AI183" s="330">
        <f t="shared" si="585"/>
        <v>0</v>
      </c>
      <c r="AJ183" s="386">
        <f t="shared" si="585"/>
        <v>0</v>
      </c>
      <c r="AK183" s="386">
        <f t="shared" si="585"/>
        <v>0</v>
      </c>
      <c r="AL183" s="386">
        <f t="shared" si="585"/>
        <v>0</v>
      </c>
      <c r="AM183" s="386">
        <f t="shared" si="585"/>
        <v>0</v>
      </c>
      <c r="AN183" s="326">
        <f t="shared" si="585"/>
        <v>0</v>
      </c>
      <c r="AO183" s="330">
        <f t="shared" si="586"/>
        <v>0</v>
      </c>
      <c r="AP183" s="326">
        <f t="shared" si="586"/>
        <v>0</v>
      </c>
      <c r="AQ183" s="326">
        <f t="shared" si="586"/>
        <v>0</v>
      </c>
      <c r="AR183" s="326">
        <f t="shared" si="586"/>
        <v>0</v>
      </c>
      <c r="AS183" s="326">
        <f t="shared" si="586"/>
        <v>267.87</v>
      </c>
      <c r="AT183" s="326">
        <f t="shared" si="586"/>
        <v>0</v>
      </c>
      <c r="AU183" s="326">
        <f t="shared" si="586"/>
        <v>0</v>
      </c>
      <c r="AV183" s="330">
        <f t="shared" si="586"/>
        <v>0</v>
      </c>
      <c r="AW183" s="330">
        <f t="shared" si="586"/>
        <v>0</v>
      </c>
      <c r="AX183" s="330">
        <f t="shared" si="587"/>
        <v>0</v>
      </c>
      <c r="AY183" s="330">
        <f t="shared" si="587"/>
        <v>0</v>
      </c>
      <c r="AZ183" s="330">
        <f t="shared" si="587"/>
        <v>0</v>
      </c>
      <c r="BA183" s="330"/>
      <c r="BB183" s="330">
        <f t="shared" si="581"/>
        <v>0</v>
      </c>
      <c r="BC183" s="330">
        <f t="shared" si="581"/>
        <v>0</v>
      </c>
      <c r="BD183" s="330">
        <f t="shared" si="581"/>
        <v>0</v>
      </c>
      <c r="BE183" s="330">
        <f t="shared" si="581"/>
        <v>0</v>
      </c>
      <c r="BF183" s="330">
        <f t="shared" si="581"/>
        <v>0</v>
      </c>
      <c r="BG183" s="330">
        <f t="shared" si="581"/>
        <v>0</v>
      </c>
      <c r="BH183" s="330">
        <f t="shared" si="581"/>
        <v>0</v>
      </c>
      <c r="BI183" s="330">
        <f t="shared" si="581"/>
        <v>0</v>
      </c>
      <c r="BJ183" s="330">
        <f t="shared" si="581"/>
        <v>0</v>
      </c>
      <c r="BK183" s="330">
        <f t="shared" si="581"/>
        <v>0</v>
      </c>
      <c r="BL183" s="330">
        <f t="shared" si="581"/>
        <v>0</v>
      </c>
      <c r="BM183" s="330">
        <f t="shared" si="581"/>
        <v>0</v>
      </c>
      <c r="BN183" s="326">
        <f t="shared" si="581"/>
        <v>0</v>
      </c>
      <c r="BO183" s="330">
        <f t="shared" si="581"/>
        <v>0</v>
      </c>
      <c r="BP183" s="330">
        <f t="shared" si="581"/>
        <v>267.87</v>
      </c>
      <c r="BQ183" s="330">
        <f t="shared" si="488"/>
        <v>0</v>
      </c>
      <c r="BR183" s="330">
        <f t="shared" si="488"/>
        <v>0</v>
      </c>
      <c r="BS183" s="330">
        <f t="shared" si="488"/>
        <v>0</v>
      </c>
      <c r="BT183" s="326">
        <f t="shared" si="488"/>
        <v>0</v>
      </c>
      <c r="BU183" s="330">
        <f t="shared" si="488"/>
        <v>0</v>
      </c>
      <c r="BV183" s="330">
        <f t="shared" si="488"/>
        <v>0</v>
      </c>
      <c r="BW183" s="330">
        <f t="shared" si="488"/>
        <v>0</v>
      </c>
      <c r="BX183" s="351">
        <f t="shared" si="568"/>
        <v>0</v>
      </c>
      <c r="BY183" s="378">
        <f t="shared" si="569"/>
        <v>0</v>
      </c>
      <c r="BZ183" s="378">
        <f t="shared" si="570"/>
        <v>0</v>
      </c>
    </row>
    <row r="184" spans="1:78" s="234" customFormat="1" ht="14.45" customHeight="1">
      <c r="A184" s="234" t="s">
        <v>140</v>
      </c>
      <c r="B184" s="234" t="s">
        <v>297</v>
      </c>
      <c r="C184" s="392"/>
      <c r="D184" s="328"/>
      <c r="E184" s="326">
        <v>11854.9</v>
      </c>
      <c r="F184" s="328" t="s">
        <v>253</v>
      </c>
      <c r="G184" s="329"/>
      <c r="H184" s="329">
        <v>0</v>
      </c>
      <c r="I184" s="329">
        <v>0</v>
      </c>
      <c r="J184" s="329">
        <v>0</v>
      </c>
      <c r="K184" s="329"/>
      <c r="L184" s="329">
        <v>0</v>
      </c>
      <c r="M184" s="329">
        <v>0</v>
      </c>
      <c r="N184" s="329">
        <v>0</v>
      </c>
      <c r="O184" s="329">
        <v>0</v>
      </c>
      <c r="P184" s="329">
        <v>0</v>
      </c>
      <c r="Q184" s="329">
        <v>0</v>
      </c>
      <c r="R184" s="329">
        <v>0</v>
      </c>
      <c r="S184" s="329">
        <v>0</v>
      </c>
      <c r="T184" s="329">
        <v>0</v>
      </c>
      <c r="U184" s="329">
        <v>0</v>
      </c>
      <c r="V184" s="329">
        <v>0.27536293009641583</v>
      </c>
      <c r="W184" s="389">
        <v>0.28985482796143369</v>
      </c>
      <c r="X184" s="389">
        <v>0.43478224194215054</v>
      </c>
      <c r="Y184" s="389">
        <v>0</v>
      </c>
      <c r="Z184" s="388"/>
      <c r="AA184" s="388"/>
      <c r="AB184" s="388"/>
      <c r="AC184" s="387">
        <f t="shared" si="589"/>
        <v>1</v>
      </c>
      <c r="AD184" s="328"/>
      <c r="AE184" s="330">
        <f t="shared" si="585"/>
        <v>0</v>
      </c>
      <c r="AF184" s="326">
        <f t="shared" si="585"/>
        <v>0</v>
      </c>
      <c r="AG184" s="330">
        <f t="shared" si="585"/>
        <v>0</v>
      </c>
      <c r="AH184" s="330">
        <f t="shared" si="585"/>
        <v>0</v>
      </c>
      <c r="AI184" s="330">
        <f t="shared" si="585"/>
        <v>0</v>
      </c>
      <c r="AJ184" s="386">
        <f t="shared" si="585"/>
        <v>0</v>
      </c>
      <c r="AK184" s="386">
        <f t="shared" si="585"/>
        <v>0</v>
      </c>
      <c r="AL184" s="386">
        <f t="shared" si="585"/>
        <v>0</v>
      </c>
      <c r="AM184" s="386">
        <f t="shared" si="585"/>
        <v>0</v>
      </c>
      <c r="AN184" s="326">
        <f t="shared" si="585"/>
        <v>0</v>
      </c>
      <c r="AO184" s="330">
        <f t="shared" si="586"/>
        <v>0</v>
      </c>
      <c r="AP184" s="326">
        <f t="shared" si="586"/>
        <v>0</v>
      </c>
      <c r="AQ184" s="326">
        <f t="shared" si="586"/>
        <v>0</v>
      </c>
      <c r="AR184" s="326">
        <f t="shared" si="586"/>
        <v>0</v>
      </c>
      <c r="AS184" s="326">
        <f t="shared" si="586"/>
        <v>0</v>
      </c>
      <c r="AT184" s="326">
        <f t="shared" si="586"/>
        <v>3264.4</v>
      </c>
      <c r="AU184" s="326">
        <f t="shared" si="586"/>
        <v>3436.2000000000003</v>
      </c>
      <c r="AV184" s="326">
        <f t="shared" si="586"/>
        <v>5154.3</v>
      </c>
      <c r="AW184" s="326">
        <f t="shared" si="586"/>
        <v>0</v>
      </c>
      <c r="AX184" s="326">
        <f t="shared" si="587"/>
        <v>0</v>
      </c>
      <c r="AY184" s="326">
        <f t="shared" si="587"/>
        <v>0</v>
      </c>
      <c r="AZ184" s="326">
        <f t="shared" si="587"/>
        <v>0</v>
      </c>
      <c r="BA184" s="330"/>
      <c r="BB184" s="330">
        <f t="shared" si="581"/>
        <v>0</v>
      </c>
      <c r="BC184" s="330">
        <f t="shared" si="581"/>
        <v>0</v>
      </c>
      <c r="BD184" s="330">
        <f t="shared" si="581"/>
        <v>0</v>
      </c>
      <c r="BE184" s="330">
        <f t="shared" si="581"/>
        <v>0</v>
      </c>
      <c r="BF184" s="330">
        <f t="shared" si="581"/>
        <v>0</v>
      </c>
      <c r="BG184" s="330">
        <f t="shared" si="581"/>
        <v>0</v>
      </c>
      <c r="BH184" s="330">
        <f t="shared" si="581"/>
        <v>0</v>
      </c>
      <c r="BI184" s="330">
        <f t="shared" si="581"/>
        <v>0</v>
      </c>
      <c r="BJ184" s="330">
        <f t="shared" si="581"/>
        <v>0</v>
      </c>
      <c r="BK184" s="330">
        <f t="shared" si="581"/>
        <v>0</v>
      </c>
      <c r="BL184" s="330">
        <f t="shared" si="581"/>
        <v>0</v>
      </c>
      <c r="BM184" s="330">
        <f t="shared" si="581"/>
        <v>0</v>
      </c>
      <c r="BN184" s="326">
        <f t="shared" si="581"/>
        <v>0</v>
      </c>
      <c r="BO184" s="330">
        <f t="shared" si="581"/>
        <v>0</v>
      </c>
      <c r="BP184" s="330">
        <f t="shared" si="581"/>
        <v>0</v>
      </c>
      <c r="BQ184" s="330">
        <v>13573</v>
      </c>
      <c r="BR184" s="330">
        <f t="shared" si="488"/>
        <v>0</v>
      </c>
      <c r="BS184" s="330">
        <f t="shared" si="488"/>
        <v>0</v>
      </c>
      <c r="BT184" s="326">
        <f t="shared" si="488"/>
        <v>0</v>
      </c>
      <c r="BU184" s="544">
        <v>-1718.1</v>
      </c>
      <c r="BV184" s="330">
        <f t="shared" si="488"/>
        <v>0</v>
      </c>
      <c r="BW184" s="330">
        <f t="shared" si="488"/>
        <v>0</v>
      </c>
      <c r="BX184" s="351">
        <f t="shared" si="568"/>
        <v>0</v>
      </c>
      <c r="BY184" s="378">
        <f t="shared" si="569"/>
        <v>0</v>
      </c>
      <c r="BZ184" s="378">
        <f t="shared" si="570"/>
        <v>0</v>
      </c>
    </row>
    <row r="185" spans="1:78" s="234" customFormat="1" ht="14.45" customHeight="1">
      <c r="A185" s="234" t="s">
        <v>140</v>
      </c>
      <c r="B185" s="234" t="s">
        <v>297</v>
      </c>
      <c r="C185" s="392"/>
      <c r="D185" s="328"/>
      <c r="E185" s="326">
        <v>3436.2</v>
      </c>
      <c r="F185" s="328" t="s">
        <v>250</v>
      </c>
      <c r="G185" s="329"/>
      <c r="H185" s="329">
        <v>0</v>
      </c>
      <c r="I185" s="329">
        <v>0</v>
      </c>
      <c r="J185" s="329">
        <v>0</v>
      </c>
      <c r="K185" s="329"/>
      <c r="L185" s="329">
        <v>0</v>
      </c>
      <c r="M185" s="329">
        <v>0</v>
      </c>
      <c r="N185" s="329">
        <v>0</v>
      </c>
      <c r="O185" s="329">
        <v>0</v>
      </c>
      <c r="P185" s="329">
        <v>0</v>
      </c>
      <c r="Q185" s="329">
        <v>0</v>
      </c>
      <c r="R185" s="329">
        <v>0</v>
      </c>
      <c r="S185" s="329">
        <v>0</v>
      </c>
      <c r="T185" s="329">
        <v>0</v>
      </c>
      <c r="U185" s="329">
        <v>0</v>
      </c>
      <c r="V185" s="329">
        <v>0</v>
      </c>
      <c r="W185" s="389">
        <v>0</v>
      </c>
      <c r="X185" s="389">
        <v>0</v>
      </c>
      <c r="Y185" s="389">
        <v>1</v>
      </c>
      <c r="Z185" s="389">
        <v>0</v>
      </c>
      <c r="AA185" s="389"/>
      <c r="AB185" s="389"/>
      <c r="AC185" s="387">
        <f t="shared" si="589"/>
        <v>1</v>
      </c>
      <c r="AD185" s="328"/>
      <c r="AE185" s="330">
        <f t="shared" si="585"/>
        <v>0</v>
      </c>
      <c r="AF185" s="326">
        <f t="shared" si="585"/>
        <v>0</v>
      </c>
      <c r="AG185" s="330">
        <f t="shared" si="585"/>
        <v>0</v>
      </c>
      <c r="AH185" s="330">
        <f t="shared" si="585"/>
        <v>0</v>
      </c>
      <c r="AI185" s="330">
        <f t="shared" si="585"/>
        <v>0</v>
      </c>
      <c r="AJ185" s="386">
        <f t="shared" si="585"/>
        <v>0</v>
      </c>
      <c r="AK185" s="386">
        <f t="shared" si="585"/>
        <v>0</v>
      </c>
      <c r="AL185" s="386">
        <f t="shared" si="585"/>
        <v>0</v>
      </c>
      <c r="AM185" s="386">
        <f t="shared" si="585"/>
        <v>0</v>
      </c>
      <c r="AN185" s="326">
        <f t="shared" si="585"/>
        <v>0</v>
      </c>
      <c r="AO185" s="330">
        <f t="shared" si="586"/>
        <v>0</v>
      </c>
      <c r="AP185" s="326">
        <f t="shared" si="586"/>
        <v>0</v>
      </c>
      <c r="AQ185" s="326">
        <f t="shared" si="586"/>
        <v>0</v>
      </c>
      <c r="AR185" s="326">
        <f t="shared" si="586"/>
        <v>0</v>
      </c>
      <c r="AS185" s="326">
        <f t="shared" si="586"/>
        <v>0</v>
      </c>
      <c r="AT185" s="326">
        <f t="shared" si="586"/>
        <v>0</v>
      </c>
      <c r="AU185" s="326">
        <f t="shared" si="586"/>
        <v>0</v>
      </c>
      <c r="AV185" s="330">
        <f t="shared" si="586"/>
        <v>0</v>
      </c>
      <c r="AW185" s="330">
        <f t="shared" si="586"/>
        <v>3436.2</v>
      </c>
      <c r="AX185" s="330">
        <f t="shared" si="587"/>
        <v>0</v>
      </c>
      <c r="AY185" s="330">
        <f t="shared" si="587"/>
        <v>0</v>
      </c>
      <c r="AZ185" s="330">
        <f t="shared" si="587"/>
        <v>0</v>
      </c>
      <c r="BA185" s="330"/>
      <c r="BB185" s="330">
        <f t="shared" si="581"/>
        <v>0</v>
      </c>
      <c r="BC185" s="330">
        <f t="shared" si="581"/>
        <v>0</v>
      </c>
      <c r="BD185" s="330">
        <f t="shared" si="581"/>
        <v>0</v>
      </c>
      <c r="BE185" s="330">
        <f t="shared" si="581"/>
        <v>0</v>
      </c>
      <c r="BF185" s="330">
        <f t="shared" si="581"/>
        <v>0</v>
      </c>
      <c r="BG185" s="330">
        <f t="shared" si="581"/>
        <v>0</v>
      </c>
      <c r="BH185" s="330">
        <f t="shared" si="581"/>
        <v>0</v>
      </c>
      <c r="BI185" s="330">
        <f t="shared" si="581"/>
        <v>0</v>
      </c>
      <c r="BJ185" s="330">
        <f t="shared" si="581"/>
        <v>0</v>
      </c>
      <c r="BK185" s="330">
        <f t="shared" si="581"/>
        <v>0</v>
      </c>
      <c r="BL185" s="330">
        <f t="shared" si="581"/>
        <v>0</v>
      </c>
      <c r="BM185" s="330">
        <f t="shared" si="581"/>
        <v>0</v>
      </c>
      <c r="BN185" s="326">
        <f t="shared" si="581"/>
        <v>0</v>
      </c>
      <c r="BO185" s="330">
        <f t="shared" si="581"/>
        <v>0</v>
      </c>
      <c r="BP185" s="330">
        <f t="shared" si="581"/>
        <v>0</v>
      </c>
      <c r="BQ185" s="330">
        <f t="shared" si="488"/>
        <v>0</v>
      </c>
      <c r="BR185" s="330">
        <f t="shared" si="488"/>
        <v>0</v>
      </c>
      <c r="BS185" s="330">
        <f t="shared" si="488"/>
        <v>0</v>
      </c>
      <c r="BT185" s="545">
        <f t="shared" si="488"/>
        <v>3436.2</v>
      </c>
      <c r="BU185" s="330">
        <f t="shared" si="488"/>
        <v>0</v>
      </c>
      <c r="BV185" s="330">
        <f t="shared" si="488"/>
        <v>0</v>
      </c>
      <c r="BW185" s="330">
        <f t="shared" si="488"/>
        <v>0</v>
      </c>
      <c r="BX185" s="351">
        <f t="shared" si="568"/>
        <v>0</v>
      </c>
      <c r="BY185" s="378">
        <f t="shared" si="569"/>
        <v>0</v>
      </c>
      <c r="BZ185" s="378">
        <f t="shared" si="570"/>
        <v>0</v>
      </c>
    </row>
    <row r="186" spans="1:78" s="234" customFormat="1" ht="14.45" customHeight="1">
      <c r="A186" s="234" t="s">
        <v>140</v>
      </c>
      <c r="C186" s="392"/>
      <c r="D186" s="328"/>
      <c r="E186" s="326">
        <v>3436.2</v>
      </c>
      <c r="F186" s="328" t="s">
        <v>266</v>
      </c>
      <c r="G186" s="329"/>
      <c r="H186" s="329">
        <v>0</v>
      </c>
      <c r="I186" s="329">
        <v>0</v>
      </c>
      <c r="J186" s="329">
        <v>0</v>
      </c>
      <c r="K186" s="329"/>
      <c r="L186" s="329">
        <v>0</v>
      </c>
      <c r="M186" s="329">
        <v>0</v>
      </c>
      <c r="N186" s="329">
        <v>0</v>
      </c>
      <c r="O186" s="329">
        <v>0</v>
      </c>
      <c r="P186" s="329">
        <v>0</v>
      </c>
      <c r="Q186" s="329">
        <v>0</v>
      </c>
      <c r="R186" s="329">
        <v>0</v>
      </c>
      <c r="S186" s="329">
        <v>0</v>
      </c>
      <c r="T186" s="329">
        <v>0</v>
      </c>
      <c r="U186" s="329">
        <v>0</v>
      </c>
      <c r="V186" s="329">
        <v>0</v>
      </c>
      <c r="W186" s="389">
        <v>0</v>
      </c>
      <c r="X186" s="389">
        <v>0</v>
      </c>
      <c r="Y186" s="389">
        <v>0.5</v>
      </c>
      <c r="Z186" s="389">
        <v>0.5</v>
      </c>
      <c r="AA186" s="389"/>
      <c r="AB186" s="389"/>
      <c r="AC186" s="387">
        <f t="shared" ref="AC186" si="590">SUM(G186:AB186)</f>
        <v>1</v>
      </c>
      <c r="AD186" s="328"/>
      <c r="AE186" s="330">
        <f t="shared" ref="AE186" si="591">G186*$E186</f>
        <v>0</v>
      </c>
      <c r="AF186" s="326">
        <f t="shared" ref="AF186" si="592">H186*$E186</f>
        <v>0</v>
      </c>
      <c r="AG186" s="330">
        <f t="shared" ref="AG186" si="593">I186*$E186</f>
        <v>0</v>
      </c>
      <c r="AH186" s="330">
        <f t="shared" ref="AH186" si="594">J186*$E186</f>
        <v>0</v>
      </c>
      <c r="AI186" s="330">
        <f t="shared" ref="AI186" si="595">K186*$E186</f>
        <v>0</v>
      </c>
      <c r="AJ186" s="386">
        <f t="shared" ref="AJ186" si="596">L186*$E186</f>
        <v>0</v>
      </c>
      <c r="AK186" s="386">
        <f t="shared" ref="AK186" si="597">M186*$E186</f>
        <v>0</v>
      </c>
      <c r="AL186" s="386">
        <f t="shared" ref="AL186" si="598">N186*$E186</f>
        <v>0</v>
      </c>
      <c r="AM186" s="386">
        <f t="shared" ref="AM186" si="599">O186*$E186</f>
        <v>0</v>
      </c>
      <c r="AN186" s="326">
        <f t="shared" ref="AN186" si="600">P186*$E186</f>
        <v>0</v>
      </c>
      <c r="AO186" s="330">
        <f t="shared" ref="AO186" si="601">Q186*$E186</f>
        <v>0</v>
      </c>
      <c r="AP186" s="326">
        <f t="shared" ref="AP186" si="602">R186*$E186</f>
        <v>0</v>
      </c>
      <c r="AQ186" s="326">
        <f t="shared" ref="AQ186" si="603">S186*$E186</f>
        <v>0</v>
      </c>
      <c r="AR186" s="326">
        <f t="shared" ref="AR186" si="604">T186*$E186</f>
        <v>0</v>
      </c>
      <c r="AS186" s="326">
        <f t="shared" ref="AS186" si="605">U186*$E186</f>
        <v>0</v>
      </c>
      <c r="AT186" s="326">
        <f t="shared" ref="AT186" si="606">V186*$E186</f>
        <v>0</v>
      </c>
      <c r="AU186" s="326">
        <f t="shared" ref="AU186" si="607">W186*$E186</f>
        <v>0</v>
      </c>
      <c r="AV186" s="330">
        <f t="shared" ref="AV186" si="608">X186*$E186</f>
        <v>0</v>
      </c>
      <c r="AW186" s="330">
        <f t="shared" ref="AW186" si="609">Y186*$E186</f>
        <v>1718.1</v>
      </c>
      <c r="AX186" s="330">
        <f t="shared" ref="AX186" si="610">Z186*$E186</f>
        <v>1718.1</v>
      </c>
      <c r="AY186" s="330">
        <f t="shared" ref="AY186" si="611">AA186*$E186</f>
        <v>0</v>
      </c>
      <c r="AZ186" s="330">
        <f t="shared" ref="AZ186" si="612">AB186*$E186</f>
        <v>0</v>
      </c>
      <c r="BA186" s="330"/>
      <c r="BB186" s="330">
        <f t="shared" si="581"/>
        <v>0</v>
      </c>
      <c r="BC186" s="330">
        <f t="shared" si="581"/>
        <v>0</v>
      </c>
      <c r="BD186" s="330">
        <f t="shared" si="581"/>
        <v>0</v>
      </c>
      <c r="BE186" s="330">
        <f t="shared" si="581"/>
        <v>0</v>
      </c>
      <c r="BF186" s="330">
        <f t="shared" si="581"/>
        <v>0</v>
      </c>
      <c r="BG186" s="330">
        <f t="shared" si="581"/>
        <v>0</v>
      </c>
      <c r="BH186" s="330">
        <f t="shared" si="581"/>
        <v>0</v>
      </c>
      <c r="BI186" s="330">
        <f t="shared" si="581"/>
        <v>0</v>
      </c>
      <c r="BJ186" s="330">
        <f t="shared" si="581"/>
        <v>0</v>
      </c>
      <c r="BK186" s="330">
        <f t="shared" si="581"/>
        <v>0</v>
      </c>
      <c r="BL186" s="330">
        <f t="shared" si="581"/>
        <v>0</v>
      </c>
      <c r="BM186" s="330">
        <f t="shared" si="581"/>
        <v>0</v>
      </c>
      <c r="BN186" s="326">
        <f t="shared" si="581"/>
        <v>0</v>
      </c>
      <c r="BO186" s="330">
        <f t="shared" si="581"/>
        <v>0</v>
      </c>
      <c r="BP186" s="330">
        <f t="shared" si="581"/>
        <v>0</v>
      </c>
      <c r="BQ186" s="330">
        <f t="shared" si="488"/>
        <v>0</v>
      </c>
      <c r="BR186" s="330">
        <f t="shared" si="488"/>
        <v>0</v>
      </c>
      <c r="BS186" s="330">
        <f t="shared" si="488"/>
        <v>0</v>
      </c>
      <c r="BT186" s="545">
        <f t="shared" si="488"/>
        <v>0</v>
      </c>
      <c r="BU186" s="544">
        <f t="shared" si="488"/>
        <v>3436.2</v>
      </c>
      <c r="BV186" s="330">
        <f t="shared" si="488"/>
        <v>0</v>
      </c>
      <c r="BW186" s="330">
        <f t="shared" si="488"/>
        <v>0</v>
      </c>
      <c r="BX186" s="351">
        <f t="shared" ref="BX186" si="613">SUM(AE186:AZ186)-SUM(BB186:BW186)</f>
        <v>0</v>
      </c>
      <c r="BY186" s="378">
        <f t="shared" ref="BY186" si="614">E186-SUM(BB186:BW186)</f>
        <v>0</v>
      </c>
      <c r="BZ186" s="378">
        <f t="shared" ref="BZ186" si="615">+E186-SUM(AE186:AZ186)</f>
        <v>0</v>
      </c>
    </row>
    <row r="187" spans="1:78" s="234" customFormat="1" ht="14.45" customHeight="1">
      <c r="A187" s="234" t="s">
        <v>140</v>
      </c>
      <c r="C187" s="392"/>
      <c r="D187" s="328"/>
      <c r="E187" s="326">
        <v>3436.2</v>
      </c>
      <c r="F187" s="328" t="s">
        <v>331</v>
      </c>
      <c r="G187" s="329"/>
      <c r="H187" s="329">
        <v>0</v>
      </c>
      <c r="I187" s="329">
        <v>0</v>
      </c>
      <c r="J187" s="329">
        <v>0</v>
      </c>
      <c r="K187" s="329"/>
      <c r="L187" s="329">
        <v>0</v>
      </c>
      <c r="M187" s="329">
        <v>0</v>
      </c>
      <c r="N187" s="329">
        <v>0</v>
      </c>
      <c r="O187" s="329">
        <v>0</v>
      </c>
      <c r="P187" s="329">
        <v>0</v>
      </c>
      <c r="Q187" s="329">
        <v>0</v>
      </c>
      <c r="R187" s="329">
        <v>0</v>
      </c>
      <c r="S187" s="329">
        <v>0</v>
      </c>
      <c r="T187" s="329">
        <v>0</v>
      </c>
      <c r="U187" s="329">
        <v>0</v>
      </c>
      <c r="V187" s="329">
        <v>0</v>
      </c>
      <c r="W187" s="389">
        <v>0</v>
      </c>
      <c r="X187" s="389">
        <v>0</v>
      </c>
      <c r="Y187" s="389">
        <v>0</v>
      </c>
      <c r="Z187" s="389">
        <v>0</v>
      </c>
      <c r="AA187" s="389"/>
      <c r="AB187" s="389">
        <v>1</v>
      </c>
      <c r="AC187" s="387">
        <f t="shared" ref="AC187" si="616">SUM(G187:AB187)</f>
        <v>1</v>
      </c>
      <c r="AD187" s="328"/>
      <c r="AE187" s="330">
        <f t="shared" ref="AE187" si="617">G187*$E187</f>
        <v>0</v>
      </c>
      <c r="AF187" s="326">
        <f t="shared" ref="AF187" si="618">H187*$E187</f>
        <v>0</v>
      </c>
      <c r="AG187" s="330">
        <f t="shared" ref="AG187" si="619">I187*$E187</f>
        <v>0</v>
      </c>
      <c r="AH187" s="330">
        <f t="shared" ref="AH187" si="620">J187*$E187</f>
        <v>0</v>
      </c>
      <c r="AI187" s="330">
        <f t="shared" ref="AI187" si="621">K187*$E187</f>
        <v>0</v>
      </c>
      <c r="AJ187" s="386">
        <f t="shared" ref="AJ187" si="622">L187*$E187</f>
        <v>0</v>
      </c>
      <c r="AK187" s="386">
        <f t="shared" ref="AK187" si="623">M187*$E187</f>
        <v>0</v>
      </c>
      <c r="AL187" s="386">
        <f t="shared" ref="AL187" si="624">N187*$E187</f>
        <v>0</v>
      </c>
      <c r="AM187" s="386">
        <f t="shared" ref="AM187" si="625">O187*$E187</f>
        <v>0</v>
      </c>
      <c r="AN187" s="326">
        <f t="shared" ref="AN187" si="626">P187*$E187</f>
        <v>0</v>
      </c>
      <c r="AO187" s="330">
        <f t="shared" ref="AO187" si="627">Q187*$E187</f>
        <v>0</v>
      </c>
      <c r="AP187" s="326">
        <f t="shared" ref="AP187" si="628">R187*$E187</f>
        <v>0</v>
      </c>
      <c r="AQ187" s="326">
        <f t="shared" ref="AQ187" si="629">S187*$E187</f>
        <v>0</v>
      </c>
      <c r="AR187" s="326">
        <f t="shared" ref="AR187" si="630">T187*$E187</f>
        <v>0</v>
      </c>
      <c r="AS187" s="326">
        <f t="shared" ref="AS187" si="631">U187*$E187</f>
        <v>0</v>
      </c>
      <c r="AT187" s="326">
        <f t="shared" ref="AT187" si="632">V187*$E187</f>
        <v>0</v>
      </c>
      <c r="AU187" s="326">
        <f t="shared" ref="AU187" si="633">W187*$E187</f>
        <v>0</v>
      </c>
      <c r="AV187" s="330">
        <f t="shared" ref="AV187" si="634">X187*$E187</f>
        <v>0</v>
      </c>
      <c r="AW187" s="330">
        <f t="shared" ref="AW187" si="635">Y187*$E187</f>
        <v>0</v>
      </c>
      <c r="AX187" s="330">
        <f t="shared" ref="AX187" si="636">Z187*$E187</f>
        <v>0</v>
      </c>
      <c r="AY187" s="330">
        <f t="shared" ref="AY187" si="637">AA187*$E187</f>
        <v>0</v>
      </c>
      <c r="AZ187" s="330">
        <f t="shared" ref="AZ187" si="638">AB187*$E187</f>
        <v>3436.2</v>
      </c>
      <c r="BA187" s="330"/>
      <c r="BB187" s="330">
        <f t="shared" si="581"/>
        <v>0</v>
      </c>
      <c r="BC187" s="330">
        <f t="shared" si="581"/>
        <v>0</v>
      </c>
      <c r="BD187" s="330">
        <f t="shared" si="581"/>
        <v>0</v>
      </c>
      <c r="BE187" s="330">
        <f t="shared" si="581"/>
        <v>0</v>
      </c>
      <c r="BF187" s="330">
        <f t="shared" si="581"/>
        <v>0</v>
      </c>
      <c r="BG187" s="330">
        <f t="shared" si="581"/>
        <v>0</v>
      </c>
      <c r="BH187" s="330">
        <f t="shared" si="581"/>
        <v>0</v>
      </c>
      <c r="BI187" s="330">
        <f t="shared" si="581"/>
        <v>0</v>
      </c>
      <c r="BJ187" s="330">
        <f t="shared" si="581"/>
        <v>0</v>
      </c>
      <c r="BK187" s="330">
        <f t="shared" si="581"/>
        <v>0</v>
      </c>
      <c r="BL187" s="330">
        <f t="shared" si="581"/>
        <v>0</v>
      </c>
      <c r="BM187" s="330">
        <f t="shared" si="581"/>
        <v>0</v>
      </c>
      <c r="BN187" s="326">
        <f t="shared" si="581"/>
        <v>0</v>
      </c>
      <c r="BO187" s="330">
        <f t="shared" si="581"/>
        <v>0</v>
      </c>
      <c r="BP187" s="330">
        <f t="shared" si="581"/>
        <v>0</v>
      </c>
      <c r="BQ187" s="330">
        <f t="shared" si="488"/>
        <v>0</v>
      </c>
      <c r="BR187" s="330">
        <f t="shared" si="488"/>
        <v>0</v>
      </c>
      <c r="BS187" s="330">
        <f t="shared" si="488"/>
        <v>0</v>
      </c>
      <c r="BT187" s="545">
        <f t="shared" si="488"/>
        <v>0</v>
      </c>
      <c r="BU187" s="330">
        <f t="shared" si="488"/>
        <v>0</v>
      </c>
      <c r="BV187" s="330">
        <f t="shared" si="488"/>
        <v>0</v>
      </c>
      <c r="BW187" s="330">
        <f t="shared" si="488"/>
        <v>3436.2</v>
      </c>
      <c r="BX187" s="351">
        <f t="shared" ref="BX187" si="639">SUM(AE187:AZ187)-SUM(BB187:BW187)</f>
        <v>0</v>
      </c>
      <c r="BY187" s="378">
        <f t="shared" ref="BY187" si="640">E187-SUM(BB187:BW187)</f>
        <v>0</v>
      </c>
      <c r="BZ187" s="378">
        <f t="shared" ref="BZ187" si="641">+E187-SUM(AE187:AZ187)</f>
        <v>0</v>
      </c>
    </row>
    <row r="188" spans="1:78" s="234" customFormat="1" ht="14.45" customHeight="1">
      <c r="A188" s="234" t="s">
        <v>140</v>
      </c>
      <c r="B188" s="234" t="s">
        <v>297</v>
      </c>
      <c r="C188" s="392"/>
      <c r="D188" s="328"/>
      <c r="E188" s="326">
        <v>10308.6</v>
      </c>
      <c r="F188" s="328" t="s">
        <v>266</v>
      </c>
      <c r="G188" s="329"/>
      <c r="H188" s="329">
        <v>0</v>
      </c>
      <c r="I188" s="329">
        <v>0</v>
      </c>
      <c r="J188" s="329">
        <v>0</v>
      </c>
      <c r="K188" s="329"/>
      <c r="L188" s="329">
        <v>0</v>
      </c>
      <c r="M188" s="329">
        <v>0</v>
      </c>
      <c r="N188" s="329">
        <v>0</v>
      </c>
      <c r="O188" s="329">
        <v>0</v>
      </c>
      <c r="P188" s="329">
        <v>0</v>
      </c>
      <c r="Q188" s="329">
        <v>0</v>
      </c>
      <c r="R188" s="329">
        <v>0</v>
      </c>
      <c r="S188" s="329">
        <v>0</v>
      </c>
      <c r="T188" s="329">
        <v>0</v>
      </c>
      <c r="U188" s="329">
        <v>0</v>
      </c>
      <c r="V188" s="329">
        <v>0</v>
      </c>
      <c r="W188" s="389">
        <v>0</v>
      </c>
      <c r="X188" s="389">
        <v>0</v>
      </c>
      <c r="Y188" s="389">
        <v>0</v>
      </c>
      <c r="Z188" s="389">
        <v>0.33333333333333331</v>
      </c>
      <c r="AA188" s="389">
        <v>0.5</v>
      </c>
      <c r="AB188" s="389">
        <v>0.16666666666666666</v>
      </c>
      <c r="AC188" s="387">
        <f t="shared" ref="AC188" si="642">SUM(G188:AB188)</f>
        <v>0.99999999999999989</v>
      </c>
      <c r="AD188" s="328"/>
      <c r="AE188" s="330">
        <f t="shared" ref="AE188" si="643">G188*$E188</f>
        <v>0</v>
      </c>
      <c r="AF188" s="326">
        <f t="shared" ref="AF188" si="644">H188*$E188</f>
        <v>0</v>
      </c>
      <c r="AG188" s="330">
        <f t="shared" ref="AG188" si="645">I188*$E188</f>
        <v>0</v>
      </c>
      <c r="AH188" s="330">
        <f t="shared" ref="AH188" si="646">J188*$E188</f>
        <v>0</v>
      </c>
      <c r="AI188" s="330">
        <f t="shared" ref="AI188" si="647">K188*$E188</f>
        <v>0</v>
      </c>
      <c r="AJ188" s="386">
        <f t="shared" ref="AJ188" si="648">L188*$E188</f>
        <v>0</v>
      </c>
      <c r="AK188" s="386">
        <f t="shared" ref="AK188" si="649">M188*$E188</f>
        <v>0</v>
      </c>
      <c r="AL188" s="386">
        <f t="shared" ref="AL188" si="650">N188*$E188</f>
        <v>0</v>
      </c>
      <c r="AM188" s="386">
        <f t="shared" ref="AM188" si="651">O188*$E188</f>
        <v>0</v>
      </c>
      <c r="AN188" s="326">
        <f t="shared" ref="AN188" si="652">P188*$E188</f>
        <v>0</v>
      </c>
      <c r="AO188" s="330">
        <f t="shared" ref="AO188" si="653">Q188*$E188</f>
        <v>0</v>
      </c>
      <c r="AP188" s="326">
        <f t="shared" ref="AP188" si="654">R188*$E188</f>
        <v>0</v>
      </c>
      <c r="AQ188" s="326">
        <f t="shared" ref="AQ188" si="655">S188*$E188</f>
        <v>0</v>
      </c>
      <c r="AR188" s="326">
        <f t="shared" ref="AR188" si="656">T188*$E188</f>
        <v>0</v>
      </c>
      <c r="AS188" s="326">
        <f t="shared" ref="AS188" si="657">U188*$E188</f>
        <v>0</v>
      </c>
      <c r="AT188" s="326">
        <f t="shared" ref="AT188" si="658">V188*$E188</f>
        <v>0</v>
      </c>
      <c r="AU188" s="326">
        <f t="shared" ref="AU188" si="659">W188*$E188</f>
        <v>0</v>
      </c>
      <c r="AV188" s="330">
        <f t="shared" ref="AV188" si="660">X188*$E188</f>
        <v>0</v>
      </c>
      <c r="AW188" s="330">
        <f t="shared" ref="AW188" si="661">Y188*$E188</f>
        <v>0</v>
      </c>
      <c r="AX188" s="330">
        <f t="shared" ref="AX188" si="662">Z188*$E188</f>
        <v>3436.2</v>
      </c>
      <c r="AY188" s="330">
        <f t="shared" ref="AY188" si="663">AA188*$E188</f>
        <v>5154.3</v>
      </c>
      <c r="AZ188" s="330">
        <f t="shared" ref="AZ188" si="664">AB188*$E188</f>
        <v>1718.1</v>
      </c>
      <c r="BA188" s="330"/>
      <c r="BB188" s="330">
        <f t="shared" si="581"/>
        <v>0</v>
      </c>
      <c r="BC188" s="330">
        <f t="shared" si="581"/>
        <v>0</v>
      </c>
      <c r="BD188" s="330">
        <f t="shared" si="581"/>
        <v>0</v>
      </c>
      <c r="BE188" s="330">
        <f t="shared" si="581"/>
        <v>0</v>
      </c>
      <c r="BF188" s="330">
        <f t="shared" si="581"/>
        <v>0</v>
      </c>
      <c r="BG188" s="330">
        <f t="shared" si="581"/>
        <v>0</v>
      </c>
      <c r="BH188" s="330">
        <f t="shared" si="581"/>
        <v>0</v>
      </c>
      <c r="BI188" s="330">
        <f t="shared" si="581"/>
        <v>0</v>
      </c>
      <c r="BJ188" s="330">
        <f t="shared" si="581"/>
        <v>0</v>
      </c>
      <c r="BK188" s="330">
        <f t="shared" si="581"/>
        <v>0</v>
      </c>
      <c r="BL188" s="330">
        <f t="shared" si="581"/>
        <v>0</v>
      </c>
      <c r="BM188" s="330">
        <f t="shared" si="581"/>
        <v>0</v>
      </c>
      <c r="BN188" s="326">
        <f t="shared" si="581"/>
        <v>0</v>
      </c>
      <c r="BO188" s="330">
        <f t="shared" si="581"/>
        <v>0</v>
      </c>
      <c r="BP188" s="330">
        <f t="shared" si="581"/>
        <v>0</v>
      </c>
      <c r="BQ188" s="330">
        <f t="shared" si="488"/>
        <v>0</v>
      </c>
      <c r="BR188" s="330">
        <f t="shared" si="488"/>
        <v>0</v>
      </c>
      <c r="BS188" s="330">
        <f t="shared" si="488"/>
        <v>0</v>
      </c>
      <c r="BT188" s="330">
        <f t="shared" si="488"/>
        <v>0</v>
      </c>
      <c r="BU188" s="330">
        <f t="shared" si="488"/>
        <v>10308.6</v>
      </c>
      <c r="BV188" s="330">
        <f t="shared" si="488"/>
        <v>0</v>
      </c>
      <c r="BW188" s="330">
        <f t="shared" si="488"/>
        <v>0</v>
      </c>
      <c r="BX188" s="351">
        <f t="shared" si="568"/>
        <v>0</v>
      </c>
      <c r="BY188" s="378">
        <f t="shared" si="569"/>
        <v>0</v>
      </c>
      <c r="BZ188" s="378">
        <f t="shared" si="570"/>
        <v>0</v>
      </c>
    </row>
    <row r="189" spans="1:78" s="234" customFormat="1" ht="14.45" customHeight="1">
      <c r="D189" s="328"/>
      <c r="E189" s="330"/>
      <c r="F189" s="328"/>
      <c r="G189" s="328"/>
      <c r="H189" s="328"/>
      <c r="I189" s="328"/>
      <c r="J189" s="329"/>
      <c r="K189" s="329"/>
      <c r="L189" s="329"/>
      <c r="M189" s="329"/>
      <c r="N189" s="329"/>
      <c r="O189" s="329"/>
      <c r="P189" s="329"/>
      <c r="Q189" s="329"/>
      <c r="R189" s="328"/>
      <c r="S189" s="326"/>
      <c r="T189" s="328"/>
      <c r="U189" s="328"/>
      <c r="V189" s="328"/>
      <c r="W189" s="328"/>
      <c r="X189" s="328"/>
      <c r="Y189" s="328"/>
      <c r="Z189" s="328"/>
      <c r="AA189" s="328"/>
      <c r="AB189" s="328"/>
      <c r="AC189" s="328"/>
      <c r="AD189" s="328"/>
      <c r="AE189" s="330">
        <f t="shared" si="585"/>
        <v>0</v>
      </c>
      <c r="AF189" s="326">
        <f t="shared" si="585"/>
        <v>0</v>
      </c>
      <c r="AG189" s="330">
        <f t="shared" si="585"/>
        <v>0</v>
      </c>
      <c r="AH189" s="330">
        <f t="shared" si="585"/>
        <v>0</v>
      </c>
      <c r="AI189" s="330">
        <f t="shared" si="585"/>
        <v>0</v>
      </c>
      <c r="AJ189" s="330">
        <f t="shared" si="585"/>
        <v>0</v>
      </c>
      <c r="AK189" s="330">
        <f t="shared" si="585"/>
        <v>0</v>
      </c>
      <c r="AL189" s="330">
        <f t="shared" si="585"/>
        <v>0</v>
      </c>
      <c r="AM189" s="330">
        <f t="shared" si="585"/>
        <v>0</v>
      </c>
      <c r="AN189" s="326">
        <f t="shared" si="585"/>
        <v>0</v>
      </c>
      <c r="AO189" s="330">
        <f t="shared" si="586"/>
        <v>0</v>
      </c>
      <c r="AP189" s="330">
        <f t="shared" si="586"/>
        <v>0</v>
      </c>
      <c r="AQ189" s="330">
        <f t="shared" si="586"/>
        <v>0</v>
      </c>
      <c r="AR189" s="330">
        <f t="shared" si="586"/>
        <v>0</v>
      </c>
      <c r="AS189" s="330">
        <f t="shared" si="586"/>
        <v>0</v>
      </c>
      <c r="AT189" s="330">
        <f t="shared" si="586"/>
        <v>0</v>
      </c>
      <c r="AU189" s="330">
        <f t="shared" si="586"/>
        <v>0</v>
      </c>
      <c r="AV189" s="330">
        <f t="shared" si="586"/>
        <v>0</v>
      </c>
      <c r="AW189" s="330">
        <f t="shared" si="586"/>
        <v>0</v>
      </c>
      <c r="AX189" s="330">
        <f t="shared" si="587"/>
        <v>0</v>
      </c>
      <c r="AY189" s="330">
        <f t="shared" si="587"/>
        <v>0</v>
      </c>
      <c r="AZ189" s="330">
        <f t="shared" si="587"/>
        <v>0</v>
      </c>
      <c r="BA189" s="330"/>
      <c r="BB189" s="330">
        <f t="shared" ref="BB189:BW189" si="665">IF(BB$3=$F189,$E189,0)</f>
        <v>0</v>
      </c>
      <c r="BC189" s="330">
        <f t="shared" si="665"/>
        <v>0</v>
      </c>
      <c r="BD189" s="330">
        <f t="shared" si="665"/>
        <v>0</v>
      </c>
      <c r="BE189" s="330">
        <f t="shared" si="665"/>
        <v>0</v>
      </c>
      <c r="BF189" s="330">
        <f t="shared" si="665"/>
        <v>0</v>
      </c>
      <c r="BG189" s="330">
        <f t="shared" si="665"/>
        <v>0</v>
      </c>
      <c r="BH189" s="330">
        <f t="shared" si="665"/>
        <v>0</v>
      </c>
      <c r="BI189" s="330">
        <f t="shared" si="665"/>
        <v>0</v>
      </c>
      <c r="BJ189" s="330">
        <f t="shared" si="665"/>
        <v>0</v>
      </c>
      <c r="BK189" s="330">
        <f t="shared" si="665"/>
        <v>0</v>
      </c>
      <c r="BL189" s="330">
        <f t="shared" si="665"/>
        <v>0</v>
      </c>
      <c r="BM189" s="330">
        <f t="shared" si="665"/>
        <v>0</v>
      </c>
      <c r="BN189" s="330">
        <f t="shared" si="665"/>
        <v>0</v>
      </c>
      <c r="BO189" s="330">
        <f t="shared" si="665"/>
        <v>0</v>
      </c>
      <c r="BP189" s="330">
        <f t="shared" si="665"/>
        <v>0</v>
      </c>
      <c r="BQ189" s="330">
        <f t="shared" si="665"/>
        <v>0</v>
      </c>
      <c r="BR189" s="330">
        <f t="shared" si="665"/>
        <v>0</v>
      </c>
      <c r="BS189" s="330">
        <f t="shared" si="665"/>
        <v>0</v>
      </c>
      <c r="BT189" s="330">
        <f t="shared" si="665"/>
        <v>0</v>
      </c>
      <c r="BU189" s="330">
        <f t="shared" si="665"/>
        <v>0</v>
      </c>
      <c r="BV189" s="330">
        <f t="shared" si="665"/>
        <v>0</v>
      </c>
      <c r="BW189" s="330">
        <f t="shared" si="665"/>
        <v>0</v>
      </c>
      <c r="BX189" s="351">
        <f t="shared" si="568"/>
        <v>0</v>
      </c>
      <c r="BY189" s="378">
        <f t="shared" si="569"/>
        <v>0</v>
      </c>
      <c r="BZ189" s="378">
        <f t="shared" si="570"/>
        <v>0</v>
      </c>
    </row>
    <row r="190" spans="1:78" s="234" customFormat="1" ht="14.45" customHeight="1">
      <c r="D190" s="328"/>
      <c r="E190" s="328" t="s">
        <v>159</v>
      </c>
      <c r="F190" s="328"/>
      <c r="G190" s="328" t="s">
        <v>142</v>
      </c>
      <c r="H190" s="328" t="s">
        <v>146</v>
      </c>
      <c r="I190" s="328" t="s">
        <v>147</v>
      </c>
      <c r="J190" s="329" t="s">
        <v>148</v>
      </c>
      <c r="K190" s="329" t="s">
        <v>149</v>
      </c>
      <c r="L190" s="329" t="s">
        <v>150</v>
      </c>
      <c r="M190" s="329" t="s">
        <v>151</v>
      </c>
      <c r="N190" s="329" t="s">
        <v>152</v>
      </c>
      <c r="O190" s="329" t="s">
        <v>153</v>
      </c>
      <c r="P190" s="329" t="s">
        <v>154</v>
      </c>
      <c r="Q190" s="329" t="s">
        <v>155</v>
      </c>
      <c r="R190" s="328" t="s">
        <v>156</v>
      </c>
      <c r="S190" s="328" t="s">
        <v>157</v>
      </c>
      <c r="T190" s="328" t="s">
        <v>158</v>
      </c>
      <c r="U190" s="328" t="s">
        <v>160</v>
      </c>
      <c r="V190" s="341" t="s">
        <v>232</v>
      </c>
      <c r="W190" s="341"/>
      <c r="X190" s="341"/>
      <c r="Y190" s="341"/>
      <c r="Z190" s="341"/>
      <c r="AA190" s="341"/>
      <c r="AB190" s="341"/>
      <c r="AC190" s="328" t="s">
        <v>159</v>
      </c>
      <c r="AD190" s="328"/>
      <c r="AE190" s="330"/>
      <c r="AF190" s="326"/>
      <c r="AG190" s="330"/>
      <c r="AH190" s="330"/>
      <c r="AI190" s="330"/>
      <c r="AJ190" s="330"/>
      <c r="AK190" s="330"/>
      <c r="AL190" s="330"/>
      <c r="AM190" s="330"/>
      <c r="AN190" s="326"/>
      <c r="AO190" s="330"/>
      <c r="AP190" s="330"/>
      <c r="AQ190" s="330"/>
      <c r="AR190" s="330"/>
      <c r="AS190" s="330"/>
      <c r="AT190" s="330"/>
      <c r="AU190" s="330"/>
      <c r="AV190" s="330"/>
      <c r="AW190" s="330"/>
      <c r="AX190" s="330"/>
      <c r="AY190" s="330"/>
      <c r="AZ190" s="330"/>
      <c r="BA190" s="330"/>
      <c r="BB190" s="330"/>
      <c r="BC190" s="330"/>
      <c r="BD190" s="330"/>
      <c r="BE190" s="330"/>
      <c r="BF190" s="330"/>
      <c r="BG190" s="330"/>
      <c r="BH190" s="330"/>
      <c r="BI190" s="330"/>
      <c r="BJ190" s="328"/>
      <c r="BK190" s="328"/>
      <c r="BL190" s="328"/>
      <c r="BM190" s="328"/>
      <c r="BN190" s="328"/>
      <c r="BO190" s="328"/>
      <c r="BP190" s="328"/>
      <c r="BQ190" s="328"/>
      <c r="BR190" s="328"/>
      <c r="BS190" s="328"/>
      <c r="BT190" s="328"/>
      <c r="BU190" s="328"/>
      <c r="BV190" s="328"/>
      <c r="BW190" s="328"/>
      <c r="BX190" s="351">
        <f t="shared" si="568"/>
        <v>0</v>
      </c>
      <c r="BY190" s="378" t="e">
        <f t="shared" si="569"/>
        <v>#VALUE!</v>
      </c>
      <c r="BZ190" s="378" t="e">
        <f t="shared" si="570"/>
        <v>#VALUE!</v>
      </c>
    </row>
    <row r="191" spans="1:78" s="234" customFormat="1" ht="14.45" customHeight="1">
      <c r="A191" s="234" t="s">
        <v>186</v>
      </c>
      <c r="D191" s="328"/>
      <c r="E191" s="330"/>
      <c r="F191" s="328"/>
      <c r="G191" s="328"/>
      <c r="H191" s="328"/>
      <c r="I191" s="328"/>
      <c r="J191" s="329"/>
      <c r="K191" s="329"/>
      <c r="L191" s="329"/>
      <c r="M191" s="329"/>
      <c r="N191" s="329"/>
      <c r="O191" s="329"/>
      <c r="P191" s="329"/>
      <c r="Q191" s="329"/>
      <c r="R191" s="328"/>
      <c r="S191" s="328"/>
      <c r="T191" s="328"/>
      <c r="U191" s="328"/>
      <c r="V191" s="328"/>
      <c r="W191" s="328"/>
      <c r="X191" s="328"/>
      <c r="Y191" s="328"/>
      <c r="Z191" s="328"/>
      <c r="AA191" s="328"/>
      <c r="AB191" s="328"/>
      <c r="AC191" s="328"/>
      <c r="AD191" s="328"/>
      <c r="AE191" s="330"/>
      <c r="AF191" s="326"/>
      <c r="AG191" s="330"/>
      <c r="AH191" s="330"/>
      <c r="AI191" s="330"/>
      <c r="AJ191" s="330"/>
      <c r="AK191" s="330"/>
      <c r="AL191" s="330"/>
      <c r="AM191" s="330"/>
      <c r="AN191" s="326"/>
      <c r="AO191" s="330"/>
      <c r="AP191" s="330"/>
      <c r="AQ191" s="330"/>
      <c r="AR191" s="330"/>
      <c r="AS191" s="330"/>
      <c r="AT191" s="330"/>
      <c r="AU191" s="330"/>
      <c r="AV191" s="330"/>
      <c r="AW191" s="330"/>
      <c r="AX191" s="330"/>
      <c r="AY191" s="330"/>
      <c r="AZ191" s="330"/>
      <c r="BA191" s="330"/>
      <c r="BB191" s="330" t="s">
        <v>142</v>
      </c>
      <c r="BC191" s="330" t="s">
        <v>146</v>
      </c>
      <c r="BD191" s="330" t="s">
        <v>147</v>
      </c>
      <c r="BE191" s="330" t="s">
        <v>148</v>
      </c>
      <c r="BF191" s="330" t="s">
        <v>142</v>
      </c>
      <c r="BG191" s="330" t="s">
        <v>146</v>
      </c>
      <c r="BH191" s="330" t="s">
        <v>147</v>
      </c>
      <c r="BI191" s="330" t="s">
        <v>148</v>
      </c>
      <c r="BJ191" s="328" t="s">
        <v>142</v>
      </c>
      <c r="BK191" s="328" t="s">
        <v>146</v>
      </c>
      <c r="BL191" s="328" t="s">
        <v>147</v>
      </c>
      <c r="BM191" s="328" t="s">
        <v>148</v>
      </c>
      <c r="BN191" s="328"/>
      <c r="BO191" s="328"/>
      <c r="BP191" s="328"/>
      <c r="BQ191" s="328"/>
      <c r="BR191" s="328"/>
      <c r="BS191" s="326"/>
      <c r="BT191" s="326"/>
      <c r="BU191" s="328"/>
      <c r="BV191" s="328"/>
      <c r="BW191" s="328"/>
      <c r="BX191" s="351">
        <f t="shared" si="568"/>
        <v>0</v>
      </c>
      <c r="BY191" s="378">
        <f t="shared" si="569"/>
        <v>0</v>
      </c>
      <c r="BZ191" s="378">
        <f t="shared" si="570"/>
        <v>0</v>
      </c>
    </row>
    <row r="192" spans="1:78" s="234" customFormat="1" ht="14.45" customHeight="1">
      <c r="A192" s="234" t="s">
        <v>128</v>
      </c>
      <c r="D192" s="328"/>
      <c r="E192" s="386">
        <v>198.71</v>
      </c>
      <c r="F192" s="328" t="s">
        <v>209</v>
      </c>
      <c r="G192" s="390"/>
      <c r="H192" s="390"/>
      <c r="I192" s="390"/>
      <c r="J192" s="329"/>
      <c r="K192" s="329">
        <v>0</v>
      </c>
      <c r="L192" s="329">
        <v>0</v>
      </c>
      <c r="M192" s="329">
        <v>0</v>
      </c>
      <c r="N192" s="329">
        <v>1</v>
      </c>
      <c r="O192" s="329"/>
      <c r="P192" s="329"/>
      <c r="Q192" s="329"/>
      <c r="R192" s="390"/>
      <c r="S192" s="390"/>
      <c r="T192" s="390"/>
      <c r="U192" s="329"/>
      <c r="V192" s="329"/>
      <c r="W192" s="329"/>
      <c r="X192" s="329"/>
      <c r="Y192" s="329"/>
      <c r="Z192" s="329"/>
      <c r="AA192" s="329"/>
      <c r="AB192" s="329"/>
      <c r="AC192" s="387">
        <f t="shared" ref="AC192:AC197" si="666">SUM(G192:AB192)</f>
        <v>1</v>
      </c>
      <c r="AD192" s="328"/>
      <c r="AE192" s="330">
        <f t="shared" ref="AE192:AN193" si="667">G192*$E192</f>
        <v>0</v>
      </c>
      <c r="AF192" s="386">
        <f t="shared" si="667"/>
        <v>0</v>
      </c>
      <c r="AG192" s="386">
        <f t="shared" si="667"/>
        <v>0</v>
      </c>
      <c r="AH192" s="386">
        <f t="shared" si="667"/>
        <v>0</v>
      </c>
      <c r="AI192" s="386">
        <f t="shared" si="667"/>
        <v>0</v>
      </c>
      <c r="AJ192" s="386">
        <f t="shared" si="667"/>
        <v>0</v>
      </c>
      <c r="AK192" s="386">
        <f t="shared" si="667"/>
        <v>0</v>
      </c>
      <c r="AL192" s="386">
        <f t="shared" si="667"/>
        <v>198.71</v>
      </c>
      <c r="AM192" s="386">
        <f t="shared" si="667"/>
        <v>0</v>
      </c>
      <c r="AN192" s="330">
        <f t="shared" si="667"/>
        <v>0</v>
      </c>
      <c r="AO192" s="330">
        <f t="shared" ref="AO192:AW193" si="668">Q192*$E192</f>
        <v>0</v>
      </c>
      <c r="AP192" s="330">
        <f t="shared" si="668"/>
        <v>0</v>
      </c>
      <c r="AQ192" s="330">
        <f t="shared" si="668"/>
        <v>0</v>
      </c>
      <c r="AR192" s="330">
        <f t="shared" si="668"/>
        <v>0</v>
      </c>
      <c r="AS192" s="330">
        <f t="shared" si="668"/>
        <v>0</v>
      </c>
      <c r="AT192" s="330">
        <f t="shared" si="668"/>
        <v>0</v>
      </c>
      <c r="AU192" s="330">
        <f t="shared" si="668"/>
        <v>0</v>
      </c>
      <c r="AV192" s="330">
        <f t="shared" si="668"/>
        <v>0</v>
      </c>
      <c r="AW192" s="330">
        <f t="shared" si="668"/>
        <v>0</v>
      </c>
      <c r="AX192" s="330">
        <f t="shared" ref="AX192:AZ193" si="669">Z192*$E192</f>
        <v>0</v>
      </c>
      <c r="AY192" s="330">
        <f t="shared" si="669"/>
        <v>0</v>
      </c>
      <c r="AZ192" s="330">
        <f t="shared" si="669"/>
        <v>0</v>
      </c>
      <c r="BA192" s="330"/>
      <c r="BB192" s="330">
        <f t="shared" ref="BB192:BQ193" si="670">IF(BB$3=$F192,$E192,0)</f>
        <v>0</v>
      </c>
      <c r="BC192" s="326">
        <f t="shared" si="670"/>
        <v>0</v>
      </c>
      <c r="BD192" s="326">
        <f t="shared" si="670"/>
        <v>0</v>
      </c>
      <c r="BE192" s="326">
        <f t="shared" si="670"/>
        <v>0</v>
      </c>
      <c r="BF192" s="326">
        <v>0</v>
      </c>
      <c r="BG192" s="326">
        <v>0</v>
      </c>
      <c r="BH192" s="326">
        <f t="shared" si="670"/>
        <v>0</v>
      </c>
      <c r="BI192" s="326">
        <f t="shared" si="670"/>
        <v>198.71</v>
      </c>
      <c r="BJ192" s="326">
        <f t="shared" si="670"/>
        <v>0</v>
      </c>
      <c r="BK192" s="326">
        <f t="shared" si="670"/>
        <v>0</v>
      </c>
      <c r="BL192" s="326">
        <f t="shared" si="670"/>
        <v>0</v>
      </c>
      <c r="BM192" s="330">
        <f t="shared" si="670"/>
        <v>0</v>
      </c>
      <c r="BN192" s="330">
        <f t="shared" si="670"/>
        <v>0</v>
      </c>
      <c r="BO192" s="330">
        <f t="shared" si="670"/>
        <v>0</v>
      </c>
      <c r="BP192" s="330">
        <f t="shared" si="670"/>
        <v>0</v>
      </c>
      <c r="BQ192" s="330">
        <f t="shared" si="670"/>
        <v>0</v>
      </c>
      <c r="BR192" s="330">
        <f t="shared" ref="BR192:BW195" si="671">IF(BR$3=$F192,$E192,0)</f>
        <v>0</v>
      </c>
      <c r="BS192" s="326">
        <f t="shared" si="671"/>
        <v>0</v>
      </c>
      <c r="BT192" s="326">
        <f t="shared" si="671"/>
        <v>0</v>
      </c>
      <c r="BU192" s="330">
        <f t="shared" si="671"/>
        <v>0</v>
      </c>
      <c r="BV192" s="330">
        <f t="shared" si="671"/>
        <v>0</v>
      </c>
      <c r="BW192" s="330">
        <f t="shared" si="671"/>
        <v>0</v>
      </c>
      <c r="BX192" s="351">
        <f t="shared" si="568"/>
        <v>0</v>
      </c>
      <c r="BY192" s="378">
        <f t="shared" si="569"/>
        <v>0</v>
      </c>
      <c r="BZ192" s="378">
        <f t="shared" si="570"/>
        <v>0</v>
      </c>
    </row>
    <row r="193" spans="1:78" s="234" customFormat="1" ht="14.45" customHeight="1">
      <c r="A193" s="234" t="s">
        <v>128</v>
      </c>
      <c r="D193" s="328"/>
      <c r="E193" s="386">
        <v>136.99</v>
      </c>
      <c r="F193" s="328" t="s">
        <v>230</v>
      </c>
      <c r="G193" s="390"/>
      <c r="H193" s="390"/>
      <c r="I193" s="390"/>
      <c r="J193" s="329"/>
      <c r="K193" s="329">
        <v>0</v>
      </c>
      <c r="L193" s="329">
        <v>0</v>
      </c>
      <c r="M193" s="329">
        <v>0</v>
      </c>
      <c r="N193" s="329">
        <v>0</v>
      </c>
      <c r="O193" s="329">
        <v>1</v>
      </c>
      <c r="P193" s="329"/>
      <c r="Q193" s="329"/>
      <c r="R193" s="390"/>
      <c r="S193" s="390"/>
      <c r="T193" s="390"/>
      <c r="U193" s="329"/>
      <c r="V193" s="329"/>
      <c r="W193" s="329"/>
      <c r="X193" s="329"/>
      <c r="Y193" s="329"/>
      <c r="Z193" s="329"/>
      <c r="AA193" s="329"/>
      <c r="AB193" s="329"/>
      <c r="AC193" s="387">
        <f t="shared" si="666"/>
        <v>1</v>
      </c>
      <c r="AD193" s="328"/>
      <c r="AE193" s="330">
        <f t="shared" si="667"/>
        <v>0</v>
      </c>
      <c r="AF193" s="386">
        <f t="shared" si="667"/>
        <v>0</v>
      </c>
      <c r="AG193" s="386">
        <f t="shared" si="667"/>
        <v>0</v>
      </c>
      <c r="AH193" s="386">
        <f t="shared" si="667"/>
        <v>0</v>
      </c>
      <c r="AI193" s="386">
        <f t="shared" si="667"/>
        <v>0</v>
      </c>
      <c r="AJ193" s="386">
        <f t="shared" si="667"/>
        <v>0</v>
      </c>
      <c r="AK193" s="386">
        <f t="shared" si="667"/>
        <v>0</v>
      </c>
      <c r="AL193" s="386">
        <f t="shared" si="667"/>
        <v>0</v>
      </c>
      <c r="AM193" s="386">
        <f t="shared" si="667"/>
        <v>136.99</v>
      </c>
      <c r="AN193" s="330">
        <f t="shared" si="667"/>
        <v>0</v>
      </c>
      <c r="AO193" s="330">
        <f t="shared" si="668"/>
        <v>0</v>
      </c>
      <c r="AP193" s="330">
        <f t="shared" si="668"/>
        <v>0</v>
      </c>
      <c r="AQ193" s="330">
        <f t="shared" si="668"/>
        <v>0</v>
      </c>
      <c r="AR193" s="330">
        <f t="shared" si="668"/>
        <v>0</v>
      </c>
      <c r="AS193" s="330">
        <f t="shared" si="668"/>
        <v>0</v>
      </c>
      <c r="AT193" s="330">
        <f t="shared" si="668"/>
        <v>0</v>
      </c>
      <c r="AU193" s="330">
        <f t="shared" si="668"/>
        <v>0</v>
      </c>
      <c r="AV193" s="330">
        <f t="shared" si="668"/>
        <v>0</v>
      </c>
      <c r="AW193" s="330">
        <f t="shared" si="668"/>
        <v>0</v>
      </c>
      <c r="AX193" s="330">
        <f t="shared" si="669"/>
        <v>0</v>
      </c>
      <c r="AY193" s="330">
        <f t="shared" si="669"/>
        <v>0</v>
      </c>
      <c r="AZ193" s="330">
        <f t="shared" si="669"/>
        <v>0</v>
      </c>
      <c r="BA193" s="330"/>
      <c r="BB193" s="330">
        <f t="shared" si="670"/>
        <v>0</v>
      </c>
      <c r="BC193" s="326">
        <f t="shared" si="670"/>
        <v>0</v>
      </c>
      <c r="BD193" s="326">
        <f t="shared" si="670"/>
        <v>0</v>
      </c>
      <c r="BE193" s="326">
        <f t="shared" si="670"/>
        <v>0</v>
      </c>
      <c r="BF193" s="326">
        <v>0</v>
      </c>
      <c r="BG193" s="326">
        <v>0</v>
      </c>
      <c r="BH193" s="326">
        <f t="shared" si="670"/>
        <v>0</v>
      </c>
      <c r="BI193" s="326">
        <f t="shared" si="670"/>
        <v>0</v>
      </c>
      <c r="BJ193" s="326">
        <f t="shared" si="670"/>
        <v>136.99</v>
      </c>
      <c r="BK193" s="326">
        <f t="shared" si="670"/>
        <v>0</v>
      </c>
      <c r="BL193" s="326">
        <f t="shared" si="670"/>
        <v>0</v>
      </c>
      <c r="BM193" s="330">
        <f t="shared" si="670"/>
        <v>0</v>
      </c>
      <c r="BN193" s="330">
        <f t="shared" si="670"/>
        <v>0</v>
      </c>
      <c r="BO193" s="330">
        <f t="shared" si="670"/>
        <v>0</v>
      </c>
      <c r="BP193" s="330">
        <f t="shared" si="670"/>
        <v>0</v>
      </c>
      <c r="BQ193" s="330">
        <f t="shared" si="670"/>
        <v>0</v>
      </c>
      <c r="BR193" s="330">
        <f t="shared" si="671"/>
        <v>0</v>
      </c>
      <c r="BS193" s="326">
        <f t="shared" si="671"/>
        <v>0</v>
      </c>
      <c r="BT193" s="326">
        <f t="shared" si="671"/>
        <v>0</v>
      </c>
      <c r="BU193" s="330">
        <f t="shared" si="671"/>
        <v>0</v>
      </c>
      <c r="BV193" s="330">
        <f t="shared" si="671"/>
        <v>0</v>
      </c>
      <c r="BW193" s="330">
        <f t="shared" si="671"/>
        <v>0</v>
      </c>
      <c r="BX193" s="351">
        <f t="shared" si="568"/>
        <v>0</v>
      </c>
      <c r="BY193" s="378">
        <f t="shared" si="569"/>
        <v>0</v>
      </c>
      <c r="BZ193" s="378">
        <f t="shared" si="570"/>
        <v>0</v>
      </c>
    </row>
    <row r="194" spans="1:78" s="234" customFormat="1" ht="14.45" customHeight="1" outlineLevel="1">
      <c r="A194" s="234" t="s">
        <v>127</v>
      </c>
      <c r="D194" s="328"/>
      <c r="E194" s="386">
        <f>SUM(G194:AB194)</f>
        <v>253143.71999999997</v>
      </c>
      <c r="F194" s="388" t="s">
        <v>189</v>
      </c>
      <c r="G194" s="388">
        <v>0</v>
      </c>
      <c r="H194" s="391">
        <v>1400</v>
      </c>
      <c r="I194" s="391">
        <v>9000</v>
      </c>
      <c r="J194" s="391">
        <v>9000</v>
      </c>
      <c r="K194" s="391">
        <v>10232.64</v>
      </c>
      <c r="L194" s="391">
        <v>11130.24</v>
      </c>
      <c r="M194" s="391">
        <v>10367.280000000001</v>
      </c>
      <c r="N194" s="391">
        <v>11152.68</v>
      </c>
      <c r="O194" s="391">
        <v>11848.32</v>
      </c>
      <c r="P194" s="391">
        <v>10232.64</v>
      </c>
      <c r="Q194" s="391">
        <v>10985.279999999999</v>
      </c>
      <c r="R194" s="391">
        <v>11945.12</v>
      </c>
      <c r="S194" s="391">
        <v>12438.720000000001</v>
      </c>
      <c r="T194" s="391">
        <v>12043.84</v>
      </c>
      <c r="U194" s="391">
        <v>12370.7</v>
      </c>
      <c r="V194" s="391">
        <v>12851.36</v>
      </c>
      <c r="W194" s="391">
        <v>13473.2</v>
      </c>
      <c r="X194" s="391">
        <v>12851.36</v>
      </c>
      <c r="Y194" s="391">
        <v>12635.12</v>
      </c>
      <c r="Z194" s="391">
        <f>14366.88-435.36</f>
        <v>13931.519999999999</v>
      </c>
      <c r="AA194" s="391">
        <f>14149.2+435.36</f>
        <v>14584.560000000001</v>
      </c>
      <c r="AB194" s="391">
        <f>18203.49+10465.65</f>
        <v>28669.14</v>
      </c>
      <c r="AC194" s="326">
        <f t="shared" si="666"/>
        <v>253143.71999999997</v>
      </c>
      <c r="AD194" s="328"/>
      <c r="AE194" s="326">
        <f t="shared" ref="AE194:AE202" si="672">G194</f>
        <v>0</v>
      </c>
      <c r="AF194" s="326">
        <f t="shared" ref="AF194:AF202" si="673">H194</f>
        <v>1400</v>
      </c>
      <c r="AG194" s="326">
        <f t="shared" ref="AG194:AG202" si="674">I194</f>
        <v>9000</v>
      </c>
      <c r="AH194" s="326">
        <f t="shared" ref="AH194:AH202" si="675">J194</f>
        <v>9000</v>
      </c>
      <c r="AI194" s="326">
        <f t="shared" ref="AI194:AI202" si="676">K194</f>
        <v>10232.64</v>
      </c>
      <c r="AJ194" s="326">
        <f t="shared" ref="AJ194:AJ202" si="677">L194</f>
        <v>11130.24</v>
      </c>
      <c r="AK194" s="326">
        <f t="shared" ref="AK194:AK202" si="678">M194</f>
        <v>10367.280000000001</v>
      </c>
      <c r="AL194" s="326">
        <f t="shared" ref="AL194:AL202" si="679">N194</f>
        <v>11152.68</v>
      </c>
      <c r="AM194" s="326">
        <f t="shared" ref="AM194:AM202" si="680">O194</f>
        <v>11848.32</v>
      </c>
      <c r="AN194" s="326">
        <f t="shared" ref="AN194:AN202" si="681">P194</f>
        <v>10232.64</v>
      </c>
      <c r="AO194" s="326">
        <f t="shared" ref="AO194:AO202" si="682">Q194</f>
        <v>10985.279999999999</v>
      </c>
      <c r="AP194" s="326">
        <f t="shared" ref="AP194:AP202" si="683">R194</f>
        <v>11945.12</v>
      </c>
      <c r="AQ194" s="326">
        <f t="shared" ref="AQ194:AQ202" si="684">S194</f>
        <v>12438.720000000001</v>
      </c>
      <c r="AR194" s="326">
        <f t="shared" ref="AR194:AR202" si="685">T194</f>
        <v>12043.84</v>
      </c>
      <c r="AS194" s="326">
        <f t="shared" ref="AS194:AS202" si="686">U194</f>
        <v>12370.7</v>
      </c>
      <c r="AT194" s="326">
        <f t="shared" ref="AT194:AT202" si="687">V194</f>
        <v>12851.36</v>
      </c>
      <c r="AU194" s="326">
        <f t="shared" ref="AU194:AU202" si="688">W194</f>
        <v>13473.2</v>
      </c>
      <c r="AV194" s="326">
        <f t="shared" ref="AV194:AW202" si="689">X194</f>
        <v>12851.36</v>
      </c>
      <c r="AW194" s="326">
        <f t="shared" si="689"/>
        <v>12635.12</v>
      </c>
      <c r="AX194" s="326">
        <f t="shared" ref="AX194:AZ200" si="690">Z194</f>
        <v>13931.519999999999</v>
      </c>
      <c r="AY194" s="326">
        <f t="shared" si="690"/>
        <v>14584.560000000001</v>
      </c>
      <c r="AZ194" s="326">
        <f t="shared" si="690"/>
        <v>28669.14</v>
      </c>
      <c r="BA194" s="330"/>
      <c r="BB194" s="326">
        <v>0</v>
      </c>
      <c r="BC194" s="326">
        <v>43635.199999999997</v>
      </c>
      <c r="BD194" s="326">
        <v>0</v>
      </c>
      <c r="BE194" s="326">
        <v>0</v>
      </c>
      <c r="BF194" s="326">
        <v>0</v>
      </c>
      <c r="BG194" s="326">
        <v>0</v>
      </c>
      <c r="BH194" s="326">
        <v>43421.4</v>
      </c>
      <c r="BI194" s="326">
        <v>0</v>
      </c>
      <c r="BJ194" s="326">
        <v>0</v>
      </c>
      <c r="BK194" s="326">
        <v>0</v>
      </c>
      <c r="BL194" s="326">
        <v>48122</v>
      </c>
      <c r="BM194" s="330">
        <v>0</v>
      </c>
      <c r="BN194" s="330">
        <v>0</v>
      </c>
      <c r="BO194" s="326">
        <v>4</v>
      </c>
      <c r="BP194" s="326">
        <v>50524.5</v>
      </c>
      <c r="BQ194" s="326">
        <v>0</v>
      </c>
      <c r="BR194" s="326">
        <v>0</v>
      </c>
      <c r="BS194" s="326">
        <v>11723.88</v>
      </c>
      <c r="BT194" s="326">
        <v>36403.839999999997</v>
      </c>
      <c r="BU194" s="330">
        <v>0</v>
      </c>
      <c r="BV194" s="330">
        <v>0</v>
      </c>
      <c r="BW194" s="330">
        <v>19308.896249999998</v>
      </c>
      <c r="BX194" s="351">
        <f t="shared" si="568"/>
        <v>3.7499999743886292E-3</v>
      </c>
      <c r="BY194" s="378">
        <f t="shared" si="569"/>
        <v>3.7499999743886292E-3</v>
      </c>
      <c r="BZ194" s="378">
        <f t="shared" si="570"/>
        <v>0</v>
      </c>
    </row>
    <row r="195" spans="1:78" s="234" customFormat="1" ht="14.45" customHeight="1" outlineLevel="1">
      <c r="A195" s="234" t="s">
        <v>127</v>
      </c>
      <c r="D195" s="328"/>
      <c r="E195" s="386">
        <f>SUM(G195:AB195)</f>
        <v>141162.18000000002</v>
      </c>
      <c r="F195" s="388" t="s">
        <v>163</v>
      </c>
      <c r="G195" s="388">
        <v>0</v>
      </c>
      <c r="H195" s="391">
        <v>0</v>
      </c>
      <c r="I195" s="391">
        <v>0</v>
      </c>
      <c r="J195" s="391">
        <v>0</v>
      </c>
      <c r="K195" s="391">
        <v>0</v>
      </c>
      <c r="L195" s="391">
        <v>2358.88</v>
      </c>
      <c r="M195" s="391">
        <v>6256.16</v>
      </c>
      <c r="N195" s="391">
        <v>6410</v>
      </c>
      <c r="O195" s="391">
        <v>6486.92</v>
      </c>
      <c r="P195" s="391">
        <v>6193.92</v>
      </c>
      <c r="Q195" s="391">
        <v>7382.4</v>
      </c>
      <c r="R195" s="391">
        <v>7505.44</v>
      </c>
      <c r="S195" s="391">
        <v>7628.4800000000005</v>
      </c>
      <c r="T195" s="391">
        <v>7881.0800000000008</v>
      </c>
      <c r="U195" s="391">
        <v>8426.16</v>
      </c>
      <c r="V195" s="391">
        <v>8392.32</v>
      </c>
      <c r="W195" s="391">
        <v>8935.0400000000009</v>
      </c>
      <c r="X195" s="391">
        <v>9235.52</v>
      </c>
      <c r="Y195" s="391">
        <v>8937.6</v>
      </c>
      <c r="Z195" s="391">
        <f>9831.36-297.92</f>
        <v>9533.44</v>
      </c>
      <c r="AA195" s="391">
        <f>9682.4+297.92</f>
        <v>9980.32</v>
      </c>
      <c r="AB195" s="391">
        <f>12456.78+7161.72</f>
        <v>19618.5</v>
      </c>
      <c r="AC195" s="326">
        <f t="shared" si="666"/>
        <v>141162.18000000002</v>
      </c>
      <c r="AD195" s="328"/>
      <c r="AE195" s="326">
        <f t="shared" si="672"/>
        <v>0</v>
      </c>
      <c r="AF195" s="326">
        <f t="shared" si="673"/>
        <v>0</v>
      </c>
      <c r="AG195" s="326">
        <f t="shared" si="674"/>
        <v>0</v>
      </c>
      <c r="AH195" s="326">
        <f t="shared" si="675"/>
        <v>0</v>
      </c>
      <c r="AI195" s="326">
        <f t="shared" si="676"/>
        <v>0</v>
      </c>
      <c r="AJ195" s="326">
        <f t="shared" si="677"/>
        <v>2358.88</v>
      </c>
      <c r="AK195" s="326">
        <f t="shared" si="678"/>
        <v>6256.16</v>
      </c>
      <c r="AL195" s="326">
        <f t="shared" si="679"/>
        <v>6410</v>
      </c>
      <c r="AM195" s="326">
        <f t="shared" si="680"/>
        <v>6486.92</v>
      </c>
      <c r="AN195" s="326">
        <f t="shared" si="681"/>
        <v>6193.92</v>
      </c>
      <c r="AO195" s="326">
        <f t="shared" si="682"/>
        <v>7382.4</v>
      </c>
      <c r="AP195" s="326">
        <f t="shared" si="683"/>
        <v>7505.44</v>
      </c>
      <c r="AQ195" s="326">
        <f t="shared" si="684"/>
        <v>7628.4800000000005</v>
      </c>
      <c r="AR195" s="326">
        <f t="shared" si="685"/>
        <v>7881.0800000000008</v>
      </c>
      <c r="AS195" s="326">
        <f t="shared" si="686"/>
        <v>8426.16</v>
      </c>
      <c r="AT195" s="326">
        <f t="shared" si="687"/>
        <v>8392.32</v>
      </c>
      <c r="AU195" s="326">
        <f t="shared" si="688"/>
        <v>8935.0400000000009</v>
      </c>
      <c r="AV195" s="326">
        <f t="shared" si="689"/>
        <v>9235.52</v>
      </c>
      <c r="AW195" s="326">
        <f t="shared" si="689"/>
        <v>8937.6</v>
      </c>
      <c r="AX195" s="326">
        <f t="shared" si="690"/>
        <v>9533.44</v>
      </c>
      <c r="AY195" s="326">
        <f t="shared" si="690"/>
        <v>9980.32</v>
      </c>
      <c r="AZ195" s="326">
        <f t="shared" si="690"/>
        <v>19618.5</v>
      </c>
      <c r="BA195" s="330"/>
      <c r="BB195" s="326">
        <v>0</v>
      </c>
      <c r="BC195" s="326">
        <v>0</v>
      </c>
      <c r="BD195" s="326">
        <v>0</v>
      </c>
      <c r="BE195" s="326">
        <v>0</v>
      </c>
      <c r="BF195" s="326">
        <v>0</v>
      </c>
      <c r="BG195" s="326">
        <v>25000</v>
      </c>
      <c r="BH195" s="326">
        <v>0</v>
      </c>
      <c r="BI195" s="326">
        <v>0</v>
      </c>
      <c r="BJ195" s="326">
        <v>0</v>
      </c>
      <c r="BK195" s="326">
        <v>29991</v>
      </c>
      <c r="BL195" s="326">
        <v>0</v>
      </c>
      <c r="BM195" s="330">
        <v>-1</v>
      </c>
      <c r="BN195" s="330">
        <v>0</v>
      </c>
      <c r="BO195" s="326">
        <v>5549.76</v>
      </c>
      <c r="BP195" s="330">
        <v>32994</v>
      </c>
      <c r="BQ195" s="330">
        <v>0</v>
      </c>
      <c r="BR195" s="330">
        <v>1271.5999999999999</v>
      </c>
      <c r="BS195" s="326">
        <v>7969.36</v>
      </c>
      <c r="BT195" s="326">
        <v>25174.240000000002</v>
      </c>
      <c r="BU195" s="330">
        <f t="shared" si="671"/>
        <v>0</v>
      </c>
      <c r="BV195" s="330">
        <f t="shared" si="671"/>
        <v>0</v>
      </c>
      <c r="BW195" s="330">
        <v>13213.217500000001</v>
      </c>
      <c r="BX195" s="351">
        <f t="shared" si="568"/>
        <v>2.5000000023283064E-3</v>
      </c>
      <c r="BY195" s="378">
        <f t="shared" si="569"/>
        <v>2.5000000023283064E-3</v>
      </c>
      <c r="BZ195" s="378">
        <f t="shared" si="570"/>
        <v>0</v>
      </c>
    </row>
    <row r="196" spans="1:78" s="234" customFormat="1" ht="14.45" customHeight="1" outlineLevel="1">
      <c r="A196" s="234" t="s">
        <v>129</v>
      </c>
      <c r="D196" s="328"/>
      <c r="E196" s="386">
        <v>1369.14</v>
      </c>
      <c r="F196" s="388" t="s">
        <v>221</v>
      </c>
      <c r="G196" s="391">
        <v>0</v>
      </c>
      <c r="H196" s="391">
        <v>0</v>
      </c>
      <c r="I196" s="391">
        <v>0</v>
      </c>
      <c r="J196" s="391">
        <v>0</v>
      </c>
      <c r="K196" s="391">
        <v>0</v>
      </c>
      <c r="L196" s="391">
        <v>0</v>
      </c>
      <c r="M196" s="391">
        <v>0</v>
      </c>
      <c r="N196" s="391">
        <v>0</v>
      </c>
      <c r="O196" s="391">
        <v>0</v>
      </c>
      <c r="P196" s="391">
        <v>0</v>
      </c>
      <c r="Q196" s="391">
        <v>0</v>
      </c>
      <c r="R196" s="391">
        <v>1369.14</v>
      </c>
      <c r="S196" s="391">
        <v>0</v>
      </c>
      <c r="T196" s="391">
        <v>0</v>
      </c>
      <c r="U196" s="391">
        <v>0</v>
      </c>
      <c r="V196" s="391">
        <v>0</v>
      </c>
      <c r="W196" s="391">
        <v>0</v>
      </c>
      <c r="X196" s="391">
        <v>0</v>
      </c>
      <c r="Z196" s="391"/>
      <c r="AA196" s="391">
        <v>0</v>
      </c>
      <c r="AB196" s="391"/>
      <c r="AC196" s="330">
        <f t="shared" si="666"/>
        <v>1369.14</v>
      </c>
      <c r="AD196" s="328"/>
      <c r="AE196" s="330">
        <f t="shared" si="672"/>
        <v>0</v>
      </c>
      <c r="AF196" s="330">
        <f t="shared" si="673"/>
        <v>0</v>
      </c>
      <c r="AG196" s="330">
        <f t="shared" si="674"/>
        <v>0</v>
      </c>
      <c r="AH196" s="330">
        <f t="shared" si="675"/>
        <v>0</v>
      </c>
      <c r="AI196" s="330">
        <f t="shared" si="676"/>
        <v>0</v>
      </c>
      <c r="AJ196" s="330">
        <f t="shared" si="677"/>
        <v>0</v>
      </c>
      <c r="AK196" s="386">
        <f t="shared" si="678"/>
        <v>0</v>
      </c>
      <c r="AL196" s="386">
        <f t="shared" si="679"/>
        <v>0</v>
      </c>
      <c r="AM196" s="386">
        <f t="shared" si="680"/>
        <v>0</v>
      </c>
      <c r="AN196" s="386">
        <f t="shared" si="681"/>
        <v>0</v>
      </c>
      <c r="AO196" s="330">
        <f t="shared" si="682"/>
        <v>0</v>
      </c>
      <c r="AP196" s="326">
        <f t="shared" si="683"/>
        <v>1369.14</v>
      </c>
      <c r="AQ196" s="330">
        <f t="shared" si="684"/>
        <v>0</v>
      </c>
      <c r="AR196" s="330">
        <f t="shared" si="685"/>
        <v>0</v>
      </c>
      <c r="AS196" s="330">
        <f t="shared" si="686"/>
        <v>0</v>
      </c>
      <c r="AT196" s="330">
        <f t="shared" si="687"/>
        <v>0</v>
      </c>
      <c r="AU196" s="330">
        <f t="shared" si="688"/>
        <v>0</v>
      </c>
      <c r="AV196" s="330">
        <f t="shared" si="689"/>
        <v>0</v>
      </c>
      <c r="AW196" s="330">
        <f t="shared" si="689"/>
        <v>0</v>
      </c>
      <c r="AX196" s="330">
        <f t="shared" si="690"/>
        <v>0</v>
      </c>
      <c r="AY196" s="330">
        <f t="shared" si="690"/>
        <v>0</v>
      </c>
      <c r="AZ196" s="330">
        <f t="shared" si="690"/>
        <v>0</v>
      </c>
      <c r="BA196" s="330"/>
      <c r="BB196" s="330">
        <f t="shared" ref="BB196:BL196" si="691">IF(BB$191=$F196,SUM(AE196:AH196),0)</f>
        <v>0</v>
      </c>
      <c r="BC196" s="330">
        <f t="shared" si="691"/>
        <v>0</v>
      </c>
      <c r="BD196" s="330">
        <f t="shared" si="691"/>
        <v>0</v>
      </c>
      <c r="BE196" s="330">
        <f t="shared" si="691"/>
        <v>0</v>
      </c>
      <c r="BF196" s="330">
        <f t="shared" si="691"/>
        <v>0</v>
      </c>
      <c r="BG196" s="330">
        <f t="shared" si="691"/>
        <v>0</v>
      </c>
      <c r="BH196" s="330">
        <f t="shared" si="691"/>
        <v>0</v>
      </c>
      <c r="BI196" s="330">
        <f t="shared" si="691"/>
        <v>0</v>
      </c>
      <c r="BJ196" s="330">
        <f t="shared" si="691"/>
        <v>0</v>
      </c>
      <c r="BK196" s="330">
        <f t="shared" si="691"/>
        <v>0</v>
      </c>
      <c r="BL196" s="330">
        <f t="shared" si="691"/>
        <v>0</v>
      </c>
      <c r="BM196" s="330">
        <v>1369.14</v>
      </c>
      <c r="BN196" s="330">
        <f>IF(BN$191=$F196,SUM(AQ196:AT196),0)</f>
        <v>0</v>
      </c>
      <c r="BO196" s="330">
        <f>IF(BO$191=$F196,SUM(AR196:AU196),0)</f>
        <v>0</v>
      </c>
      <c r="BP196" s="330">
        <v>0</v>
      </c>
      <c r="BQ196" s="330">
        <v>0</v>
      </c>
      <c r="BR196" s="330">
        <v>0</v>
      </c>
      <c r="BS196" s="330">
        <v>0</v>
      </c>
      <c r="BT196" s="326">
        <v>0</v>
      </c>
      <c r="BU196" s="330">
        <f t="shared" ref="BU196:BU197" si="692">IF(BU$191=$F196,SUM(AX196:BD196),0)</f>
        <v>0</v>
      </c>
      <c r="BV196" s="330">
        <v>0</v>
      </c>
      <c r="BW196" s="330">
        <f t="shared" ref="BW196" si="693">IF(BW$191=$F196,SUM(AZ196:BF196),0)</f>
        <v>0</v>
      </c>
      <c r="BX196" s="351">
        <f t="shared" si="568"/>
        <v>0</v>
      </c>
      <c r="BY196" s="378">
        <f t="shared" si="569"/>
        <v>0</v>
      </c>
      <c r="BZ196" s="378">
        <f t="shared" si="570"/>
        <v>0</v>
      </c>
    </row>
    <row r="197" spans="1:78" s="234" customFormat="1" ht="14.45" customHeight="1" outlineLevel="1">
      <c r="A197" s="234" t="s">
        <v>137</v>
      </c>
      <c r="C197" s="235"/>
      <c r="D197" s="328"/>
      <c r="E197" s="330">
        <f t="shared" ref="E197:E202" si="694">SUM(G197:AB197)</f>
        <v>122323.09125000001</v>
      </c>
      <c r="F197" s="388" t="s">
        <v>202</v>
      </c>
      <c r="G197" s="391">
        <v>0</v>
      </c>
      <c r="H197" s="391">
        <v>0</v>
      </c>
      <c r="I197" s="391">
        <v>0</v>
      </c>
      <c r="J197" s="391">
        <v>0</v>
      </c>
      <c r="K197" s="391">
        <v>0</v>
      </c>
      <c r="L197" s="391">
        <v>0</v>
      </c>
      <c r="M197" s="391">
        <v>0</v>
      </c>
      <c r="N197" s="391">
        <v>0</v>
      </c>
      <c r="O197" s="391">
        <v>0</v>
      </c>
      <c r="P197" s="391">
        <v>0</v>
      </c>
      <c r="Q197" s="391">
        <v>0</v>
      </c>
      <c r="R197" s="391">
        <v>0</v>
      </c>
      <c r="S197" s="391">
        <v>0</v>
      </c>
      <c r="T197" s="391">
        <v>0</v>
      </c>
      <c r="U197" s="391">
        <v>0</v>
      </c>
      <c r="V197" s="391">
        <v>13155.6</v>
      </c>
      <c r="W197" s="391">
        <v>14482.7</v>
      </c>
      <c r="X197" s="412">
        <v>13963.400000000001</v>
      </c>
      <c r="Y197" s="391">
        <v>14036.830000000002</v>
      </c>
      <c r="Z197" s="412">
        <v>15991.92</v>
      </c>
      <c r="AA197" s="391">
        <v>17261.12</v>
      </c>
      <c r="AB197" s="391">
        <v>33431.521250000005</v>
      </c>
      <c r="AC197" s="326">
        <f t="shared" si="666"/>
        <v>122323.09125000001</v>
      </c>
      <c r="AD197" s="328"/>
      <c r="AE197" s="330">
        <f t="shared" si="672"/>
        <v>0</v>
      </c>
      <c r="AF197" s="330">
        <f t="shared" si="673"/>
        <v>0</v>
      </c>
      <c r="AG197" s="330">
        <f t="shared" si="674"/>
        <v>0</v>
      </c>
      <c r="AH197" s="330">
        <f t="shared" si="675"/>
        <v>0</v>
      </c>
      <c r="AI197" s="330">
        <f t="shared" si="676"/>
        <v>0</v>
      </c>
      <c r="AJ197" s="330">
        <f t="shared" si="677"/>
        <v>0</v>
      </c>
      <c r="AK197" s="386">
        <f t="shared" si="678"/>
        <v>0</v>
      </c>
      <c r="AL197" s="386">
        <f t="shared" si="679"/>
        <v>0</v>
      </c>
      <c r="AM197" s="386">
        <f t="shared" si="680"/>
        <v>0</v>
      </c>
      <c r="AN197" s="386">
        <f t="shared" si="681"/>
        <v>0</v>
      </c>
      <c r="AO197" s="330">
        <f t="shared" si="682"/>
        <v>0</v>
      </c>
      <c r="AP197" s="326">
        <f t="shared" si="683"/>
        <v>0</v>
      </c>
      <c r="AQ197" s="326">
        <f t="shared" si="684"/>
        <v>0</v>
      </c>
      <c r="AR197" s="326">
        <f t="shared" si="685"/>
        <v>0</v>
      </c>
      <c r="AS197" s="326">
        <f t="shared" si="686"/>
        <v>0</v>
      </c>
      <c r="AT197" s="326">
        <f t="shared" si="687"/>
        <v>13155.6</v>
      </c>
      <c r="AU197" s="326">
        <f t="shared" si="688"/>
        <v>14482.7</v>
      </c>
      <c r="AV197" s="326">
        <f t="shared" si="689"/>
        <v>13963.400000000001</v>
      </c>
      <c r="AW197" s="326">
        <f t="shared" ref="AW197:AW202" si="695">Y197</f>
        <v>14036.830000000002</v>
      </c>
      <c r="AX197" s="326">
        <f t="shared" si="690"/>
        <v>15991.92</v>
      </c>
      <c r="AY197" s="326">
        <f t="shared" si="690"/>
        <v>17261.12</v>
      </c>
      <c r="AZ197" s="326">
        <f t="shared" si="690"/>
        <v>33431.521250000005</v>
      </c>
      <c r="BA197" s="330"/>
      <c r="BB197" s="330">
        <f t="shared" ref="BB197:BI198" si="696">IF(BB$191=$F197,SUM(AE197:AH197),0)</f>
        <v>0</v>
      </c>
      <c r="BC197" s="330">
        <f t="shared" si="696"/>
        <v>0</v>
      </c>
      <c r="BD197" s="330">
        <f t="shared" si="696"/>
        <v>0</v>
      </c>
      <c r="BE197" s="330">
        <f t="shared" si="696"/>
        <v>0</v>
      </c>
      <c r="BF197" s="330">
        <f t="shared" si="696"/>
        <v>0</v>
      </c>
      <c r="BG197" s="330">
        <f t="shared" si="696"/>
        <v>0</v>
      </c>
      <c r="BH197" s="330">
        <f t="shared" si="696"/>
        <v>0</v>
      </c>
      <c r="BI197" s="330">
        <f t="shared" si="696"/>
        <v>0</v>
      </c>
      <c r="BJ197" s="330">
        <v>0</v>
      </c>
      <c r="BK197" s="330">
        <v>0</v>
      </c>
      <c r="BL197" s="330">
        <v>0</v>
      </c>
      <c r="BM197" s="330">
        <f>IF(BM$191=$F197,SUM(AP197:AS197),0)</f>
        <v>0</v>
      </c>
      <c r="BN197" s="330">
        <v>0</v>
      </c>
      <c r="BO197" s="326">
        <v>0</v>
      </c>
      <c r="BP197" s="326">
        <v>45409.9</v>
      </c>
      <c r="BQ197" s="330">
        <v>0</v>
      </c>
      <c r="BR197" s="330">
        <v>0</v>
      </c>
      <c r="BS197" s="326">
        <v>12484.09</v>
      </c>
      <c r="BT197" s="326">
        <v>41912.700000000004</v>
      </c>
      <c r="BU197" s="330">
        <f t="shared" si="692"/>
        <v>0</v>
      </c>
      <c r="BV197" s="330">
        <f t="shared" ref="BV197:BV198" si="697">IF(BV$191=$F197,SUM(AY197:BE197),0)</f>
        <v>0</v>
      </c>
      <c r="BW197" s="330">
        <v>22516.401250000003</v>
      </c>
      <c r="BX197" s="351">
        <f t="shared" si="568"/>
        <v>0</v>
      </c>
      <c r="BY197" s="378">
        <f t="shared" si="569"/>
        <v>0</v>
      </c>
      <c r="BZ197" s="378">
        <f t="shared" si="570"/>
        <v>0</v>
      </c>
    </row>
    <row r="198" spans="1:78" s="234" customFormat="1" ht="14.45" customHeight="1" outlineLevel="1">
      <c r="A198" s="234" t="s">
        <v>137</v>
      </c>
      <c r="C198" s="235"/>
      <c r="D198" s="328"/>
      <c r="E198" s="330">
        <f t="shared" si="694"/>
        <v>231948.07625000001</v>
      </c>
      <c r="F198" s="388" t="s">
        <v>191</v>
      </c>
      <c r="G198" s="391">
        <v>10000</v>
      </c>
      <c r="H198" s="391">
        <v>12000</v>
      </c>
      <c r="I198" s="391">
        <v>11000</v>
      </c>
      <c r="J198" s="391">
        <v>12000</v>
      </c>
      <c r="K198" s="391">
        <v>4000</v>
      </c>
      <c r="L198" s="391">
        <v>0</v>
      </c>
      <c r="M198" s="391">
        <v>0</v>
      </c>
      <c r="N198" s="391">
        <v>0</v>
      </c>
      <c r="O198" s="391">
        <v>0</v>
      </c>
      <c r="P198" s="391">
        <v>12204.64</v>
      </c>
      <c r="Q198" s="391">
        <v>11666.2</v>
      </c>
      <c r="R198" s="391">
        <v>12486.68</v>
      </c>
      <c r="S198" s="391">
        <v>12717.44</v>
      </c>
      <c r="T198" s="391">
        <v>13298.32</v>
      </c>
      <c r="U198" s="391">
        <v>11726.04</v>
      </c>
      <c r="V198" s="391">
        <v>11620.400000000001</v>
      </c>
      <c r="W198" s="391">
        <v>12756.029999999999</v>
      </c>
      <c r="X198" s="412">
        <v>12386.289999999999</v>
      </c>
      <c r="Y198" s="391">
        <v>11033.83</v>
      </c>
      <c r="Z198" s="412">
        <v>11445.7</v>
      </c>
      <c r="AA198" s="391">
        <v>18998.7</v>
      </c>
      <c r="AB198" s="391">
        <v>30607.806250000001</v>
      </c>
      <c r="AC198" s="326">
        <f t="shared" ref="AC198:AC201" si="698">SUM(G198:AB198)</f>
        <v>231948.07625000001</v>
      </c>
      <c r="AD198" s="328"/>
      <c r="AE198" s="330">
        <f t="shared" si="672"/>
        <v>10000</v>
      </c>
      <c r="AF198" s="330">
        <f t="shared" si="673"/>
        <v>12000</v>
      </c>
      <c r="AG198" s="330">
        <f t="shared" si="674"/>
        <v>11000</v>
      </c>
      <c r="AH198" s="330">
        <f t="shared" si="675"/>
        <v>12000</v>
      </c>
      <c r="AI198" s="330">
        <f t="shared" si="676"/>
        <v>4000</v>
      </c>
      <c r="AJ198" s="330">
        <f t="shared" si="677"/>
        <v>0</v>
      </c>
      <c r="AK198" s="386">
        <f t="shared" si="678"/>
        <v>0</v>
      </c>
      <c r="AL198" s="386">
        <f t="shared" si="679"/>
        <v>0</v>
      </c>
      <c r="AM198" s="386">
        <f t="shared" si="680"/>
        <v>0</v>
      </c>
      <c r="AN198" s="386">
        <f t="shared" si="681"/>
        <v>12204.64</v>
      </c>
      <c r="AO198" s="330">
        <f t="shared" si="682"/>
        <v>11666.2</v>
      </c>
      <c r="AP198" s="326">
        <f t="shared" si="683"/>
        <v>12486.68</v>
      </c>
      <c r="AQ198" s="326">
        <f t="shared" si="684"/>
        <v>12717.44</v>
      </c>
      <c r="AR198" s="326">
        <f t="shared" si="685"/>
        <v>13298.32</v>
      </c>
      <c r="AS198" s="326">
        <f t="shared" si="686"/>
        <v>11726.04</v>
      </c>
      <c r="AT198" s="326">
        <f t="shared" si="687"/>
        <v>11620.400000000001</v>
      </c>
      <c r="AU198" s="326">
        <f t="shared" si="688"/>
        <v>12756.029999999999</v>
      </c>
      <c r="AV198" s="326">
        <f t="shared" si="689"/>
        <v>12386.289999999999</v>
      </c>
      <c r="AW198" s="326">
        <f t="shared" si="695"/>
        <v>11033.83</v>
      </c>
      <c r="AX198" s="326">
        <f t="shared" si="690"/>
        <v>11445.7</v>
      </c>
      <c r="AY198" s="326">
        <f t="shared" si="690"/>
        <v>18998.7</v>
      </c>
      <c r="AZ198" s="326">
        <f t="shared" si="690"/>
        <v>30607.806250000001</v>
      </c>
      <c r="BA198" s="330"/>
      <c r="BB198" s="330">
        <f t="shared" si="696"/>
        <v>45000</v>
      </c>
      <c r="BC198" s="330">
        <f t="shared" si="696"/>
        <v>0</v>
      </c>
      <c r="BD198" s="330">
        <f t="shared" si="696"/>
        <v>0</v>
      </c>
      <c r="BE198" s="330">
        <f t="shared" si="696"/>
        <v>0</v>
      </c>
      <c r="BF198" s="330">
        <f t="shared" si="696"/>
        <v>4000</v>
      </c>
      <c r="BG198" s="330">
        <f t="shared" si="696"/>
        <v>0</v>
      </c>
      <c r="BH198" s="330">
        <f t="shared" si="696"/>
        <v>0</v>
      </c>
      <c r="BI198" s="330">
        <f t="shared" si="696"/>
        <v>0</v>
      </c>
      <c r="BJ198" s="330">
        <v>49998</v>
      </c>
      <c r="BK198" s="330">
        <f>IF(BK$191=$F198,SUM(AN198:AQ198),0)</f>
        <v>0</v>
      </c>
      <c r="BL198" s="330">
        <f>IF(BL$191=$F198,SUM(AO198:AR198),0)</f>
        <v>0</v>
      </c>
      <c r="BM198" s="330">
        <f>IF(BM$191=$F198,SUM(AP198:AS198),0)</f>
        <v>0</v>
      </c>
      <c r="BN198" s="330">
        <v>16600.88</v>
      </c>
      <c r="BO198" s="326">
        <v>-845.12</v>
      </c>
      <c r="BP198" s="326">
        <v>51499.5</v>
      </c>
      <c r="BQ198" s="330">
        <v>0</v>
      </c>
      <c r="BR198" s="330">
        <v>0</v>
      </c>
      <c r="BS198" s="326">
        <v>8498.2900000000009</v>
      </c>
      <c r="BT198" s="326">
        <v>36581.919999999998</v>
      </c>
      <c r="BU198" s="330">
        <f t="shared" ref="BU198" si="699">IF(BU$191=$F198,SUM(AX198:BD198),0)</f>
        <v>0</v>
      </c>
      <c r="BV198" s="330">
        <f t="shared" si="697"/>
        <v>0</v>
      </c>
      <c r="BW198" s="330">
        <v>20614.606250000001</v>
      </c>
      <c r="BX198" s="351">
        <f t="shared" si="568"/>
        <v>0</v>
      </c>
      <c r="BY198" s="378">
        <f t="shared" si="569"/>
        <v>0</v>
      </c>
      <c r="BZ198" s="378">
        <f t="shared" si="570"/>
        <v>0</v>
      </c>
    </row>
    <row r="199" spans="1:78" s="234" customFormat="1" ht="14.45" customHeight="1" outlineLevel="1">
      <c r="A199" s="234" t="s">
        <v>137</v>
      </c>
      <c r="C199" s="235"/>
      <c r="D199" s="328"/>
      <c r="E199" s="330">
        <f t="shared" si="694"/>
        <v>243156.88249999998</v>
      </c>
      <c r="F199" s="388" t="s">
        <v>189</v>
      </c>
      <c r="G199" s="391"/>
      <c r="H199" s="391">
        <v>6666.67</v>
      </c>
      <c r="I199" s="391">
        <v>10500</v>
      </c>
      <c r="J199" s="391">
        <v>10500</v>
      </c>
      <c r="K199" s="391">
        <v>11489.28</v>
      </c>
      <c r="L199" s="391">
        <v>11130.24</v>
      </c>
      <c r="M199" s="391">
        <v>6103.68</v>
      </c>
      <c r="N199" s="391">
        <v>0</v>
      </c>
      <c r="O199" s="391">
        <v>10053.119999999999</v>
      </c>
      <c r="P199" s="391">
        <v>11489.28</v>
      </c>
      <c r="Q199" s="391">
        <v>9469.68</v>
      </c>
      <c r="R199" s="391">
        <v>10950.720000000001</v>
      </c>
      <c r="S199" s="391">
        <v>11515.52</v>
      </c>
      <c r="T199" s="391">
        <v>11520.84</v>
      </c>
      <c r="U199" s="396">
        <v>11026.08</v>
      </c>
      <c r="V199" s="396">
        <v>12343.52</v>
      </c>
      <c r="W199" s="396">
        <v>13265.92</v>
      </c>
      <c r="X199" s="412">
        <v>12851.36</v>
      </c>
      <c r="Y199" s="396">
        <v>12384.66</v>
      </c>
      <c r="Z199" s="412">
        <v>14136</v>
      </c>
      <c r="AA199" s="396">
        <v>15732</v>
      </c>
      <c r="AB199" s="396">
        <v>30028.3125</v>
      </c>
      <c r="AC199" s="326">
        <f t="shared" si="698"/>
        <v>243156.88249999998</v>
      </c>
      <c r="AD199" s="328"/>
      <c r="AE199" s="330">
        <f t="shared" si="672"/>
        <v>0</v>
      </c>
      <c r="AF199" s="330">
        <f t="shared" si="673"/>
        <v>6666.67</v>
      </c>
      <c r="AG199" s="330">
        <f t="shared" si="674"/>
        <v>10500</v>
      </c>
      <c r="AH199" s="330">
        <f t="shared" si="675"/>
        <v>10500</v>
      </c>
      <c r="AI199" s="330">
        <f t="shared" si="676"/>
        <v>11489.28</v>
      </c>
      <c r="AJ199" s="330">
        <f t="shared" si="677"/>
        <v>11130.24</v>
      </c>
      <c r="AK199" s="330">
        <f t="shared" si="678"/>
        <v>6103.68</v>
      </c>
      <c r="AL199" s="330">
        <f t="shared" si="679"/>
        <v>0</v>
      </c>
      <c r="AM199" s="386">
        <f t="shared" si="680"/>
        <v>10053.119999999999</v>
      </c>
      <c r="AN199" s="330">
        <f t="shared" si="681"/>
        <v>11489.28</v>
      </c>
      <c r="AO199" s="330">
        <f t="shared" si="682"/>
        <v>9469.68</v>
      </c>
      <c r="AP199" s="326">
        <f t="shared" si="683"/>
        <v>10950.720000000001</v>
      </c>
      <c r="AQ199" s="326">
        <f t="shared" si="684"/>
        <v>11515.52</v>
      </c>
      <c r="AR199" s="330">
        <f t="shared" si="685"/>
        <v>11520.84</v>
      </c>
      <c r="AS199" s="326">
        <f t="shared" si="686"/>
        <v>11026.08</v>
      </c>
      <c r="AT199" s="330">
        <f t="shared" si="687"/>
        <v>12343.52</v>
      </c>
      <c r="AU199" s="330">
        <f t="shared" si="688"/>
        <v>13265.92</v>
      </c>
      <c r="AV199" s="326">
        <f t="shared" si="689"/>
        <v>12851.36</v>
      </c>
      <c r="AW199" s="326">
        <f t="shared" si="695"/>
        <v>12384.66</v>
      </c>
      <c r="AX199" s="326">
        <f t="shared" si="690"/>
        <v>14136</v>
      </c>
      <c r="AY199" s="326">
        <f t="shared" si="690"/>
        <v>15732</v>
      </c>
      <c r="AZ199" s="326">
        <f t="shared" si="690"/>
        <v>30028.3125</v>
      </c>
      <c r="BA199" s="330"/>
      <c r="BB199" s="330">
        <f>IF(BB$191=$F199,SUM(AE199:AH199),0)</f>
        <v>0</v>
      </c>
      <c r="BC199" s="330">
        <v>42000</v>
      </c>
      <c r="BD199" s="330">
        <f>IF(BD$191=$F199,SUM(AG199:AJ199),0)</f>
        <v>0</v>
      </c>
      <c r="BE199" s="330">
        <v>7000</v>
      </c>
      <c r="BF199" s="330">
        <f>IF(BF$191=$F199,SUM(AI199:AL199),0)</f>
        <v>0</v>
      </c>
      <c r="BG199" s="330">
        <v>3440.43</v>
      </c>
      <c r="BH199" s="330">
        <v>3949.44</v>
      </c>
      <c r="BI199" s="330">
        <v>0</v>
      </c>
      <c r="BJ199" s="330">
        <v>43758</v>
      </c>
      <c r="BK199" s="330">
        <v>0</v>
      </c>
      <c r="BL199" s="330">
        <v>0</v>
      </c>
      <c r="BM199" s="326">
        <v>1615.68</v>
      </c>
      <c r="BN199" s="330">
        <v>22971</v>
      </c>
      <c r="BO199" s="326">
        <v>-329.84</v>
      </c>
      <c r="BP199" s="326">
        <v>12062.720000000001</v>
      </c>
      <c r="BQ199" s="330">
        <v>37258.58</v>
      </c>
      <c r="BR199" s="330">
        <v>0</v>
      </c>
      <c r="BS199" s="326">
        <v>11783.42</v>
      </c>
      <c r="BT199" s="326">
        <v>37423.14</v>
      </c>
      <c r="BU199" s="330">
        <v>0</v>
      </c>
      <c r="BV199" s="330">
        <v>0</v>
      </c>
      <c r="BW199" s="330">
        <v>20224.3125</v>
      </c>
      <c r="BX199" s="351">
        <f t="shared" si="568"/>
        <v>0</v>
      </c>
      <c r="BY199" s="378">
        <f t="shared" si="569"/>
        <v>0</v>
      </c>
      <c r="BZ199" s="378">
        <f t="shared" si="570"/>
        <v>0</v>
      </c>
    </row>
    <row r="200" spans="1:78" s="234" customFormat="1" ht="14.45" customHeight="1" outlineLevel="1">
      <c r="A200" s="234" t="s">
        <v>137</v>
      </c>
      <c r="C200" s="235"/>
      <c r="D200" s="328"/>
      <c r="E200" s="330">
        <f t="shared" si="694"/>
        <v>175131.91999999998</v>
      </c>
      <c r="F200" s="388" t="s">
        <v>189</v>
      </c>
      <c r="G200" s="391">
        <v>0</v>
      </c>
      <c r="H200" s="391">
        <v>1760</v>
      </c>
      <c r="I200" s="391">
        <v>4400</v>
      </c>
      <c r="J200" s="391">
        <v>0</v>
      </c>
      <c r="K200" s="391">
        <v>8981.92</v>
      </c>
      <c r="L200" s="391">
        <v>7628.48</v>
      </c>
      <c r="M200" s="391">
        <v>7136.32</v>
      </c>
      <c r="N200" s="391">
        <v>7351.64</v>
      </c>
      <c r="O200" s="391">
        <v>8059.12</v>
      </c>
      <c r="P200" s="391">
        <v>7382.4</v>
      </c>
      <c r="Q200" s="391">
        <v>7653.76</v>
      </c>
      <c r="R200" s="391">
        <v>8392.32</v>
      </c>
      <c r="S200" s="391">
        <v>7986.24</v>
      </c>
      <c r="T200" s="391">
        <v>8527.68</v>
      </c>
      <c r="U200" s="391">
        <v>9017.92</v>
      </c>
      <c r="V200" s="391">
        <v>9235.52</v>
      </c>
      <c r="W200" s="391">
        <v>9682.4</v>
      </c>
      <c r="X200" s="412">
        <v>9384.48</v>
      </c>
      <c r="Y200" s="391">
        <v>9510.44</v>
      </c>
      <c r="Z200" s="412">
        <v>10403.84</v>
      </c>
      <c r="AA200" s="391">
        <v>11059.2</v>
      </c>
      <c r="AB200" s="391">
        <v>21578.239999999998</v>
      </c>
      <c r="AC200" s="326">
        <f t="shared" si="698"/>
        <v>175131.91999999998</v>
      </c>
      <c r="AD200" s="328"/>
      <c r="AE200" s="330">
        <f t="shared" si="672"/>
        <v>0</v>
      </c>
      <c r="AF200" s="330">
        <f t="shared" si="673"/>
        <v>1760</v>
      </c>
      <c r="AG200" s="330">
        <f t="shared" si="674"/>
        <v>4400</v>
      </c>
      <c r="AH200" s="330">
        <f t="shared" si="675"/>
        <v>0</v>
      </c>
      <c r="AI200" s="330">
        <f t="shared" si="676"/>
        <v>8981.92</v>
      </c>
      <c r="AJ200" s="330">
        <f t="shared" si="677"/>
        <v>7628.48</v>
      </c>
      <c r="AK200" s="330">
        <f t="shared" si="678"/>
        <v>7136.32</v>
      </c>
      <c r="AL200" s="330">
        <f t="shared" si="679"/>
        <v>7351.64</v>
      </c>
      <c r="AM200" s="330">
        <f t="shared" si="680"/>
        <v>8059.12</v>
      </c>
      <c r="AN200" s="330">
        <f t="shared" si="681"/>
        <v>7382.4</v>
      </c>
      <c r="AO200" s="330">
        <f t="shared" si="682"/>
        <v>7653.76</v>
      </c>
      <c r="AP200" s="330">
        <f t="shared" si="683"/>
        <v>8392.32</v>
      </c>
      <c r="AQ200" s="330">
        <f t="shared" si="684"/>
        <v>7986.24</v>
      </c>
      <c r="AR200" s="326">
        <f t="shared" si="685"/>
        <v>8527.68</v>
      </c>
      <c r="AS200" s="326">
        <f t="shared" si="686"/>
        <v>9017.92</v>
      </c>
      <c r="AT200" s="326">
        <f t="shared" si="687"/>
        <v>9235.52</v>
      </c>
      <c r="AU200" s="326">
        <f t="shared" si="688"/>
        <v>9682.4</v>
      </c>
      <c r="AV200" s="326">
        <f t="shared" si="689"/>
        <v>9384.48</v>
      </c>
      <c r="AW200" s="326">
        <f t="shared" si="695"/>
        <v>9510.44</v>
      </c>
      <c r="AX200" s="326">
        <f t="shared" si="690"/>
        <v>10403.84</v>
      </c>
      <c r="AY200" s="326">
        <f t="shared" ref="AY200" si="700">AA200</f>
        <v>11059.2</v>
      </c>
      <c r="AZ200" s="326">
        <f t="shared" si="690"/>
        <v>21578.239999999998</v>
      </c>
      <c r="BA200" s="330"/>
      <c r="BB200" s="330">
        <v>0</v>
      </c>
      <c r="BC200" s="330">
        <v>6160</v>
      </c>
      <c r="BD200" s="330">
        <v>0</v>
      </c>
      <c r="BE200" s="330">
        <v>29991</v>
      </c>
      <c r="BF200" s="330">
        <v>0</v>
      </c>
      <c r="BG200" s="330">
        <v>0</v>
      </c>
      <c r="BH200" s="330">
        <v>0</v>
      </c>
      <c r="BI200" s="330">
        <v>18517.52</v>
      </c>
      <c r="BJ200" s="330">
        <v>0</v>
      </c>
      <c r="BK200" s="330">
        <v>0</v>
      </c>
      <c r="BL200" s="386">
        <v>32994</v>
      </c>
      <c r="BM200" s="326">
        <v>0</v>
      </c>
      <c r="BN200" s="330">
        <v>0</v>
      </c>
      <c r="BO200" s="326">
        <v>-236.88</v>
      </c>
      <c r="BP200" s="326">
        <v>36309</v>
      </c>
      <c r="BQ200" s="330">
        <v>0</v>
      </c>
      <c r="BR200" s="330">
        <v>0</v>
      </c>
      <c r="BS200" s="326">
        <v>9435.64</v>
      </c>
      <c r="BT200" s="326">
        <v>27428.52</v>
      </c>
      <c r="BU200" s="330">
        <v>0</v>
      </c>
      <c r="BV200" s="330">
        <v>0</v>
      </c>
      <c r="BW200" s="330">
        <v>14533.119999999999</v>
      </c>
      <c r="BX200" s="351">
        <f t="shared" si="568"/>
        <v>0</v>
      </c>
      <c r="BY200" s="378">
        <f t="shared" si="569"/>
        <v>0</v>
      </c>
      <c r="BZ200" s="378">
        <f t="shared" si="570"/>
        <v>0</v>
      </c>
    </row>
    <row r="201" spans="1:78" s="234" customFormat="1" ht="14.45" customHeight="1" outlineLevel="1">
      <c r="A201" s="234" t="s">
        <v>137</v>
      </c>
      <c r="C201" s="235"/>
      <c r="D201" s="328"/>
      <c r="E201" s="330">
        <f t="shared" si="694"/>
        <v>182167.06000000003</v>
      </c>
      <c r="F201" s="388" t="s">
        <v>189</v>
      </c>
      <c r="G201" s="391"/>
      <c r="H201" s="391">
        <v>1760</v>
      </c>
      <c r="I201" s="391">
        <f>2200*3</f>
        <v>6600</v>
      </c>
      <c r="J201" s="391">
        <f t="shared" ref="J201" si="701">2200*3</f>
        <v>6600</v>
      </c>
      <c r="K201" s="391">
        <v>7874.56</v>
      </c>
      <c r="L201" s="391">
        <v>7628.48</v>
      </c>
      <c r="M201" s="391">
        <v>6767.2</v>
      </c>
      <c r="N201" s="391">
        <v>7520.82</v>
      </c>
      <c r="O201" s="391">
        <v>7997.6</v>
      </c>
      <c r="P201" s="391">
        <v>7505.44</v>
      </c>
      <c r="Q201" s="391">
        <v>7395.36</v>
      </c>
      <c r="R201" s="391">
        <v>8121.6000000000013</v>
      </c>
      <c r="S201" s="391">
        <v>8392.32</v>
      </c>
      <c r="T201" s="391">
        <v>8392.32</v>
      </c>
      <c r="U201" s="391">
        <v>8720</v>
      </c>
      <c r="V201" s="391">
        <v>9235.52</v>
      </c>
      <c r="W201" s="391">
        <v>9682.4</v>
      </c>
      <c r="X201" s="412">
        <v>9235.52</v>
      </c>
      <c r="Y201" s="391">
        <v>9696.64</v>
      </c>
      <c r="Z201" s="412">
        <v>10485.76</v>
      </c>
      <c r="AA201" s="391">
        <v>10977.28</v>
      </c>
      <c r="AB201" s="391">
        <v>21578.239999999998</v>
      </c>
      <c r="AC201" s="326">
        <f t="shared" si="698"/>
        <v>182167.06000000003</v>
      </c>
      <c r="AD201" s="328"/>
      <c r="AE201" s="330">
        <f t="shared" si="672"/>
        <v>0</v>
      </c>
      <c r="AF201" s="330">
        <f t="shared" si="673"/>
        <v>1760</v>
      </c>
      <c r="AG201" s="330">
        <f t="shared" si="674"/>
        <v>6600</v>
      </c>
      <c r="AH201" s="330">
        <f t="shared" si="675"/>
        <v>6600</v>
      </c>
      <c r="AI201" s="330">
        <f t="shared" si="676"/>
        <v>7874.56</v>
      </c>
      <c r="AJ201" s="330">
        <f t="shared" si="677"/>
        <v>7628.48</v>
      </c>
      <c r="AK201" s="330">
        <f t="shared" si="678"/>
        <v>6767.2</v>
      </c>
      <c r="AL201" s="386">
        <f t="shared" si="679"/>
        <v>7520.82</v>
      </c>
      <c r="AM201" s="386">
        <f t="shared" si="680"/>
        <v>7997.6</v>
      </c>
      <c r="AN201" s="330">
        <f t="shared" si="681"/>
        <v>7505.44</v>
      </c>
      <c r="AO201" s="330">
        <f t="shared" si="682"/>
        <v>7395.36</v>
      </c>
      <c r="AP201" s="326">
        <f t="shared" si="683"/>
        <v>8121.6000000000013</v>
      </c>
      <c r="AQ201" s="326">
        <f t="shared" si="684"/>
        <v>8392.32</v>
      </c>
      <c r="AR201" s="326">
        <f t="shared" si="685"/>
        <v>8392.32</v>
      </c>
      <c r="AS201" s="326">
        <f t="shared" si="686"/>
        <v>8720</v>
      </c>
      <c r="AT201" s="326">
        <f t="shared" si="687"/>
        <v>9235.52</v>
      </c>
      <c r="AU201" s="326">
        <f t="shared" si="688"/>
        <v>9682.4</v>
      </c>
      <c r="AV201" s="326">
        <f t="shared" si="689"/>
        <v>9235.52</v>
      </c>
      <c r="AW201" s="326">
        <f t="shared" si="695"/>
        <v>9696.64</v>
      </c>
      <c r="AX201" s="326">
        <f t="shared" ref="AX201" si="702">Z201</f>
        <v>10485.76</v>
      </c>
      <c r="AY201" s="326">
        <f t="shared" ref="AY201" si="703">AA201</f>
        <v>10977.28</v>
      </c>
      <c r="AZ201" s="326">
        <f t="shared" ref="AZ201" si="704">AB201</f>
        <v>21578.239999999998</v>
      </c>
      <c r="BA201" s="330"/>
      <c r="BB201" s="386">
        <f>IF(BB$191=$F201,SUM(AE201:AH201),0)</f>
        <v>0</v>
      </c>
      <c r="BC201" s="386">
        <v>32185.599999999999</v>
      </c>
      <c r="BD201" s="386">
        <f t="shared" ref="BD201:BF202" si="705">IF(BD$191=$F201,SUM(AG201:AJ201),0)</f>
        <v>0</v>
      </c>
      <c r="BE201" s="386">
        <f t="shared" si="705"/>
        <v>0</v>
      </c>
      <c r="BF201" s="386">
        <f t="shared" si="705"/>
        <v>0</v>
      </c>
      <c r="BG201" s="386">
        <v>0</v>
      </c>
      <c r="BH201" s="386">
        <f>29991-76.9</f>
        <v>29914.1</v>
      </c>
      <c r="BI201" s="330">
        <f>IF(BI$191=$F201,SUM(AL201:AO201),0)</f>
        <v>0</v>
      </c>
      <c r="BJ201" s="330">
        <f>IF(BJ$191=$F201,SUM(AM201:AP201),0)</f>
        <v>0</v>
      </c>
      <c r="BK201" s="330">
        <v>0</v>
      </c>
      <c r="BL201" s="386">
        <v>32994</v>
      </c>
      <c r="BM201" s="326">
        <f>IF(BM$191=$F201,SUM(AP201:AS201),0)</f>
        <v>0</v>
      </c>
      <c r="BN201" s="330">
        <v>0</v>
      </c>
      <c r="BO201" s="326">
        <v>-372.24</v>
      </c>
      <c r="BP201" s="326">
        <v>36309</v>
      </c>
      <c r="BQ201" s="330">
        <v>0</v>
      </c>
      <c r="BR201" s="330">
        <v>0</v>
      </c>
      <c r="BS201" s="326">
        <v>8988.76</v>
      </c>
      <c r="BT201" s="326">
        <v>27614.719999999998</v>
      </c>
      <c r="BU201" s="330">
        <v>0</v>
      </c>
      <c r="BV201" s="330">
        <v>0</v>
      </c>
      <c r="BW201" s="330">
        <v>14533.119999999999</v>
      </c>
      <c r="BX201" s="351">
        <f t="shared" si="568"/>
        <v>0</v>
      </c>
      <c r="BY201" s="378">
        <f t="shared" si="569"/>
        <v>0</v>
      </c>
      <c r="BZ201" s="378">
        <f t="shared" si="570"/>
        <v>0</v>
      </c>
    </row>
    <row r="202" spans="1:78" s="234" customFormat="1" ht="14.45" customHeight="1" outlineLevel="1">
      <c r="A202" s="234" t="s">
        <v>137</v>
      </c>
      <c r="C202" s="235"/>
      <c r="D202" s="328"/>
      <c r="E202" s="330">
        <f t="shared" si="694"/>
        <v>0</v>
      </c>
      <c r="F202" s="388" t="s">
        <v>245</v>
      </c>
      <c r="G202" s="391"/>
      <c r="H202" s="391">
        <v>0</v>
      </c>
      <c r="I202" s="391">
        <v>0</v>
      </c>
      <c r="J202" s="391">
        <v>0</v>
      </c>
      <c r="K202" s="391">
        <v>0</v>
      </c>
      <c r="L202" s="391">
        <v>0</v>
      </c>
      <c r="M202" s="391">
        <v>0</v>
      </c>
      <c r="N202" s="391">
        <v>0</v>
      </c>
      <c r="O202" s="391">
        <v>0</v>
      </c>
      <c r="P202" s="391">
        <v>0</v>
      </c>
      <c r="Q202" s="391">
        <v>0</v>
      </c>
      <c r="R202" s="391">
        <v>0</v>
      </c>
      <c r="S202" s="391">
        <v>0</v>
      </c>
      <c r="T202" s="391">
        <v>0</v>
      </c>
      <c r="U202" s="391">
        <v>0</v>
      </c>
      <c r="V202" s="391">
        <v>0</v>
      </c>
      <c r="W202" s="391">
        <v>0</v>
      </c>
      <c r="X202" s="412">
        <v>0</v>
      </c>
      <c r="Y202" s="391">
        <v>0</v>
      </c>
      <c r="Z202" s="391">
        <v>0</v>
      </c>
      <c r="AA202" s="391"/>
      <c r="AB202" s="391"/>
      <c r="AC202" s="326">
        <f>SUM(G202:AB202)</f>
        <v>0</v>
      </c>
      <c r="AD202" s="328"/>
      <c r="AE202" s="330">
        <f t="shared" si="672"/>
        <v>0</v>
      </c>
      <c r="AF202" s="330">
        <f t="shared" si="673"/>
        <v>0</v>
      </c>
      <c r="AG202" s="330">
        <f t="shared" si="674"/>
        <v>0</v>
      </c>
      <c r="AH202" s="330">
        <f t="shared" si="675"/>
        <v>0</v>
      </c>
      <c r="AI202" s="330">
        <f t="shared" si="676"/>
        <v>0</v>
      </c>
      <c r="AJ202" s="330">
        <f t="shared" si="677"/>
        <v>0</v>
      </c>
      <c r="AK202" s="330">
        <f t="shared" si="678"/>
        <v>0</v>
      </c>
      <c r="AL202" s="386">
        <f t="shared" si="679"/>
        <v>0</v>
      </c>
      <c r="AM202" s="386">
        <f t="shared" si="680"/>
        <v>0</v>
      </c>
      <c r="AN202" s="330">
        <f t="shared" si="681"/>
        <v>0</v>
      </c>
      <c r="AO202" s="330">
        <f t="shared" si="682"/>
        <v>0</v>
      </c>
      <c r="AP202" s="326">
        <f t="shared" si="683"/>
        <v>0</v>
      </c>
      <c r="AQ202" s="326">
        <f t="shared" si="684"/>
        <v>0</v>
      </c>
      <c r="AR202" s="326">
        <f t="shared" si="685"/>
        <v>0</v>
      </c>
      <c r="AS202" s="326">
        <f t="shared" si="686"/>
        <v>0</v>
      </c>
      <c r="AT202" s="326">
        <f t="shared" si="687"/>
        <v>0</v>
      </c>
      <c r="AU202" s="326">
        <f t="shared" si="688"/>
        <v>0</v>
      </c>
      <c r="AV202" s="326">
        <f t="shared" si="689"/>
        <v>0</v>
      </c>
      <c r="AW202" s="326">
        <f t="shared" si="695"/>
        <v>0</v>
      </c>
      <c r="AX202" s="326">
        <f>Z202</f>
        <v>0</v>
      </c>
      <c r="AY202" s="326">
        <f>AA202</f>
        <v>0</v>
      </c>
      <c r="AZ202" s="326">
        <f>AB202</f>
        <v>0</v>
      </c>
      <c r="BA202" s="330"/>
      <c r="BB202" s="386">
        <f>IF(BB$191=$F202,SUM(AE202:AH202),0)</f>
        <v>0</v>
      </c>
      <c r="BC202" s="386">
        <v>0</v>
      </c>
      <c r="BD202" s="386">
        <f t="shared" si="705"/>
        <v>0</v>
      </c>
      <c r="BE202" s="386">
        <f t="shared" si="705"/>
        <v>0</v>
      </c>
      <c r="BF202" s="386">
        <f t="shared" si="705"/>
        <v>0</v>
      </c>
      <c r="BG202" s="386">
        <v>0</v>
      </c>
      <c r="BH202" s="386">
        <v>0</v>
      </c>
      <c r="BI202" s="330">
        <f>IF(BI$191=$F202,SUM(AL202:AO202),0)</f>
        <v>0</v>
      </c>
      <c r="BJ202" s="330">
        <f>IF(BJ$191=$F202,SUM(AM202:AP202),0)</f>
        <v>0</v>
      </c>
      <c r="BK202" s="330">
        <v>0</v>
      </c>
      <c r="BL202" s="386"/>
      <c r="BM202" s="326">
        <f>IF(BM$191=$F202,SUM(AP202:AS202),0)</f>
        <v>0</v>
      </c>
      <c r="BN202" s="330">
        <v>0</v>
      </c>
      <c r="BO202" s="326">
        <v>0</v>
      </c>
      <c r="BP202" s="326">
        <v>0</v>
      </c>
      <c r="BQ202" s="330">
        <v>0</v>
      </c>
      <c r="BR202" s="330">
        <v>0</v>
      </c>
      <c r="BS202" s="326">
        <v>0</v>
      </c>
      <c r="BT202" s="326">
        <v>0</v>
      </c>
      <c r="BU202" s="330">
        <v>0</v>
      </c>
      <c r="BV202" s="330">
        <v>0</v>
      </c>
      <c r="BW202" s="330">
        <v>0</v>
      </c>
      <c r="BX202" s="351">
        <f t="shared" si="568"/>
        <v>0</v>
      </c>
      <c r="BY202" s="378">
        <f t="shared" si="569"/>
        <v>0</v>
      </c>
      <c r="BZ202" s="378">
        <f t="shared" si="570"/>
        <v>0</v>
      </c>
    </row>
    <row r="203" spans="1:78" s="234" customFormat="1" ht="14.45" customHeight="1">
      <c r="A203" s="234" t="s">
        <v>140</v>
      </c>
      <c r="B203" s="234" t="s">
        <v>292</v>
      </c>
      <c r="C203" s="235"/>
      <c r="D203" s="328"/>
      <c r="E203" s="326">
        <v>6802.75</v>
      </c>
      <c r="F203" s="328" t="s">
        <v>229</v>
      </c>
      <c r="G203" s="329"/>
      <c r="H203" s="329">
        <v>0</v>
      </c>
      <c r="I203" s="329">
        <v>0</v>
      </c>
      <c r="J203" s="329">
        <v>0</v>
      </c>
      <c r="K203" s="388"/>
      <c r="L203" s="388"/>
      <c r="M203" s="388">
        <v>0</v>
      </c>
      <c r="N203" s="388">
        <v>0</v>
      </c>
      <c r="O203" s="388">
        <v>0</v>
      </c>
      <c r="P203" s="394">
        <v>1</v>
      </c>
      <c r="Q203" s="388"/>
      <c r="R203" s="388"/>
      <c r="S203" s="388"/>
      <c r="T203" s="388"/>
      <c r="U203" s="388"/>
      <c r="V203" s="388"/>
      <c r="W203" s="388"/>
      <c r="X203" s="388"/>
      <c r="Y203" s="388"/>
      <c r="Z203" s="388"/>
      <c r="AA203" s="388"/>
      <c r="AB203" s="388"/>
      <c r="AC203" s="387">
        <f>SUM(G203:AB203)</f>
        <v>1</v>
      </c>
      <c r="AD203" s="328"/>
      <c r="AE203" s="330">
        <f t="shared" ref="AE203:AR203" si="706">G203*$E203</f>
        <v>0</v>
      </c>
      <c r="AF203" s="326">
        <f t="shared" si="706"/>
        <v>0</v>
      </c>
      <c r="AG203" s="330">
        <f t="shared" si="706"/>
        <v>0</v>
      </c>
      <c r="AH203" s="330">
        <f t="shared" si="706"/>
        <v>0</v>
      </c>
      <c r="AI203" s="330">
        <f t="shared" si="706"/>
        <v>0</v>
      </c>
      <c r="AJ203" s="330">
        <f t="shared" si="706"/>
        <v>0</v>
      </c>
      <c r="AK203" s="330">
        <f t="shared" si="706"/>
        <v>0</v>
      </c>
      <c r="AL203" s="330">
        <f t="shared" si="706"/>
        <v>0</v>
      </c>
      <c r="AM203" s="386">
        <f t="shared" si="706"/>
        <v>0</v>
      </c>
      <c r="AN203" s="326">
        <f t="shared" si="706"/>
        <v>6802.75</v>
      </c>
      <c r="AO203" s="330">
        <f t="shared" si="706"/>
        <v>0</v>
      </c>
      <c r="AP203" s="326">
        <f t="shared" si="706"/>
        <v>0</v>
      </c>
      <c r="AQ203" s="330">
        <f t="shared" si="706"/>
        <v>0</v>
      </c>
      <c r="AR203" s="326">
        <f t="shared" si="706"/>
        <v>0</v>
      </c>
      <c r="AS203" s="326">
        <f>U203</f>
        <v>0</v>
      </c>
      <c r="AT203" s="330">
        <f t="shared" ref="AT203:AW203" si="707">V203*$E203</f>
        <v>0</v>
      </c>
      <c r="AU203" s="330">
        <f t="shared" si="707"/>
        <v>0</v>
      </c>
      <c r="AV203" s="330">
        <f t="shared" si="707"/>
        <v>0</v>
      </c>
      <c r="AW203" s="330">
        <f t="shared" si="707"/>
        <v>0</v>
      </c>
      <c r="AX203" s="330">
        <f>Z203*$E203</f>
        <v>0</v>
      </c>
      <c r="AY203" s="330">
        <f>AA203*$E203</f>
        <v>0</v>
      </c>
      <c r="AZ203" s="330">
        <f>AB203*$E203</f>
        <v>0</v>
      </c>
      <c r="BA203" s="330"/>
      <c r="BB203" s="330">
        <f t="shared" ref="BB203:BW203" si="708">IF(BB$3=$F203,$E203,0)</f>
        <v>0</v>
      </c>
      <c r="BC203" s="330">
        <f t="shared" si="708"/>
        <v>0</v>
      </c>
      <c r="BD203" s="330">
        <f t="shared" si="708"/>
        <v>0</v>
      </c>
      <c r="BE203" s="330">
        <f t="shared" si="708"/>
        <v>0</v>
      </c>
      <c r="BF203" s="330">
        <f t="shared" si="708"/>
        <v>0</v>
      </c>
      <c r="BG203" s="330">
        <f t="shared" si="708"/>
        <v>0</v>
      </c>
      <c r="BH203" s="330">
        <f t="shared" si="708"/>
        <v>0</v>
      </c>
      <c r="BI203" s="330">
        <f t="shared" si="708"/>
        <v>0</v>
      </c>
      <c r="BJ203" s="330">
        <f t="shared" si="708"/>
        <v>0</v>
      </c>
      <c r="BK203" s="330">
        <f t="shared" si="708"/>
        <v>6802.75</v>
      </c>
      <c r="BL203" s="330">
        <f t="shared" si="708"/>
        <v>0</v>
      </c>
      <c r="BM203" s="330">
        <f t="shared" si="708"/>
        <v>0</v>
      </c>
      <c r="BN203" s="330">
        <f t="shared" si="708"/>
        <v>0</v>
      </c>
      <c r="BO203" s="330">
        <f t="shared" si="708"/>
        <v>0</v>
      </c>
      <c r="BP203" s="330">
        <f t="shared" si="708"/>
        <v>0</v>
      </c>
      <c r="BQ203" s="330">
        <f t="shared" si="708"/>
        <v>0</v>
      </c>
      <c r="BR203" s="330">
        <f t="shared" si="708"/>
        <v>0</v>
      </c>
      <c r="BS203" s="330">
        <f t="shared" si="708"/>
        <v>0</v>
      </c>
      <c r="BT203" s="326">
        <f t="shared" si="708"/>
        <v>0</v>
      </c>
      <c r="BU203" s="330">
        <f t="shared" si="708"/>
        <v>0</v>
      </c>
      <c r="BV203" s="330">
        <f t="shared" si="708"/>
        <v>0</v>
      </c>
      <c r="BW203" s="330">
        <f t="shared" si="708"/>
        <v>0</v>
      </c>
      <c r="BX203" s="351">
        <f t="shared" si="568"/>
        <v>0</v>
      </c>
      <c r="BY203" s="378">
        <f t="shared" si="569"/>
        <v>0</v>
      </c>
      <c r="BZ203" s="378">
        <f t="shared" si="570"/>
        <v>0</v>
      </c>
    </row>
    <row r="204" spans="1:78" s="234" customFormat="1" ht="14.45" customHeight="1" outlineLevel="1">
      <c r="A204" s="234" t="s">
        <v>137</v>
      </c>
      <c r="C204" s="235"/>
      <c r="D204" s="328"/>
      <c r="E204" s="330">
        <f>SUM(G204:AB204)</f>
        <v>64297.744999999995</v>
      </c>
      <c r="F204" s="388" t="s">
        <v>241</v>
      </c>
      <c r="G204" s="391"/>
      <c r="H204" s="391"/>
      <c r="I204" s="391"/>
      <c r="J204" s="391">
        <v>0</v>
      </c>
      <c r="K204" s="391">
        <v>0</v>
      </c>
      <c r="L204" s="391">
        <v>0</v>
      </c>
      <c r="M204" s="391">
        <v>0</v>
      </c>
      <c r="N204" s="391">
        <v>0</v>
      </c>
      <c r="O204" s="391">
        <v>0</v>
      </c>
      <c r="P204" s="391">
        <v>0</v>
      </c>
      <c r="Q204" s="391">
        <v>0</v>
      </c>
      <c r="R204" s="391">
        <v>0</v>
      </c>
      <c r="S204" s="391">
        <v>0</v>
      </c>
      <c r="T204" s="391">
        <v>2741.04</v>
      </c>
      <c r="U204" s="396">
        <v>6015.0599999999995</v>
      </c>
      <c r="V204" s="396">
        <v>6294.24</v>
      </c>
      <c r="W204" s="396">
        <v>6598.7999999999993</v>
      </c>
      <c r="X204" s="412">
        <v>6497.4400000000005</v>
      </c>
      <c r="Y204" s="412">
        <v>6812.48</v>
      </c>
      <c r="Z204" s="412">
        <v>7035.84</v>
      </c>
      <c r="AA204" s="396">
        <v>7594.24</v>
      </c>
      <c r="AB204" s="396">
        <v>14708.605000000001</v>
      </c>
      <c r="AC204" s="326">
        <f>SUM(G204:AB204)</f>
        <v>64297.744999999995</v>
      </c>
      <c r="AD204" s="328"/>
      <c r="AE204" s="330">
        <f t="shared" ref="AE204:AR205" si="709">G204</f>
        <v>0</v>
      </c>
      <c r="AF204" s="330">
        <f t="shared" si="709"/>
        <v>0</v>
      </c>
      <c r="AG204" s="330">
        <f t="shared" si="709"/>
        <v>0</v>
      </c>
      <c r="AH204" s="330">
        <f t="shared" si="709"/>
        <v>0</v>
      </c>
      <c r="AI204" s="330">
        <f t="shared" si="709"/>
        <v>0</v>
      </c>
      <c r="AJ204" s="330">
        <f t="shared" si="709"/>
        <v>0</v>
      </c>
      <c r="AK204" s="330">
        <f t="shared" si="709"/>
        <v>0</v>
      </c>
      <c r="AL204" s="386">
        <f t="shared" si="709"/>
        <v>0</v>
      </c>
      <c r="AM204" s="386">
        <f t="shared" si="709"/>
        <v>0</v>
      </c>
      <c r="AN204" s="330">
        <f t="shared" si="709"/>
        <v>0</v>
      </c>
      <c r="AO204" s="330">
        <f t="shared" si="709"/>
        <v>0</v>
      </c>
      <c r="AP204" s="326">
        <f t="shared" si="709"/>
        <v>0</v>
      </c>
      <c r="AQ204" s="326">
        <f t="shared" si="709"/>
        <v>0</v>
      </c>
      <c r="AR204" s="326">
        <f t="shared" si="709"/>
        <v>2741.04</v>
      </c>
      <c r="AS204" s="326">
        <f>U204</f>
        <v>6015.0599999999995</v>
      </c>
      <c r="AT204" s="326">
        <f t="shared" ref="AT204:AW205" si="710">V204</f>
        <v>6294.24</v>
      </c>
      <c r="AU204" s="326">
        <f t="shared" si="710"/>
        <v>6598.7999999999993</v>
      </c>
      <c r="AV204" s="326">
        <f t="shared" si="710"/>
        <v>6497.4400000000005</v>
      </c>
      <c r="AW204" s="326">
        <f t="shared" si="710"/>
        <v>6812.48</v>
      </c>
      <c r="AX204" s="326">
        <f t="shared" ref="AX204:AZ205" si="711">Z204</f>
        <v>7035.84</v>
      </c>
      <c r="AY204" s="326">
        <f t="shared" si="711"/>
        <v>7594.24</v>
      </c>
      <c r="AZ204" s="326">
        <f t="shared" si="711"/>
        <v>14708.605000000001</v>
      </c>
      <c r="BA204" s="330"/>
      <c r="BB204" s="330">
        <f t="shared" ref="BB204:BK205" si="712">IF(BB$191=$F204,SUM(AE204:AH204),0)</f>
        <v>0</v>
      </c>
      <c r="BC204" s="330">
        <f t="shared" si="712"/>
        <v>0</v>
      </c>
      <c r="BD204" s="330">
        <f t="shared" si="712"/>
        <v>0</v>
      </c>
      <c r="BE204" s="330">
        <f t="shared" si="712"/>
        <v>0</v>
      </c>
      <c r="BF204" s="330">
        <f t="shared" si="712"/>
        <v>0</v>
      </c>
      <c r="BG204" s="330">
        <f t="shared" si="712"/>
        <v>0</v>
      </c>
      <c r="BH204" s="330">
        <f t="shared" si="712"/>
        <v>0</v>
      </c>
      <c r="BI204" s="330">
        <f t="shared" si="712"/>
        <v>0</v>
      </c>
      <c r="BJ204" s="330">
        <f t="shared" si="712"/>
        <v>0</v>
      </c>
      <c r="BK204" s="330">
        <f t="shared" si="712"/>
        <v>0</v>
      </c>
      <c r="BL204" s="330">
        <v>0</v>
      </c>
      <c r="BM204" s="330">
        <v>0</v>
      </c>
      <c r="BN204" s="330">
        <v>0</v>
      </c>
      <c r="BO204" s="326">
        <v>4365.3599999999997</v>
      </c>
      <c r="BP204" s="326">
        <v>24745.5</v>
      </c>
      <c r="BQ204" s="330">
        <v>0</v>
      </c>
      <c r="BR204" s="330">
        <v>0</v>
      </c>
      <c r="BS204" s="326">
        <v>6286.28</v>
      </c>
      <c r="BT204" s="326">
        <v>18994.240000000002</v>
      </c>
      <c r="BU204" s="330">
        <v>0</v>
      </c>
      <c r="BV204" s="330">
        <v>0</v>
      </c>
      <c r="BW204" s="330">
        <v>9906.3649999999998</v>
      </c>
      <c r="BX204" s="351">
        <f t="shared" ref="BX204:BX206" si="713">SUM(AE204:AZ204)-SUM(BB204:BW204)</f>
        <v>0</v>
      </c>
      <c r="BY204" s="378">
        <f t="shared" si="569"/>
        <v>0</v>
      </c>
      <c r="BZ204" s="378">
        <f t="shared" si="570"/>
        <v>0</v>
      </c>
    </row>
    <row r="205" spans="1:78" s="234" customFormat="1" ht="14.45" customHeight="1" outlineLevel="1">
      <c r="A205" s="234" t="s">
        <v>137</v>
      </c>
      <c r="C205" s="235"/>
      <c r="D205" s="328"/>
      <c r="E205" s="330">
        <f>SUM(G205:AB205)</f>
        <v>76552.044999999998</v>
      </c>
      <c r="F205" s="388" t="s">
        <v>221</v>
      </c>
      <c r="G205" s="391"/>
      <c r="H205" s="391"/>
      <c r="I205" s="391"/>
      <c r="J205" s="391">
        <v>0</v>
      </c>
      <c r="K205" s="391">
        <v>0</v>
      </c>
      <c r="L205" s="391">
        <v>0</v>
      </c>
      <c r="M205" s="391">
        <v>0</v>
      </c>
      <c r="N205" s="391">
        <v>0</v>
      </c>
      <c r="O205" s="391">
        <v>0</v>
      </c>
      <c r="P205" s="391">
        <v>0</v>
      </c>
      <c r="Q205" s="391">
        <v>0</v>
      </c>
      <c r="R205" s="391">
        <v>3785.12</v>
      </c>
      <c r="S205" s="391">
        <v>5677.68</v>
      </c>
      <c r="T205" s="391">
        <v>5631.52</v>
      </c>
      <c r="U205" s="396">
        <v>6424</v>
      </c>
      <c r="V205" s="396">
        <v>6294.24</v>
      </c>
      <c r="W205" s="396">
        <v>6598.7999999999993</v>
      </c>
      <c r="X205" s="412">
        <v>6395.76</v>
      </c>
      <c r="Y205" s="396">
        <v>6406.24</v>
      </c>
      <c r="Z205" s="412">
        <v>7035.84</v>
      </c>
      <c r="AA205" s="396">
        <v>7594.24</v>
      </c>
      <c r="AB205" s="396">
        <v>14708.605000000001</v>
      </c>
      <c r="AC205" s="326">
        <f>SUM(G205:AB205)</f>
        <v>76552.044999999998</v>
      </c>
      <c r="AD205" s="328"/>
      <c r="AE205" s="330">
        <f t="shared" si="709"/>
        <v>0</v>
      </c>
      <c r="AF205" s="330">
        <f t="shared" si="709"/>
        <v>0</v>
      </c>
      <c r="AG205" s="330">
        <f t="shared" si="709"/>
        <v>0</v>
      </c>
      <c r="AH205" s="330">
        <f t="shared" si="709"/>
        <v>0</v>
      </c>
      <c r="AI205" s="330">
        <f t="shared" si="709"/>
        <v>0</v>
      </c>
      <c r="AJ205" s="330">
        <f t="shared" si="709"/>
        <v>0</v>
      </c>
      <c r="AK205" s="330">
        <f t="shared" si="709"/>
        <v>0</v>
      </c>
      <c r="AL205" s="386">
        <f t="shared" si="709"/>
        <v>0</v>
      </c>
      <c r="AM205" s="386">
        <f t="shared" si="709"/>
        <v>0</v>
      </c>
      <c r="AN205" s="330">
        <f t="shared" si="709"/>
        <v>0</v>
      </c>
      <c r="AO205" s="330">
        <f t="shared" si="709"/>
        <v>0</v>
      </c>
      <c r="AP205" s="326">
        <f t="shared" si="709"/>
        <v>3785.12</v>
      </c>
      <c r="AQ205" s="326">
        <f t="shared" si="709"/>
        <v>5677.68</v>
      </c>
      <c r="AR205" s="330">
        <f t="shared" si="709"/>
        <v>5631.52</v>
      </c>
      <c r="AS205" s="326">
        <f>U205</f>
        <v>6424</v>
      </c>
      <c r="AT205" s="326">
        <f t="shared" si="710"/>
        <v>6294.24</v>
      </c>
      <c r="AU205" s="326">
        <f t="shared" si="710"/>
        <v>6598.7999999999993</v>
      </c>
      <c r="AV205" s="326">
        <f t="shared" si="710"/>
        <v>6395.76</v>
      </c>
      <c r="AW205" s="326">
        <f t="shared" si="710"/>
        <v>6406.24</v>
      </c>
      <c r="AX205" s="326">
        <f t="shared" si="711"/>
        <v>7035.84</v>
      </c>
      <c r="AY205" s="326">
        <f t="shared" si="711"/>
        <v>7594.24</v>
      </c>
      <c r="AZ205" s="326">
        <f t="shared" si="711"/>
        <v>14708.605000000001</v>
      </c>
      <c r="BA205" s="330"/>
      <c r="BB205" s="330">
        <f t="shared" si="712"/>
        <v>0</v>
      </c>
      <c r="BC205" s="330">
        <f t="shared" si="712"/>
        <v>0</v>
      </c>
      <c r="BD205" s="330">
        <f t="shared" si="712"/>
        <v>0</v>
      </c>
      <c r="BE205" s="330">
        <f t="shared" si="712"/>
        <v>0</v>
      </c>
      <c r="BF205" s="330">
        <f t="shared" si="712"/>
        <v>0</v>
      </c>
      <c r="BG205" s="330">
        <f t="shared" si="712"/>
        <v>0</v>
      </c>
      <c r="BH205" s="330">
        <f t="shared" si="712"/>
        <v>0</v>
      </c>
      <c r="BI205" s="330">
        <f t="shared" si="712"/>
        <v>0</v>
      </c>
      <c r="BJ205" s="330">
        <f t="shared" si="712"/>
        <v>0</v>
      </c>
      <c r="BK205" s="330">
        <f t="shared" si="712"/>
        <v>0</v>
      </c>
      <c r="BL205" s="330">
        <v>0</v>
      </c>
      <c r="BM205" s="326">
        <f>16877.25+5625.75</f>
        <v>22503</v>
      </c>
      <c r="BN205" s="330">
        <v>0</v>
      </c>
      <c r="BO205" s="326">
        <v>-5654.6</v>
      </c>
      <c r="BP205" s="326">
        <v>24745.5</v>
      </c>
      <c r="BQ205" s="330">
        <v>0</v>
      </c>
      <c r="BR205" s="330">
        <v>0</v>
      </c>
      <c r="BS205" s="326">
        <v>6431.7800000000007</v>
      </c>
      <c r="BT205" s="326">
        <v>18620</v>
      </c>
      <c r="BU205" s="330">
        <v>0</v>
      </c>
      <c r="BV205" s="330">
        <v>0</v>
      </c>
      <c r="BW205" s="330">
        <v>9906.3649999999998</v>
      </c>
      <c r="BX205" s="351">
        <f t="shared" si="713"/>
        <v>0</v>
      </c>
      <c r="BY205" s="378">
        <f t="shared" si="569"/>
        <v>0</v>
      </c>
      <c r="BZ205" s="378">
        <f t="shared" si="570"/>
        <v>0</v>
      </c>
    </row>
    <row r="206" spans="1:78" s="234" customFormat="1" ht="14.45" customHeight="1">
      <c r="A206" s="234" t="s">
        <v>140</v>
      </c>
      <c r="C206" s="235"/>
      <c r="D206" s="328"/>
      <c r="E206" s="326">
        <v>36750</v>
      </c>
      <c r="F206" s="328" t="s">
        <v>241</v>
      </c>
      <c r="G206" s="388"/>
      <c r="H206" s="388"/>
      <c r="I206" s="388"/>
      <c r="J206" s="329"/>
      <c r="K206" s="329">
        <v>0</v>
      </c>
      <c r="L206" s="329"/>
      <c r="M206" s="329"/>
      <c r="N206" s="329"/>
      <c r="O206" s="388"/>
      <c r="P206" s="388"/>
      <c r="Q206" s="388">
        <v>0</v>
      </c>
      <c r="R206" s="389">
        <v>0</v>
      </c>
      <c r="S206" s="389">
        <v>8.7619047619047624E-2</v>
      </c>
      <c r="T206" s="389">
        <v>0.22857142857142856</v>
      </c>
      <c r="U206" s="389">
        <v>0</v>
      </c>
      <c r="V206" s="389">
        <v>8.5714285714285715E-2</v>
      </c>
      <c r="W206" s="389">
        <v>9.5238095238095233E-2</v>
      </c>
      <c r="X206" s="389">
        <v>4.7619047619047616E-2</v>
      </c>
      <c r="Y206" s="389">
        <v>5.7142857142857141E-2</v>
      </c>
      <c r="Z206" s="389">
        <v>0.17142857142857143</v>
      </c>
      <c r="AA206" s="389">
        <v>0.17142857142857143</v>
      </c>
      <c r="AB206" s="389">
        <v>5.5238095238095239E-2</v>
      </c>
      <c r="AC206" s="387">
        <f>SUM(G206:AB206)</f>
        <v>1.0000000000000002</v>
      </c>
      <c r="AD206" s="328"/>
      <c r="AE206" s="386">
        <f t="shared" ref="AE206:AN216" si="714">G206*$E206</f>
        <v>0</v>
      </c>
      <c r="AF206" s="326">
        <f t="shared" si="714"/>
        <v>0</v>
      </c>
      <c r="AG206" s="386">
        <f t="shared" si="714"/>
        <v>0</v>
      </c>
      <c r="AH206" s="386">
        <f t="shared" si="714"/>
        <v>0</v>
      </c>
      <c r="AI206" s="386">
        <f t="shared" si="714"/>
        <v>0</v>
      </c>
      <c r="AJ206" s="386">
        <f t="shared" si="714"/>
        <v>0</v>
      </c>
      <c r="AK206" s="386">
        <f t="shared" si="714"/>
        <v>0</v>
      </c>
      <c r="AL206" s="386">
        <f t="shared" si="714"/>
        <v>0</v>
      </c>
      <c r="AM206" s="386">
        <f t="shared" si="714"/>
        <v>0</v>
      </c>
      <c r="AN206" s="326">
        <f t="shared" si="714"/>
        <v>0</v>
      </c>
      <c r="AO206" s="393">
        <f t="shared" ref="AO206:AW216" si="715">Q206*$E206</f>
        <v>0</v>
      </c>
      <c r="AP206" s="326">
        <f t="shared" si="715"/>
        <v>0</v>
      </c>
      <c r="AQ206" s="326">
        <f t="shared" si="715"/>
        <v>3220</v>
      </c>
      <c r="AR206" s="326">
        <f t="shared" si="715"/>
        <v>8400</v>
      </c>
      <c r="AS206" s="326">
        <f t="shared" si="715"/>
        <v>0</v>
      </c>
      <c r="AT206" s="326">
        <f t="shared" si="715"/>
        <v>3150</v>
      </c>
      <c r="AU206" s="326">
        <f t="shared" si="715"/>
        <v>3500</v>
      </c>
      <c r="AV206" s="330">
        <f t="shared" si="715"/>
        <v>1750</v>
      </c>
      <c r="AW206" s="330">
        <f t="shared" si="715"/>
        <v>2100</v>
      </c>
      <c r="AX206" s="330">
        <f t="shared" ref="AX206:AZ216" si="716">Z206*$E206</f>
        <v>6300</v>
      </c>
      <c r="AY206" s="330">
        <f t="shared" si="716"/>
        <v>6300</v>
      </c>
      <c r="AZ206" s="330">
        <f t="shared" si="716"/>
        <v>2030</v>
      </c>
      <c r="BA206" s="330"/>
      <c r="BB206" s="330">
        <f t="shared" ref="BB206:BV214" si="717">IF(BB$3=$F206,$E206,0)</f>
        <v>0</v>
      </c>
      <c r="BC206" s="330">
        <f t="shared" si="717"/>
        <v>0</v>
      </c>
      <c r="BD206" s="330">
        <f t="shared" si="717"/>
        <v>0</v>
      </c>
      <c r="BE206" s="330">
        <f t="shared" si="717"/>
        <v>0</v>
      </c>
      <c r="BF206" s="330">
        <f t="shared" si="717"/>
        <v>0</v>
      </c>
      <c r="BG206" s="330">
        <f t="shared" si="717"/>
        <v>0</v>
      </c>
      <c r="BH206" s="330">
        <f t="shared" si="717"/>
        <v>0</v>
      </c>
      <c r="BI206" s="330">
        <f t="shared" si="717"/>
        <v>0</v>
      </c>
      <c r="BJ206" s="330">
        <f t="shared" si="717"/>
        <v>0</v>
      </c>
      <c r="BK206" s="330">
        <f t="shared" si="717"/>
        <v>0</v>
      </c>
      <c r="BL206" s="330">
        <f t="shared" si="717"/>
        <v>0</v>
      </c>
      <c r="BM206" s="330">
        <f t="shared" si="717"/>
        <v>0</v>
      </c>
      <c r="BN206" s="330">
        <f t="shared" si="717"/>
        <v>36750</v>
      </c>
      <c r="BO206" s="330">
        <f t="shared" si="717"/>
        <v>0</v>
      </c>
      <c r="BP206" s="330">
        <f t="shared" si="717"/>
        <v>0</v>
      </c>
      <c r="BQ206" s="330">
        <f t="shared" si="717"/>
        <v>0</v>
      </c>
      <c r="BR206" s="330">
        <f t="shared" si="717"/>
        <v>0</v>
      </c>
      <c r="BS206" s="330">
        <f t="shared" si="717"/>
        <v>0</v>
      </c>
      <c r="BT206" s="330">
        <f t="shared" si="717"/>
        <v>0</v>
      </c>
      <c r="BU206" s="330">
        <f t="shared" si="717"/>
        <v>0</v>
      </c>
      <c r="BV206" s="330">
        <f t="shared" si="717"/>
        <v>0</v>
      </c>
      <c r="BW206" s="330">
        <f t="shared" ref="BV206:BW214" si="718">IF(BW$3=$F206,$E206,0)</f>
        <v>0</v>
      </c>
      <c r="BX206" s="351">
        <f t="shared" si="713"/>
        <v>0</v>
      </c>
      <c r="BY206" s="378">
        <f t="shared" si="569"/>
        <v>0</v>
      </c>
      <c r="BZ206" s="378">
        <f t="shared" si="570"/>
        <v>0</v>
      </c>
    </row>
    <row r="207" spans="1:78" s="234" customFormat="1" ht="14.45" customHeight="1">
      <c r="A207" s="234" t="s">
        <v>140</v>
      </c>
      <c r="B207" s="234" t="s">
        <v>296</v>
      </c>
      <c r="C207" s="235"/>
      <c r="D207" s="328"/>
      <c r="E207" s="326">
        <v>25000</v>
      </c>
      <c r="F207" s="328" t="s">
        <v>267</v>
      </c>
      <c r="G207" s="388"/>
      <c r="H207" s="388"/>
      <c r="I207" s="388"/>
      <c r="J207" s="329"/>
      <c r="K207" s="329">
        <v>0</v>
      </c>
      <c r="L207" s="329"/>
      <c r="M207" s="329"/>
      <c r="N207" s="329"/>
      <c r="O207" s="388"/>
      <c r="P207" s="388"/>
      <c r="Q207" s="388">
        <v>0</v>
      </c>
      <c r="R207" s="389">
        <v>0</v>
      </c>
      <c r="S207" s="389">
        <v>0</v>
      </c>
      <c r="T207" s="389">
        <v>0</v>
      </c>
      <c r="U207" s="389">
        <v>0</v>
      </c>
      <c r="V207" s="329">
        <v>0</v>
      </c>
      <c r="W207" s="389">
        <v>0</v>
      </c>
      <c r="X207" s="389">
        <v>0</v>
      </c>
      <c r="Y207" s="389">
        <v>0</v>
      </c>
      <c r="Z207" s="389">
        <v>0</v>
      </c>
      <c r="AA207" s="389">
        <v>0</v>
      </c>
      <c r="AB207" s="389">
        <v>1</v>
      </c>
      <c r="AC207" s="387">
        <f t="shared" ref="AC207:AC214" si="719">SUM(G207:AB207)</f>
        <v>1</v>
      </c>
      <c r="AD207" s="328"/>
      <c r="AE207" s="386">
        <f t="shared" ref="AE207:AE214" si="720">G207*$E207</f>
        <v>0</v>
      </c>
      <c r="AF207" s="326">
        <f t="shared" ref="AF207:AF214" si="721">H207*$E207</f>
        <v>0</v>
      </c>
      <c r="AG207" s="386">
        <f t="shared" ref="AG207:AG214" si="722">I207*$E207</f>
        <v>0</v>
      </c>
      <c r="AH207" s="386">
        <f t="shared" ref="AH207:AH214" si="723">J207*$E207</f>
        <v>0</v>
      </c>
      <c r="AI207" s="386">
        <f t="shared" ref="AI207:AI214" si="724">K207*$E207</f>
        <v>0</v>
      </c>
      <c r="AJ207" s="386">
        <f t="shared" ref="AJ207:AJ214" si="725">L207*$E207</f>
        <v>0</v>
      </c>
      <c r="AK207" s="386">
        <f t="shared" ref="AK207:AK214" si="726">M207*$E207</f>
        <v>0</v>
      </c>
      <c r="AL207" s="386">
        <f t="shared" ref="AL207:AL214" si="727">N207*$E207</f>
        <v>0</v>
      </c>
      <c r="AM207" s="386">
        <f t="shared" ref="AM207:AM214" si="728">O207*$E207</f>
        <v>0</v>
      </c>
      <c r="AN207" s="326">
        <f t="shared" ref="AN207:AN214" si="729">P207*$E207</f>
        <v>0</v>
      </c>
      <c r="AO207" s="393">
        <f t="shared" ref="AO207:AO214" si="730">Q207*$E207</f>
        <v>0</v>
      </c>
      <c r="AP207" s="326">
        <f t="shared" ref="AP207:AP214" si="731">R207*$E207</f>
        <v>0</v>
      </c>
      <c r="AQ207" s="326">
        <f t="shared" ref="AQ207:AQ214" si="732">S207*$E207</f>
        <v>0</v>
      </c>
      <c r="AR207" s="326">
        <f t="shared" ref="AR207:AR214" si="733">T207*$E207</f>
        <v>0</v>
      </c>
      <c r="AS207" s="326">
        <f t="shared" ref="AS207:AS214" si="734">U207*$E207</f>
        <v>0</v>
      </c>
      <c r="AT207" s="326">
        <f t="shared" ref="AT207:AT214" si="735">V207*$E207</f>
        <v>0</v>
      </c>
      <c r="AU207" s="326">
        <f t="shared" ref="AU207:AU214" si="736">W207*$E207</f>
        <v>0</v>
      </c>
      <c r="AV207" s="330">
        <f t="shared" ref="AV207:AV214" si="737">X207*$E207</f>
        <v>0</v>
      </c>
      <c r="AW207" s="330">
        <f t="shared" ref="AW207:AW214" si="738">Y207*$E207</f>
        <v>0</v>
      </c>
      <c r="AX207" s="330">
        <f t="shared" ref="AX207:AX214" si="739">Z207*$E207</f>
        <v>0</v>
      </c>
      <c r="AY207" s="330">
        <f t="shared" ref="AY207:AY214" si="740">AA207*$E207</f>
        <v>0</v>
      </c>
      <c r="AZ207" s="330">
        <f t="shared" ref="AZ207:AZ214" si="741">AB207*$E207</f>
        <v>25000</v>
      </c>
      <c r="BA207" s="330"/>
      <c r="BB207" s="330">
        <f t="shared" si="717"/>
        <v>0</v>
      </c>
      <c r="BC207" s="330">
        <f t="shared" si="717"/>
        <v>0</v>
      </c>
      <c r="BD207" s="330">
        <f t="shared" si="717"/>
        <v>0</v>
      </c>
      <c r="BE207" s="330">
        <f t="shared" si="717"/>
        <v>0</v>
      </c>
      <c r="BF207" s="330">
        <f t="shared" si="717"/>
        <v>0</v>
      </c>
      <c r="BG207" s="330">
        <f t="shared" si="717"/>
        <v>0</v>
      </c>
      <c r="BH207" s="330">
        <f t="shared" si="717"/>
        <v>0</v>
      </c>
      <c r="BI207" s="330">
        <f t="shared" si="717"/>
        <v>0</v>
      </c>
      <c r="BJ207" s="330">
        <f t="shared" si="717"/>
        <v>0</v>
      </c>
      <c r="BK207" s="330">
        <f t="shared" si="717"/>
        <v>0</v>
      </c>
      <c r="BL207" s="330">
        <f t="shared" si="717"/>
        <v>0</v>
      </c>
      <c r="BM207" s="330">
        <f t="shared" si="717"/>
        <v>0</v>
      </c>
      <c r="BN207" s="330">
        <f t="shared" si="717"/>
        <v>0</v>
      </c>
      <c r="BO207" s="330">
        <f t="shared" si="717"/>
        <v>0</v>
      </c>
      <c r="BP207" s="330">
        <f t="shared" si="717"/>
        <v>0</v>
      </c>
      <c r="BQ207" s="330">
        <f t="shared" si="717"/>
        <v>0</v>
      </c>
      <c r="BR207" s="330">
        <f t="shared" si="717"/>
        <v>0</v>
      </c>
      <c r="BS207" s="330">
        <f t="shared" si="717"/>
        <v>0</v>
      </c>
      <c r="BT207" s="330">
        <f t="shared" si="717"/>
        <v>0</v>
      </c>
      <c r="BU207" s="330">
        <f t="shared" si="717"/>
        <v>0</v>
      </c>
      <c r="BV207" s="330">
        <f t="shared" si="718"/>
        <v>25000</v>
      </c>
      <c r="BW207" s="330">
        <f t="shared" si="718"/>
        <v>0</v>
      </c>
      <c r="BX207" s="351">
        <f t="shared" ref="BX207:BX214" si="742">SUM(AE207:AZ207)-SUM(BB207:BW207)</f>
        <v>0</v>
      </c>
      <c r="BY207" s="378">
        <f t="shared" ref="BY207:BY214" si="743">E207-SUM(BB207:BW207)</f>
        <v>0</v>
      </c>
      <c r="BZ207" s="378">
        <f t="shared" ref="BZ207:BZ214" si="744">+E207-SUM(AE207:AZ207)</f>
        <v>0</v>
      </c>
    </row>
    <row r="208" spans="1:78" s="234" customFormat="1" ht="14.45" customHeight="1">
      <c r="A208" s="234" t="s">
        <v>140</v>
      </c>
      <c r="B208" s="234" t="s">
        <v>296</v>
      </c>
      <c r="C208" s="235"/>
      <c r="D208" s="328"/>
      <c r="E208" s="326">
        <v>25000</v>
      </c>
      <c r="F208" s="328" t="s">
        <v>267</v>
      </c>
      <c r="G208" s="388"/>
      <c r="H208" s="388"/>
      <c r="I208" s="388"/>
      <c r="J208" s="329"/>
      <c r="K208" s="329">
        <v>0</v>
      </c>
      <c r="L208" s="329"/>
      <c r="M208" s="329"/>
      <c r="N208" s="329"/>
      <c r="O208" s="388"/>
      <c r="P208" s="388"/>
      <c r="Q208" s="388">
        <v>0</v>
      </c>
      <c r="R208" s="389">
        <v>0</v>
      </c>
      <c r="S208" s="389">
        <v>0</v>
      </c>
      <c r="T208" s="389">
        <v>0</v>
      </c>
      <c r="U208" s="389">
        <v>0</v>
      </c>
      <c r="V208" s="329">
        <v>0</v>
      </c>
      <c r="W208" s="389">
        <v>0</v>
      </c>
      <c r="X208" s="389">
        <v>0</v>
      </c>
      <c r="Y208" s="389">
        <v>0</v>
      </c>
      <c r="Z208" s="389">
        <v>0</v>
      </c>
      <c r="AA208" s="389">
        <v>1</v>
      </c>
      <c r="AB208" s="389">
        <v>0</v>
      </c>
      <c r="AC208" s="387">
        <f t="shared" si="719"/>
        <v>1</v>
      </c>
      <c r="AD208" s="328"/>
      <c r="AE208" s="386">
        <f t="shared" si="720"/>
        <v>0</v>
      </c>
      <c r="AF208" s="326">
        <f t="shared" si="721"/>
        <v>0</v>
      </c>
      <c r="AG208" s="386">
        <f t="shared" si="722"/>
        <v>0</v>
      </c>
      <c r="AH208" s="386">
        <f t="shared" si="723"/>
        <v>0</v>
      </c>
      <c r="AI208" s="386">
        <f t="shared" si="724"/>
        <v>0</v>
      </c>
      <c r="AJ208" s="386">
        <f t="shared" si="725"/>
        <v>0</v>
      </c>
      <c r="AK208" s="386">
        <f t="shared" si="726"/>
        <v>0</v>
      </c>
      <c r="AL208" s="386">
        <f t="shared" si="727"/>
        <v>0</v>
      </c>
      <c r="AM208" s="386">
        <f t="shared" si="728"/>
        <v>0</v>
      </c>
      <c r="AN208" s="326">
        <f t="shared" si="729"/>
        <v>0</v>
      </c>
      <c r="AO208" s="393">
        <f t="shared" si="730"/>
        <v>0</v>
      </c>
      <c r="AP208" s="326">
        <f t="shared" si="731"/>
        <v>0</v>
      </c>
      <c r="AQ208" s="326">
        <f t="shared" si="732"/>
        <v>0</v>
      </c>
      <c r="AR208" s="326">
        <f t="shared" si="733"/>
        <v>0</v>
      </c>
      <c r="AS208" s="326">
        <f t="shared" si="734"/>
        <v>0</v>
      </c>
      <c r="AT208" s="326">
        <f t="shared" si="735"/>
        <v>0</v>
      </c>
      <c r="AU208" s="326">
        <f t="shared" si="736"/>
        <v>0</v>
      </c>
      <c r="AV208" s="330">
        <f t="shared" si="737"/>
        <v>0</v>
      </c>
      <c r="AW208" s="330">
        <f t="shared" si="738"/>
        <v>0</v>
      </c>
      <c r="AX208" s="330">
        <f t="shared" si="739"/>
        <v>0</v>
      </c>
      <c r="AY208" s="326">
        <f t="shared" si="740"/>
        <v>25000</v>
      </c>
      <c r="AZ208" s="330">
        <f t="shared" si="741"/>
        <v>0</v>
      </c>
      <c r="BA208" s="330"/>
      <c r="BB208" s="330">
        <f t="shared" si="717"/>
        <v>0</v>
      </c>
      <c r="BC208" s="330">
        <f t="shared" si="717"/>
        <v>0</v>
      </c>
      <c r="BD208" s="330">
        <f t="shared" si="717"/>
        <v>0</v>
      </c>
      <c r="BE208" s="330">
        <f t="shared" si="717"/>
        <v>0</v>
      </c>
      <c r="BF208" s="330">
        <f t="shared" si="717"/>
        <v>0</v>
      </c>
      <c r="BG208" s="330">
        <f t="shared" si="717"/>
        <v>0</v>
      </c>
      <c r="BH208" s="330">
        <f t="shared" si="717"/>
        <v>0</v>
      </c>
      <c r="BI208" s="330">
        <f t="shared" si="717"/>
        <v>0</v>
      </c>
      <c r="BJ208" s="330">
        <f t="shared" si="717"/>
        <v>0</v>
      </c>
      <c r="BK208" s="330">
        <f t="shared" si="717"/>
        <v>0</v>
      </c>
      <c r="BL208" s="330">
        <f t="shared" si="717"/>
        <v>0</v>
      </c>
      <c r="BM208" s="330">
        <f t="shared" si="717"/>
        <v>0</v>
      </c>
      <c r="BN208" s="330">
        <f t="shared" si="717"/>
        <v>0</v>
      </c>
      <c r="BO208" s="330">
        <f t="shared" si="717"/>
        <v>0</v>
      </c>
      <c r="BP208" s="330">
        <f t="shared" si="717"/>
        <v>0</v>
      </c>
      <c r="BQ208" s="330">
        <f t="shared" si="717"/>
        <v>0</v>
      </c>
      <c r="BR208" s="330">
        <f t="shared" si="717"/>
        <v>0</v>
      </c>
      <c r="BS208" s="330">
        <f t="shared" si="717"/>
        <v>0</v>
      </c>
      <c r="BT208" s="330">
        <f t="shared" si="717"/>
        <v>0</v>
      </c>
      <c r="BU208" s="330">
        <f t="shared" si="717"/>
        <v>0</v>
      </c>
      <c r="BV208" s="330">
        <f t="shared" si="718"/>
        <v>25000</v>
      </c>
      <c r="BW208" s="330">
        <f t="shared" si="718"/>
        <v>0</v>
      </c>
      <c r="BX208" s="351">
        <f t="shared" si="742"/>
        <v>0</v>
      </c>
      <c r="BY208" s="378">
        <f t="shared" si="743"/>
        <v>0</v>
      </c>
      <c r="BZ208" s="378">
        <f t="shared" si="744"/>
        <v>0</v>
      </c>
    </row>
    <row r="209" spans="1:80" s="234" customFormat="1" ht="15" customHeight="1">
      <c r="A209" s="234" t="s">
        <v>140</v>
      </c>
      <c r="B209" s="234" t="s">
        <v>323</v>
      </c>
      <c r="C209" s="235"/>
      <c r="D209" s="380"/>
      <c r="E209" s="533">
        <v>357.14</v>
      </c>
      <c r="F209" s="328" t="s">
        <v>266</v>
      </c>
      <c r="G209" s="388"/>
      <c r="H209" s="388"/>
      <c r="I209" s="388"/>
      <c r="J209" s="329"/>
      <c r="K209" s="329">
        <v>0</v>
      </c>
      <c r="L209" s="329"/>
      <c r="M209" s="329"/>
      <c r="N209" s="329"/>
      <c r="O209" s="388"/>
      <c r="P209" s="388"/>
      <c r="Q209" s="388">
        <v>0</v>
      </c>
      <c r="R209" s="389">
        <v>0</v>
      </c>
      <c r="S209" s="389">
        <v>0</v>
      </c>
      <c r="T209" s="389">
        <v>0</v>
      </c>
      <c r="U209" s="389">
        <v>0</v>
      </c>
      <c r="V209" s="329">
        <v>0</v>
      </c>
      <c r="W209" s="389">
        <v>0</v>
      </c>
      <c r="X209" s="389">
        <v>0</v>
      </c>
      <c r="Y209" s="389">
        <v>0</v>
      </c>
      <c r="Z209" s="389">
        <v>1</v>
      </c>
      <c r="AA209" s="389">
        <v>0</v>
      </c>
      <c r="AB209" s="389">
        <v>0</v>
      </c>
      <c r="AC209" s="387">
        <f t="shared" ref="AC209" si="745">SUM(G209:AB209)</f>
        <v>1</v>
      </c>
      <c r="AD209" s="328"/>
      <c r="AE209" s="386">
        <f t="shared" ref="AE209" si="746">G209*$E209</f>
        <v>0</v>
      </c>
      <c r="AF209" s="326">
        <f t="shared" ref="AF209" si="747">H209*$E209</f>
        <v>0</v>
      </c>
      <c r="AG209" s="386">
        <f t="shared" ref="AG209" si="748">I209*$E209</f>
        <v>0</v>
      </c>
      <c r="AH209" s="386">
        <f t="shared" ref="AH209" si="749">J209*$E209</f>
        <v>0</v>
      </c>
      <c r="AI209" s="386">
        <f t="shared" ref="AI209" si="750">K209*$E209</f>
        <v>0</v>
      </c>
      <c r="AJ209" s="386">
        <f t="shared" ref="AJ209" si="751">L209*$E209</f>
        <v>0</v>
      </c>
      <c r="AK209" s="386">
        <f t="shared" ref="AK209" si="752">M209*$E209</f>
        <v>0</v>
      </c>
      <c r="AL209" s="386">
        <f t="shared" ref="AL209" si="753">N209*$E209</f>
        <v>0</v>
      </c>
      <c r="AM209" s="386">
        <f t="shared" ref="AM209" si="754">O209*$E209</f>
        <v>0</v>
      </c>
      <c r="AN209" s="326">
        <f t="shared" ref="AN209" si="755">P209*$E209</f>
        <v>0</v>
      </c>
      <c r="AO209" s="393">
        <f t="shared" ref="AO209" si="756">Q209*$E209</f>
        <v>0</v>
      </c>
      <c r="AP209" s="326">
        <f t="shared" ref="AP209" si="757">R209*$E209</f>
        <v>0</v>
      </c>
      <c r="AQ209" s="326">
        <f t="shared" ref="AQ209" si="758">S209*$E209</f>
        <v>0</v>
      </c>
      <c r="AR209" s="326">
        <f t="shared" ref="AR209" si="759">T209*$E209</f>
        <v>0</v>
      </c>
      <c r="AS209" s="326">
        <f t="shared" ref="AS209" si="760">U209*$E209</f>
        <v>0</v>
      </c>
      <c r="AT209" s="326">
        <f t="shared" ref="AT209" si="761">V209*$E209</f>
        <v>0</v>
      </c>
      <c r="AU209" s="326">
        <f t="shared" ref="AU209" si="762">W209*$E209</f>
        <v>0</v>
      </c>
      <c r="AV209" s="330">
        <f t="shared" ref="AV209" si="763">X209*$E209</f>
        <v>0</v>
      </c>
      <c r="AW209" s="326">
        <f t="shared" ref="AW209" si="764">Y209*$E209</f>
        <v>0</v>
      </c>
      <c r="AX209" s="330">
        <f t="shared" ref="AX209" si="765">Z209*$E209</f>
        <v>357.14</v>
      </c>
      <c r="AY209" s="330">
        <f t="shared" ref="AY209" si="766">AA209*$E209</f>
        <v>0</v>
      </c>
      <c r="AZ209" s="330">
        <f t="shared" ref="AZ209" si="767">AB209*$E209</f>
        <v>0</v>
      </c>
      <c r="BA209" s="330"/>
      <c r="BB209" s="330">
        <f t="shared" si="717"/>
        <v>0</v>
      </c>
      <c r="BC209" s="330">
        <f t="shared" si="717"/>
        <v>0</v>
      </c>
      <c r="BD209" s="330">
        <f t="shared" si="717"/>
        <v>0</v>
      </c>
      <c r="BE209" s="330">
        <f t="shared" si="717"/>
        <v>0</v>
      </c>
      <c r="BF209" s="330">
        <f t="shared" si="717"/>
        <v>0</v>
      </c>
      <c r="BG209" s="330">
        <f t="shared" si="717"/>
        <v>0</v>
      </c>
      <c r="BH209" s="330">
        <f t="shared" si="717"/>
        <v>0</v>
      </c>
      <c r="BI209" s="330">
        <f t="shared" si="717"/>
        <v>0</v>
      </c>
      <c r="BJ209" s="330">
        <f t="shared" si="717"/>
        <v>0</v>
      </c>
      <c r="BK209" s="330">
        <f t="shared" si="717"/>
        <v>0</v>
      </c>
      <c r="BL209" s="330">
        <f t="shared" si="717"/>
        <v>0</v>
      </c>
      <c r="BM209" s="330">
        <f t="shared" si="717"/>
        <v>0</v>
      </c>
      <c r="BN209" s="330">
        <f t="shared" si="717"/>
        <v>0</v>
      </c>
      <c r="BO209" s="330">
        <f t="shared" si="717"/>
        <v>0</v>
      </c>
      <c r="BP209" s="330">
        <f t="shared" si="717"/>
        <v>0</v>
      </c>
      <c r="BQ209" s="330">
        <f t="shared" si="717"/>
        <v>0</v>
      </c>
      <c r="BR209" s="330">
        <f t="shared" si="717"/>
        <v>0</v>
      </c>
      <c r="BS209" s="330">
        <f t="shared" si="717"/>
        <v>0</v>
      </c>
      <c r="BT209" s="326">
        <f t="shared" si="717"/>
        <v>0</v>
      </c>
      <c r="BU209" s="330">
        <f t="shared" si="717"/>
        <v>357.14</v>
      </c>
      <c r="BV209" s="330">
        <f t="shared" si="718"/>
        <v>0</v>
      </c>
      <c r="BW209" s="330">
        <f t="shared" si="718"/>
        <v>0</v>
      </c>
      <c r="BX209" s="351">
        <f t="shared" ref="BX209" si="768">SUM(AE209:AZ209)-SUM(BB209:BW209)</f>
        <v>0</v>
      </c>
      <c r="BY209" s="378">
        <f t="shared" ref="BY209" si="769">E209-SUM(BB209:BW209)</f>
        <v>0</v>
      </c>
      <c r="BZ209" s="378">
        <f t="shared" ref="BZ209" si="770">+E209-SUM(AE209:AZ209)</f>
        <v>0</v>
      </c>
    </row>
    <row r="210" spans="1:80" s="234" customFormat="1" ht="15" customHeight="1">
      <c r="A210" s="234" t="s">
        <v>140</v>
      </c>
      <c r="B210" s="234" t="s">
        <v>323</v>
      </c>
      <c r="C210" s="235"/>
      <c r="D210" s="328"/>
      <c r="E210" s="326">
        <v>232.14</v>
      </c>
      <c r="F210" s="328" t="s">
        <v>266</v>
      </c>
      <c r="G210" s="388"/>
      <c r="H210" s="388"/>
      <c r="I210" s="388"/>
      <c r="J210" s="329"/>
      <c r="K210" s="329">
        <v>0</v>
      </c>
      <c r="L210" s="329"/>
      <c r="M210" s="329"/>
      <c r="N210" s="329"/>
      <c r="O210" s="388"/>
      <c r="P210" s="388"/>
      <c r="Q210" s="388">
        <v>0</v>
      </c>
      <c r="R210" s="389">
        <v>0</v>
      </c>
      <c r="S210" s="389">
        <v>0</v>
      </c>
      <c r="T210" s="389">
        <v>0</v>
      </c>
      <c r="U210" s="389">
        <v>0</v>
      </c>
      <c r="V210" s="329">
        <v>0</v>
      </c>
      <c r="W210" s="389">
        <v>0</v>
      </c>
      <c r="X210" s="389">
        <v>0</v>
      </c>
      <c r="Y210" s="389">
        <v>0</v>
      </c>
      <c r="Z210" s="389">
        <v>1</v>
      </c>
      <c r="AA210" s="389">
        <v>0</v>
      </c>
      <c r="AB210" s="389">
        <v>0</v>
      </c>
      <c r="AC210" s="387">
        <f t="shared" ref="AC210" si="771">SUM(G210:AB210)</f>
        <v>1</v>
      </c>
      <c r="AD210" s="328"/>
      <c r="AE210" s="386">
        <f t="shared" ref="AE210" si="772">G210*$E210</f>
        <v>0</v>
      </c>
      <c r="AF210" s="326">
        <f t="shared" ref="AF210" si="773">H210*$E210</f>
        <v>0</v>
      </c>
      <c r="AG210" s="386">
        <f t="shared" ref="AG210" si="774">I210*$E210</f>
        <v>0</v>
      </c>
      <c r="AH210" s="386">
        <f t="shared" ref="AH210" si="775">J210*$E210</f>
        <v>0</v>
      </c>
      <c r="AI210" s="386">
        <f t="shared" ref="AI210" si="776">K210*$E210</f>
        <v>0</v>
      </c>
      <c r="AJ210" s="386">
        <f t="shared" ref="AJ210" si="777">L210*$E210</f>
        <v>0</v>
      </c>
      <c r="AK210" s="386">
        <f t="shared" ref="AK210" si="778">M210*$E210</f>
        <v>0</v>
      </c>
      <c r="AL210" s="386">
        <f t="shared" ref="AL210" si="779">N210*$E210</f>
        <v>0</v>
      </c>
      <c r="AM210" s="386">
        <f t="shared" ref="AM210" si="780">O210*$E210</f>
        <v>0</v>
      </c>
      <c r="AN210" s="326">
        <f t="shared" ref="AN210" si="781">P210*$E210</f>
        <v>0</v>
      </c>
      <c r="AO210" s="393">
        <f t="shared" ref="AO210" si="782">Q210*$E210</f>
        <v>0</v>
      </c>
      <c r="AP210" s="326">
        <f t="shared" ref="AP210" si="783">R210*$E210</f>
        <v>0</v>
      </c>
      <c r="AQ210" s="326">
        <f t="shared" ref="AQ210" si="784">S210*$E210</f>
        <v>0</v>
      </c>
      <c r="AR210" s="326">
        <f t="shared" ref="AR210" si="785">T210*$E210</f>
        <v>0</v>
      </c>
      <c r="AS210" s="326">
        <f t="shared" ref="AS210" si="786">U210*$E210</f>
        <v>0</v>
      </c>
      <c r="AT210" s="326">
        <f t="shared" ref="AT210" si="787">V210*$E210</f>
        <v>0</v>
      </c>
      <c r="AU210" s="326">
        <f t="shared" ref="AU210" si="788">W210*$E210</f>
        <v>0</v>
      </c>
      <c r="AV210" s="330">
        <f t="shared" ref="AV210" si="789">X210*$E210</f>
        <v>0</v>
      </c>
      <c r="AW210" s="330">
        <f t="shared" ref="AW210" si="790">Y210*$E210</f>
        <v>0</v>
      </c>
      <c r="AX210" s="326">
        <f t="shared" ref="AX210" si="791">Z210*$E210</f>
        <v>232.14</v>
      </c>
      <c r="AY210" s="330">
        <f t="shared" ref="AY210" si="792">AA210*$E210</f>
        <v>0</v>
      </c>
      <c r="AZ210" s="330">
        <f t="shared" ref="AZ210" si="793">AB210*$E210</f>
        <v>0</v>
      </c>
      <c r="BA210" s="330"/>
      <c r="BB210" s="330">
        <f t="shared" si="717"/>
        <v>0</v>
      </c>
      <c r="BC210" s="330">
        <f t="shared" si="717"/>
        <v>0</v>
      </c>
      <c r="BD210" s="330">
        <f t="shared" si="717"/>
        <v>0</v>
      </c>
      <c r="BE210" s="330">
        <f t="shared" si="717"/>
        <v>0</v>
      </c>
      <c r="BF210" s="330">
        <f t="shared" si="717"/>
        <v>0</v>
      </c>
      <c r="BG210" s="330">
        <f t="shared" si="717"/>
        <v>0</v>
      </c>
      <c r="BH210" s="330">
        <f t="shared" si="717"/>
        <v>0</v>
      </c>
      <c r="BI210" s="330">
        <f t="shared" si="717"/>
        <v>0</v>
      </c>
      <c r="BJ210" s="330">
        <f t="shared" si="717"/>
        <v>0</v>
      </c>
      <c r="BK210" s="330">
        <f t="shared" si="717"/>
        <v>0</v>
      </c>
      <c r="BL210" s="330">
        <f t="shared" si="717"/>
        <v>0</v>
      </c>
      <c r="BM210" s="330">
        <f t="shared" si="717"/>
        <v>0</v>
      </c>
      <c r="BN210" s="330">
        <f t="shared" si="717"/>
        <v>0</v>
      </c>
      <c r="BO210" s="330">
        <f t="shared" si="717"/>
        <v>0</v>
      </c>
      <c r="BP210" s="330">
        <f t="shared" si="717"/>
        <v>0</v>
      </c>
      <c r="BQ210" s="330">
        <f t="shared" si="717"/>
        <v>0</v>
      </c>
      <c r="BR210" s="330">
        <f t="shared" si="717"/>
        <v>0</v>
      </c>
      <c r="BS210" s="330">
        <f t="shared" si="717"/>
        <v>0</v>
      </c>
      <c r="BT210" s="326">
        <f t="shared" si="717"/>
        <v>0</v>
      </c>
      <c r="BU210" s="330">
        <f t="shared" si="717"/>
        <v>232.14</v>
      </c>
      <c r="BV210" s="330">
        <f t="shared" si="718"/>
        <v>0</v>
      </c>
      <c r="BW210" s="330">
        <f t="shared" si="718"/>
        <v>0</v>
      </c>
      <c r="BX210" s="351">
        <f t="shared" ref="BX210" si="794">SUM(AE210:AZ210)-SUM(BB210:BW210)</f>
        <v>0</v>
      </c>
      <c r="BY210" s="378">
        <f t="shared" ref="BY210" si="795">E210-SUM(BB210:BW210)</f>
        <v>0</v>
      </c>
      <c r="BZ210" s="378">
        <f t="shared" ref="BZ210" si="796">+E210-SUM(AE210:AZ210)</f>
        <v>0</v>
      </c>
    </row>
    <row r="211" spans="1:80" s="234" customFormat="1" ht="15" customHeight="1">
      <c r="A211" s="234" t="s">
        <v>140</v>
      </c>
      <c r="C211" s="235"/>
      <c r="D211" s="328"/>
      <c r="E211" s="326">
        <v>499.99</v>
      </c>
      <c r="F211" s="328" t="s">
        <v>250</v>
      </c>
      <c r="G211" s="388"/>
      <c r="H211" s="388"/>
      <c r="I211" s="388"/>
      <c r="J211" s="329"/>
      <c r="K211" s="329">
        <v>0</v>
      </c>
      <c r="L211" s="329"/>
      <c r="M211" s="329"/>
      <c r="N211" s="329"/>
      <c r="O211" s="388"/>
      <c r="P211" s="388"/>
      <c r="Q211" s="388">
        <v>0</v>
      </c>
      <c r="R211" s="389">
        <v>0</v>
      </c>
      <c r="S211" s="389">
        <v>0</v>
      </c>
      <c r="T211" s="389">
        <v>0</v>
      </c>
      <c r="U211" s="389">
        <v>0</v>
      </c>
      <c r="V211" s="329">
        <v>0</v>
      </c>
      <c r="W211" s="389">
        <v>0</v>
      </c>
      <c r="X211" s="389">
        <v>0</v>
      </c>
      <c r="Y211" s="389">
        <v>1</v>
      </c>
      <c r="Z211" s="389">
        <v>0</v>
      </c>
      <c r="AA211" s="389">
        <v>0</v>
      </c>
      <c r="AB211" s="389">
        <v>0</v>
      </c>
      <c r="AC211" s="387">
        <f t="shared" ref="AC211" si="797">SUM(G211:AB211)</f>
        <v>1</v>
      </c>
      <c r="AD211" s="328"/>
      <c r="AE211" s="386">
        <f t="shared" ref="AE211" si="798">G211*$E211</f>
        <v>0</v>
      </c>
      <c r="AF211" s="326">
        <f t="shared" ref="AF211" si="799">H211*$E211</f>
        <v>0</v>
      </c>
      <c r="AG211" s="386">
        <f t="shared" ref="AG211" si="800">I211*$E211</f>
        <v>0</v>
      </c>
      <c r="AH211" s="386">
        <f t="shared" ref="AH211" si="801">J211*$E211</f>
        <v>0</v>
      </c>
      <c r="AI211" s="386">
        <f t="shared" ref="AI211" si="802">K211*$E211</f>
        <v>0</v>
      </c>
      <c r="AJ211" s="386">
        <f t="shared" ref="AJ211" si="803">L211*$E211</f>
        <v>0</v>
      </c>
      <c r="AK211" s="386">
        <f t="shared" ref="AK211" si="804">M211*$E211</f>
        <v>0</v>
      </c>
      <c r="AL211" s="386">
        <f t="shared" ref="AL211" si="805">N211*$E211</f>
        <v>0</v>
      </c>
      <c r="AM211" s="386">
        <f t="shared" ref="AM211" si="806">O211*$E211</f>
        <v>0</v>
      </c>
      <c r="AN211" s="326">
        <f t="shared" ref="AN211" si="807">P211*$E211</f>
        <v>0</v>
      </c>
      <c r="AO211" s="393">
        <f t="shared" ref="AO211" si="808">Q211*$E211</f>
        <v>0</v>
      </c>
      <c r="AP211" s="326">
        <f t="shared" ref="AP211" si="809">R211*$E211</f>
        <v>0</v>
      </c>
      <c r="AQ211" s="326">
        <f t="shared" ref="AQ211" si="810">S211*$E211</f>
        <v>0</v>
      </c>
      <c r="AR211" s="326">
        <f t="shared" ref="AR211" si="811">T211*$E211</f>
        <v>0</v>
      </c>
      <c r="AS211" s="326">
        <f t="shared" ref="AS211" si="812">U211*$E211</f>
        <v>0</v>
      </c>
      <c r="AT211" s="326">
        <f t="shared" ref="AT211" si="813">V211*$E211</f>
        <v>0</v>
      </c>
      <c r="AU211" s="326">
        <f t="shared" ref="AU211" si="814">W211*$E211</f>
        <v>0</v>
      </c>
      <c r="AV211" s="330">
        <f t="shared" ref="AV211" si="815">X211*$E211</f>
        <v>0</v>
      </c>
      <c r="AW211" s="330">
        <f t="shared" ref="AW211" si="816">Y211*$E211</f>
        <v>499.99</v>
      </c>
      <c r="AX211" s="326">
        <f t="shared" ref="AX211" si="817">Z211*$E211</f>
        <v>0</v>
      </c>
      <c r="AY211" s="330">
        <f t="shared" ref="AY211" si="818">AA211*$E211</f>
        <v>0</v>
      </c>
      <c r="AZ211" s="330">
        <f t="shared" ref="AZ211" si="819">AB211*$E211</f>
        <v>0</v>
      </c>
      <c r="BA211" s="330"/>
      <c r="BB211" s="330">
        <f t="shared" si="717"/>
        <v>0</v>
      </c>
      <c r="BC211" s="330">
        <f t="shared" si="717"/>
        <v>0</v>
      </c>
      <c r="BD211" s="330">
        <f t="shared" si="717"/>
        <v>0</v>
      </c>
      <c r="BE211" s="330">
        <f t="shared" si="717"/>
        <v>0</v>
      </c>
      <c r="BF211" s="330">
        <f t="shared" si="717"/>
        <v>0</v>
      </c>
      <c r="BG211" s="330">
        <f t="shared" si="717"/>
        <v>0</v>
      </c>
      <c r="BH211" s="330">
        <f t="shared" si="717"/>
        <v>0</v>
      </c>
      <c r="BI211" s="330">
        <f t="shared" si="717"/>
        <v>0</v>
      </c>
      <c r="BJ211" s="330">
        <f t="shared" si="717"/>
        <v>0</v>
      </c>
      <c r="BK211" s="330">
        <f t="shared" si="717"/>
        <v>0</v>
      </c>
      <c r="BL211" s="330">
        <f t="shared" si="717"/>
        <v>0</v>
      </c>
      <c r="BM211" s="330">
        <f t="shared" si="717"/>
        <v>0</v>
      </c>
      <c r="BN211" s="330">
        <f t="shared" si="717"/>
        <v>0</v>
      </c>
      <c r="BO211" s="330">
        <f t="shared" si="717"/>
        <v>0</v>
      </c>
      <c r="BP211" s="330">
        <f t="shared" si="717"/>
        <v>0</v>
      </c>
      <c r="BQ211" s="330">
        <f t="shared" si="717"/>
        <v>0</v>
      </c>
      <c r="BR211" s="330">
        <f t="shared" si="717"/>
        <v>0</v>
      </c>
      <c r="BS211" s="330">
        <f t="shared" si="717"/>
        <v>0</v>
      </c>
      <c r="BT211" s="545">
        <f t="shared" si="717"/>
        <v>499.99</v>
      </c>
      <c r="BU211" s="330">
        <f t="shared" si="717"/>
        <v>0</v>
      </c>
      <c r="BV211" s="330">
        <f t="shared" si="718"/>
        <v>0</v>
      </c>
      <c r="BW211" s="330">
        <f t="shared" si="718"/>
        <v>0</v>
      </c>
      <c r="BX211" s="351">
        <f t="shared" ref="BX211" si="820">SUM(AE211:AZ211)-SUM(BB211:BW211)</f>
        <v>0</v>
      </c>
      <c r="BY211" s="378">
        <f t="shared" ref="BY211" si="821">E211-SUM(BB211:BW211)</f>
        <v>0</v>
      </c>
      <c r="BZ211" s="378">
        <f t="shared" ref="BZ211" si="822">+E211-SUM(AE211:AZ211)</f>
        <v>0</v>
      </c>
    </row>
    <row r="212" spans="1:80" s="234" customFormat="1" ht="15" customHeight="1">
      <c r="A212" s="234" t="s">
        <v>140</v>
      </c>
      <c r="C212" s="235"/>
      <c r="D212" s="328"/>
      <c r="E212" s="326">
        <v>1426.15</v>
      </c>
      <c r="F212" s="328" t="s">
        <v>250</v>
      </c>
      <c r="G212" s="388"/>
      <c r="H212" s="388"/>
      <c r="I212" s="388"/>
      <c r="J212" s="329"/>
      <c r="K212" s="329">
        <v>0</v>
      </c>
      <c r="L212" s="329"/>
      <c r="M212" s="329"/>
      <c r="N212" s="329"/>
      <c r="O212" s="388"/>
      <c r="P212" s="388"/>
      <c r="Q212" s="388">
        <v>0</v>
      </c>
      <c r="R212" s="389">
        <v>0</v>
      </c>
      <c r="S212" s="389">
        <v>0</v>
      </c>
      <c r="T212" s="389">
        <v>0</v>
      </c>
      <c r="U212" s="389">
        <v>0</v>
      </c>
      <c r="V212" s="329">
        <v>0</v>
      </c>
      <c r="W212" s="389">
        <v>0</v>
      </c>
      <c r="X212" s="389">
        <v>0</v>
      </c>
      <c r="Y212" s="389">
        <v>0</v>
      </c>
      <c r="Z212" s="389">
        <v>1</v>
      </c>
      <c r="AA212" s="389">
        <v>0</v>
      </c>
      <c r="AB212" s="389">
        <v>0</v>
      </c>
      <c r="AC212" s="387">
        <f t="shared" ref="AC212:AC213" si="823">SUM(G212:AB212)</f>
        <v>1</v>
      </c>
      <c r="AD212" s="328"/>
      <c r="AE212" s="386">
        <f t="shared" ref="AE212:AE213" si="824">G212*$E212</f>
        <v>0</v>
      </c>
      <c r="AF212" s="326">
        <f t="shared" ref="AF212:AF213" si="825">H212*$E212</f>
        <v>0</v>
      </c>
      <c r="AG212" s="386">
        <f t="shared" ref="AG212:AG213" si="826">I212*$E212</f>
        <v>0</v>
      </c>
      <c r="AH212" s="386">
        <f t="shared" ref="AH212:AH213" si="827">J212*$E212</f>
        <v>0</v>
      </c>
      <c r="AI212" s="386">
        <f t="shared" ref="AI212:AI213" si="828">K212*$E212</f>
        <v>0</v>
      </c>
      <c r="AJ212" s="386">
        <f t="shared" ref="AJ212:AJ213" si="829">L212*$E212</f>
        <v>0</v>
      </c>
      <c r="AK212" s="386">
        <f t="shared" ref="AK212:AK213" si="830">M212*$E212</f>
        <v>0</v>
      </c>
      <c r="AL212" s="386">
        <f t="shared" ref="AL212:AL213" si="831">N212*$E212</f>
        <v>0</v>
      </c>
      <c r="AM212" s="386">
        <f t="shared" ref="AM212:AM213" si="832">O212*$E212</f>
        <v>0</v>
      </c>
      <c r="AN212" s="326">
        <f t="shared" ref="AN212:AN213" si="833">P212*$E212</f>
        <v>0</v>
      </c>
      <c r="AO212" s="393">
        <f t="shared" ref="AO212:AO213" si="834">Q212*$E212</f>
        <v>0</v>
      </c>
      <c r="AP212" s="326">
        <f t="shared" ref="AP212:AP213" si="835">R212*$E212</f>
        <v>0</v>
      </c>
      <c r="AQ212" s="326">
        <f t="shared" ref="AQ212:AQ213" si="836">S212*$E212</f>
        <v>0</v>
      </c>
      <c r="AR212" s="326">
        <f t="shared" ref="AR212:AR213" si="837">T212*$E212</f>
        <v>0</v>
      </c>
      <c r="AS212" s="326">
        <f t="shared" ref="AS212:AS213" si="838">U212*$E212</f>
        <v>0</v>
      </c>
      <c r="AT212" s="326">
        <f t="shared" ref="AT212:AT213" si="839">V212*$E212</f>
        <v>0</v>
      </c>
      <c r="AU212" s="326">
        <f t="shared" ref="AU212:AU213" si="840">W212*$E212</f>
        <v>0</v>
      </c>
      <c r="AV212" s="330">
        <f t="shared" ref="AV212:AV213" si="841">X212*$E212</f>
        <v>0</v>
      </c>
      <c r="AW212" s="330">
        <f t="shared" ref="AW212:AW213" si="842">Y212*$E212</f>
        <v>0</v>
      </c>
      <c r="AX212" s="326">
        <f t="shared" ref="AX212:AX213" si="843">Z212*$E212</f>
        <v>1426.15</v>
      </c>
      <c r="AY212" s="330">
        <f t="shared" ref="AY212:AY213" si="844">AA212*$E212</f>
        <v>0</v>
      </c>
      <c r="AZ212" s="330">
        <f t="shared" ref="AZ212:AZ213" si="845">AB212*$E212</f>
        <v>0</v>
      </c>
      <c r="BA212" s="330"/>
      <c r="BB212" s="330">
        <f t="shared" si="717"/>
        <v>0</v>
      </c>
      <c r="BC212" s="330">
        <f t="shared" si="717"/>
        <v>0</v>
      </c>
      <c r="BD212" s="330">
        <f t="shared" si="717"/>
        <v>0</v>
      </c>
      <c r="BE212" s="330">
        <f t="shared" si="717"/>
        <v>0</v>
      </c>
      <c r="BF212" s="330">
        <f t="shared" si="717"/>
        <v>0</v>
      </c>
      <c r="BG212" s="330">
        <f t="shared" si="717"/>
        <v>0</v>
      </c>
      <c r="BH212" s="330">
        <f t="shared" si="717"/>
        <v>0</v>
      </c>
      <c r="BI212" s="330">
        <f t="shared" si="717"/>
        <v>0</v>
      </c>
      <c r="BJ212" s="330">
        <f t="shared" si="717"/>
        <v>0</v>
      </c>
      <c r="BK212" s="330">
        <f t="shared" si="717"/>
        <v>0</v>
      </c>
      <c r="BL212" s="330">
        <f t="shared" si="717"/>
        <v>0</v>
      </c>
      <c r="BM212" s="330">
        <f t="shared" si="717"/>
        <v>0</v>
      </c>
      <c r="BN212" s="330">
        <f t="shared" si="717"/>
        <v>0</v>
      </c>
      <c r="BO212" s="330">
        <f t="shared" si="717"/>
        <v>0</v>
      </c>
      <c r="BP212" s="330">
        <f t="shared" si="717"/>
        <v>0</v>
      </c>
      <c r="BQ212" s="330">
        <f t="shared" si="717"/>
        <v>0</v>
      </c>
      <c r="BR212" s="330">
        <f t="shared" si="717"/>
        <v>0</v>
      </c>
      <c r="BS212" s="330">
        <f t="shared" si="717"/>
        <v>0</v>
      </c>
      <c r="BT212" s="545">
        <f t="shared" si="717"/>
        <v>1426.15</v>
      </c>
      <c r="BU212" s="330">
        <f t="shared" si="717"/>
        <v>0</v>
      </c>
      <c r="BV212" s="330">
        <f t="shared" si="718"/>
        <v>0</v>
      </c>
      <c r="BW212" s="330">
        <f t="shared" si="718"/>
        <v>0</v>
      </c>
      <c r="BX212" s="351">
        <f t="shared" ref="BX212" si="846">SUM(AE212:AZ212)-SUM(BB212:BW212)</f>
        <v>0</v>
      </c>
      <c r="BY212" s="378">
        <f t="shared" ref="BY212:BY213" si="847">E212-SUM(BB212:BW212)</f>
        <v>0</v>
      </c>
      <c r="BZ212" s="378">
        <f t="shared" ref="BZ212:BZ213" si="848">+E212-SUM(AE212:AZ212)</f>
        <v>0</v>
      </c>
    </row>
    <row r="213" spans="1:80" s="234" customFormat="1" ht="15" customHeight="1">
      <c r="A213" s="234" t="s">
        <v>140</v>
      </c>
      <c r="C213" s="235"/>
      <c r="D213" s="328"/>
      <c r="E213" s="326">
        <v>11000</v>
      </c>
      <c r="F213" s="328" t="s">
        <v>267</v>
      </c>
      <c r="G213" s="388"/>
      <c r="H213" s="388"/>
      <c r="I213" s="388"/>
      <c r="J213" s="329"/>
      <c r="K213" s="329">
        <v>0</v>
      </c>
      <c r="L213" s="329"/>
      <c r="M213" s="329"/>
      <c r="N213" s="329"/>
      <c r="O213" s="388"/>
      <c r="P213" s="388"/>
      <c r="Q213" s="388">
        <v>0</v>
      </c>
      <c r="R213" s="389">
        <v>0</v>
      </c>
      <c r="S213" s="389">
        <v>0</v>
      </c>
      <c r="T213" s="389">
        <v>0</v>
      </c>
      <c r="U213" s="389">
        <v>0</v>
      </c>
      <c r="V213" s="329">
        <v>0</v>
      </c>
      <c r="W213" s="389">
        <v>0</v>
      </c>
      <c r="X213" s="389">
        <v>0</v>
      </c>
      <c r="Y213" s="389">
        <v>0</v>
      </c>
      <c r="Z213" s="389">
        <v>0</v>
      </c>
      <c r="AA213" s="389">
        <v>0.5</v>
      </c>
      <c r="AB213" s="389">
        <v>0.5</v>
      </c>
      <c r="AC213" s="387">
        <f t="shared" si="823"/>
        <v>1</v>
      </c>
      <c r="AD213" s="328"/>
      <c r="AE213" s="386">
        <f t="shared" si="824"/>
        <v>0</v>
      </c>
      <c r="AF213" s="326">
        <f t="shared" si="825"/>
        <v>0</v>
      </c>
      <c r="AG213" s="386">
        <f t="shared" si="826"/>
        <v>0</v>
      </c>
      <c r="AH213" s="386">
        <f t="shared" si="827"/>
        <v>0</v>
      </c>
      <c r="AI213" s="386">
        <f t="shared" si="828"/>
        <v>0</v>
      </c>
      <c r="AJ213" s="386">
        <f t="shared" si="829"/>
        <v>0</v>
      </c>
      <c r="AK213" s="386">
        <f t="shared" si="830"/>
        <v>0</v>
      </c>
      <c r="AL213" s="386">
        <f t="shared" si="831"/>
        <v>0</v>
      </c>
      <c r="AM213" s="386">
        <f t="shared" si="832"/>
        <v>0</v>
      </c>
      <c r="AN213" s="326">
        <f t="shared" si="833"/>
        <v>0</v>
      </c>
      <c r="AO213" s="393">
        <f t="shared" si="834"/>
        <v>0</v>
      </c>
      <c r="AP213" s="326">
        <f t="shared" si="835"/>
        <v>0</v>
      </c>
      <c r="AQ213" s="326">
        <f t="shared" si="836"/>
        <v>0</v>
      </c>
      <c r="AR213" s="326">
        <f t="shared" si="837"/>
        <v>0</v>
      </c>
      <c r="AS213" s="326">
        <f t="shared" si="838"/>
        <v>0</v>
      </c>
      <c r="AT213" s="326">
        <f t="shared" si="839"/>
        <v>0</v>
      </c>
      <c r="AU213" s="326">
        <f t="shared" si="840"/>
        <v>0</v>
      </c>
      <c r="AV213" s="330">
        <f t="shared" si="841"/>
        <v>0</v>
      </c>
      <c r="AW213" s="330">
        <f t="shared" si="842"/>
        <v>0</v>
      </c>
      <c r="AX213" s="330">
        <f t="shared" si="843"/>
        <v>0</v>
      </c>
      <c r="AY213" s="326">
        <f t="shared" si="844"/>
        <v>5500</v>
      </c>
      <c r="AZ213" s="330">
        <f t="shared" si="845"/>
        <v>5500</v>
      </c>
      <c r="BA213" s="330"/>
      <c r="BB213" s="330">
        <f t="shared" si="717"/>
        <v>0</v>
      </c>
      <c r="BC213" s="330">
        <f t="shared" si="717"/>
        <v>0</v>
      </c>
      <c r="BD213" s="330">
        <f t="shared" si="717"/>
        <v>0</v>
      </c>
      <c r="BE213" s="330">
        <f t="shared" si="717"/>
        <v>0</v>
      </c>
      <c r="BF213" s="330">
        <f t="shared" si="717"/>
        <v>0</v>
      </c>
      <c r="BG213" s="330">
        <f t="shared" si="717"/>
        <v>0</v>
      </c>
      <c r="BH213" s="330">
        <f t="shared" si="717"/>
        <v>0</v>
      </c>
      <c r="BI213" s="330">
        <f t="shared" si="717"/>
        <v>0</v>
      </c>
      <c r="BJ213" s="330">
        <f t="shared" si="717"/>
        <v>0</v>
      </c>
      <c r="BK213" s="330">
        <f t="shared" si="717"/>
        <v>0</v>
      </c>
      <c r="BL213" s="330">
        <f t="shared" si="717"/>
        <v>0</v>
      </c>
      <c r="BM213" s="330">
        <f t="shared" si="717"/>
        <v>0</v>
      </c>
      <c r="BN213" s="330">
        <f t="shared" si="717"/>
        <v>0</v>
      </c>
      <c r="BO213" s="330">
        <f t="shared" si="717"/>
        <v>0</v>
      </c>
      <c r="BP213" s="330">
        <f t="shared" si="717"/>
        <v>0</v>
      </c>
      <c r="BQ213" s="330">
        <f t="shared" si="717"/>
        <v>0</v>
      </c>
      <c r="BR213" s="330">
        <f t="shared" si="717"/>
        <v>0</v>
      </c>
      <c r="BS213" s="330">
        <f t="shared" si="717"/>
        <v>0</v>
      </c>
      <c r="BT213" s="330">
        <f t="shared" si="717"/>
        <v>0</v>
      </c>
      <c r="BU213" s="330">
        <f t="shared" si="717"/>
        <v>0</v>
      </c>
      <c r="BV213" s="330">
        <f t="shared" si="718"/>
        <v>11000</v>
      </c>
      <c r="BW213" s="330">
        <f t="shared" si="718"/>
        <v>0</v>
      </c>
      <c r="BX213" s="351">
        <f t="shared" ref="BX213" si="849">SUM(AE213:AZ213)-SUM(BB213:BW213)</f>
        <v>0</v>
      </c>
      <c r="BY213" s="378">
        <f t="shared" si="847"/>
        <v>0</v>
      </c>
      <c r="BZ213" s="378">
        <f t="shared" si="848"/>
        <v>0</v>
      </c>
    </row>
    <row r="214" spans="1:80" s="234" customFormat="1" ht="14.45" customHeight="1">
      <c r="A214" s="234" t="s">
        <v>140</v>
      </c>
      <c r="B214" s="234" t="s">
        <v>296</v>
      </c>
      <c r="C214" s="235"/>
      <c r="D214" s="328"/>
      <c r="E214" s="326">
        <v>55000</v>
      </c>
      <c r="F214" s="328" t="s">
        <v>267</v>
      </c>
      <c r="G214" s="388"/>
      <c r="H214" s="388"/>
      <c r="I214" s="388"/>
      <c r="J214" s="329"/>
      <c r="K214" s="329">
        <v>0</v>
      </c>
      <c r="L214" s="329"/>
      <c r="M214" s="329"/>
      <c r="N214" s="329"/>
      <c r="O214" s="388"/>
      <c r="P214" s="388"/>
      <c r="Q214" s="388">
        <v>0</v>
      </c>
      <c r="R214" s="389">
        <v>0</v>
      </c>
      <c r="S214" s="389">
        <v>0</v>
      </c>
      <c r="T214" s="389">
        <v>0</v>
      </c>
      <c r="U214" s="389">
        <v>0</v>
      </c>
      <c r="V214" s="329">
        <v>0</v>
      </c>
      <c r="W214" s="389">
        <v>0</v>
      </c>
      <c r="X214" s="389">
        <v>0</v>
      </c>
      <c r="Y214" s="389">
        <v>0</v>
      </c>
      <c r="Z214" s="389">
        <v>0</v>
      </c>
      <c r="AA214" s="389">
        <v>0</v>
      </c>
      <c r="AB214" s="389">
        <v>1</v>
      </c>
      <c r="AC214" s="387">
        <f t="shared" si="719"/>
        <v>1</v>
      </c>
      <c r="AD214" s="328"/>
      <c r="AE214" s="386">
        <f t="shared" si="720"/>
        <v>0</v>
      </c>
      <c r="AF214" s="326">
        <f t="shared" si="721"/>
        <v>0</v>
      </c>
      <c r="AG214" s="386">
        <f t="shared" si="722"/>
        <v>0</v>
      </c>
      <c r="AH214" s="386">
        <f t="shared" si="723"/>
        <v>0</v>
      </c>
      <c r="AI214" s="386">
        <f t="shared" si="724"/>
        <v>0</v>
      </c>
      <c r="AJ214" s="386">
        <f t="shared" si="725"/>
        <v>0</v>
      </c>
      <c r="AK214" s="386">
        <f t="shared" si="726"/>
        <v>0</v>
      </c>
      <c r="AL214" s="386">
        <f t="shared" si="727"/>
        <v>0</v>
      </c>
      <c r="AM214" s="386">
        <f t="shared" si="728"/>
        <v>0</v>
      </c>
      <c r="AN214" s="326">
        <f t="shared" si="729"/>
        <v>0</v>
      </c>
      <c r="AO214" s="393">
        <f t="shared" si="730"/>
        <v>0</v>
      </c>
      <c r="AP214" s="326">
        <f t="shared" si="731"/>
        <v>0</v>
      </c>
      <c r="AQ214" s="326">
        <f t="shared" si="732"/>
        <v>0</v>
      </c>
      <c r="AR214" s="326">
        <f t="shared" si="733"/>
        <v>0</v>
      </c>
      <c r="AS214" s="326">
        <f t="shared" si="734"/>
        <v>0</v>
      </c>
      <c r="AT214" s="326">
        <f t="shared" si="735"/>
        <v>0</v>
      </c>
      <c r="AU214" s="326">
        <f t="shared" si="736"/>
        <v>0</v>
      </c>
      <c r="AV214" s="330">
        <f t="shared" si="737"/>
        <v>0</v>
      </c>
      <c r="AW214" s="330">
        <f t="shared" si="738"/>
        <v>0</v>
      </c>
      <c r="AX214" s="330">
        <f t="shared" si="739"/>
        <v>0</v>
      </c>
      <c r="AY214" s="330">
        <f t="shared" si="740"/>
        <v>0</v>
      </c>
      <c r="AZ214" s="330">
        <f t="shared" si="741"/>
        <v>55000</v>
      </c>
      <c r="BA214" s="330"/>
      <c r="BB214" s="330">
        <f t="shared" si="717"/>
        <v>0</v>
      </c>
      <c r="BC214" s="330">
        <f t="shared" si="717"/>
        <v>0</v>
      </c>
      <c r="BD214" s="330">
        <f t="shared" si="717"/>
        <v>0</v>
      </c>
      <c r="BE214" s="330">
        <f t="shared" si="717"/>
        <v>0</v>
      </c>
      <c r="BF214" s="330">
        <f t="shared" si="717"/>
        <v>0</v>
      </c>
      <c r="BG214" s="330">
        <f t="shared" si="717"/>
        <v>0</v>
      </c>
      <c r="BH214" s="330">
        <f t="shared" si="717"/>
        <v>0</v>
      </c>
      <c r="BI214" s="330">
        <f t="shared" si="717"/>
        <v>0</v>
      </c>
      <c r="BJ214" s="330">
        <f t="shared" si="717"/>
        <v>0</v>
      </c>
      <c r="BK214" s="330">
        <f t="shared" si="717"/>
        <v>0</v>
      </c>
      <c r="BL214" s="330">
        <f t="shared" si="717"/>
        <v>0</v>
      </c>
      <c r="BM214" s="330">
        <f t="shared" si="717"/>
        <v>0</v>
      </c>
      <c r="BN214" s="330">
        <f t="shared" si="717"/>
        <v>0</v>
      </c>
      <c r="BO214" s="330">
        <f t="shared" si="717"/>
        <v>0</v>
      </c>
      <c r="BP214" s="330">
        <f t="shared" si="717"/>
        <v>0</v>
      </c>
      <c r="BQ214" s="330">
        <f t="shared" si="717"/>
        <v>0</v>
      </c>
      <c r="BR214" s="330">
        <f t="shared" si="717"/>
        <v>0</v>
      </c>
      <c r="BS214" s="330">
        <f t="shared" si="717"/>
        <v>0</v>
      </c>
      <c r="BT214" s="330">
        <f t="shared" si="717"/>
        <v>0</v>
      </c>
      <c r="BU214" s="330">
        <f t="shared" si="717"/>
        <v>0</v>
      </c>
      <c r="BV214" s="330">
        <f t="shared" si="718"/>
        <v>55000</v>
      </c>
      <c r="BW214" s="330">
        <f t="shared" si="718"/>
        <v>0</v>
      </c>
      <c r="BX214" s="351">
        <f t="shared" si="742"/>
        <v>0</v>
      </c>
      <c r="BY214" s="378">
        <f t="shared" si="743"/>
        <v>0</v>
      </c>
      <c r="BZ214" s="378">
        <f t="shared" si="744"/>
        <v>0</v>
      </c>
    </row>
    <row r="215" spans="1:80" s="234" customFormat="1" ht="14.45" customHeight="1">
      <c r="A215" s="234" t="s">
        <v>125</v>
      </c>
      <c r="D215" s="328"/>
      <c r="E215" s="386">
        <v>318.43</v>
      </c>
      <c r="F215" s="403" t="s">
        <v>209</v>
      </c>
      <c r="G215" s="388"/>
      <c r="H215" s="388"/>
      <c r="I215" s="388"/>
      <c r="J215" s="388"/>
      <c r="K215" s="388"/>
      <c r="L215" s="329">
        <v>0</v>
      </c>
      <c r="M215" s="329">
        <v>0</v>
      </c>
      <c r="N215" s="329">
        <v>1</v>
      </c>
      <c r="O215" s="329">
        <v>0</v>
      </c>
      <c r="P215" s="329">
        <v>0</v>
      </c>
      <c r="Q215" s="329">
        <v>0</v>
      </c>
      <c r="R215" s="329">
        <v>0</v>
      </c>
      <c r="S215" s="329">
        <v>0</v>
      </c>
      <c r="T215" s="329">
        <v>0</v>
      </c>
      <c r="U215" s="329">
        <v>0</v>
      </c>
      <c r="V215" s="329">
        <v>0</v>
      </c>
      <c r="W215" s="329"/>
      <c r="X215" s="329"/>
      <c r="Y215" s="329"/>
      <c r="Z215" s="329"/>
      <c r="AA215" s="329"/>
      <c r="AB215" s="329"/>
      <c r="AC215" s="387">
        <f t="shared" ref="AC215:AC216" si="850">SUM(G215:AB215)</f>
        <v>1</v>
      </c>
      <c r="AD215" s="328"/>
      <c r="AE215" s="326">
        <f t="shared" si="714"/>
        <v>0</v>
      </c>
      <c r="AF215" s="326">
        <f t="shared" si="714"/>
        <v>0</v>
      </c>
      <c r="AG215" s="326">
        <f t="shared" si="714"/>
        <v>0</v>
      </c>
      <c r="AH215" s="326">
        <f t="shared" si="714"/>
        <v>0</v>
      </c>
      <c r="AI215" s="326">
        <f t="shared" si="714"/>
        <v>0</v>
      </c>
      <c r="AJ215" s="326">
        <f t="shared" si="714"/>
        <v>0</v>
      </c>
      <c r="AK215" s="326">
        <f t="shared" si="714"/>
        <v>0</v>
      </c>
      <c r="AL215" s="326">
        <f t="shared" si="714"/>
        <v>318.43</v>
      </c>
      <c r="AM215" s="326">
        <f t="shared" si="714"/>
        <v>0</v>
      </c>
      <c r="AN215" s="326">
        <f t="shared" si="714"/>
        <v>0</v>
      </c>
      <c r="AO215" s="326">
        <f t="shared" si="715"/>
        <v>0</v>
      </c>
      <c r="AP215" s="326">
        <f t="shared" si="715"/>
        <v>0</v>
      </c>
      <c r="AQ215" s="326">
        <f t="shared" si="715"/>
        <v>0</v>
      </c>
      <c r="AR215" s="326">
        <f t="shared" si="715"/>
        <v>0</v>
      </c>
      <c r="AS215" s="326">
        <f t="shared" si="715"/>
        <v>0</v>
      </c>
      <c r="AT215" s="326">
        <f t="shared" si="715"/>
        <v>0</v>
      </c>
      <c r="AU215" s="326">
        <f t="shared" si="715"/>
        <v>0</v>
      </c>
      <c r="AV215" s="326">
        <f t="shared" si="715"/>
        <v>0</v>
      </c>
      <c r="AW215" s="326">
        <f t="shared" si="715"/>
        <v>0</v>
      </c>
      <c r="AX215" s="326">
        <f t="shared" si="716"/>
        <v>0</v>
      </c>
      <c r="AY215" s="326">
        <f t="shared" si="716"/>
        <v>0</v>
      </c>
      <c r="AZ215" s="326">
        <f t="shared" si="716"/>
        <v>0</v>
      </c>
      <c r="BA215" s="330"/>
      <c r="BB215" s="330">
        <f>IF(BB$191=$F215,SUM(AE215:AH215),0)</f>
        <v>0</v>
      </c>
      <c r="BC215" s="330">
        <f>IF(BC$191=$F215,SUM(AF215:AI215),0)</f>
        <v>0</v>
      </c>
      <c r="BD215" s="330">
        <f t="shared" ref="BD215:BS216" si="851">IF(BD$3=$F215,$E215,0)</f>
        <v>0</v>
      </c>
      <c r="BE215" s="330">
        <f t="shared" si="851"/>
        <v>0</v>
      </c>
      <c r="BF215" s="330">
        <f t="shared" si="851"/>
        <v>0</v>
      </c>
      <c r="BG215" s="330">
        <f t="shared" si="851"/>
        <v>0</v>
      </c>
      <c r="BH215" s="330">
        <f t="shared" si="851"/>
        <v>0</v>
      </c>
      <c r="BI215" s="386">
        <f t="shared" si="851"/>
        <v>318.43</v>
      </c>
      <c r="BJ215" s="330">
        <f t="shared" si="851"/>
        <v>0</v>
      </c>
      <c r="BK215" s="330">
        <f t="shared" si="851"/>
        <v>0</v>
      </c>
      <c r="BL215" s="330">
        <f t="shared" si="851"/>
        <v>0</v>
      </c>
      <c r="BM215" s="330">
        <f t="shared" si="851"/>
        <v>0</v>
      </c>
      <c r="BN215" s="330">
        <f t="shared" si="851"/>
        <v>0</v>
      </c>
      <c r="BO215" s="330">
        <f t="shared" si="851"/>
        <v>0</v>
      </c>
      <c r="BP215" s="330">
        <f t="shared" si="851"/>
        <v>0</v>
      </c>
      <c r="BQ215" s="330">
        <f t="shared" si="851"/>
        <v>0</v>
      </c>
      <c r="BR215" s="326">
        <f t="shared" si="851"/>
        <v>0</v>
      </c>
      <c r="BS215" s="326">
        <f t="shared" si="851"/>
        <v>0</v>
      </c>
      <c r="BT215" s="326">
        <f t="shared" ref="BT215:BW216" si="852">IF(BT$3=$F215,$E215,0)</f>
        <v>0</v>
      </c>
      <c r="BU215" s="330">
        <f t="shared" si="852"/>
        <v>0</v>
      </c>
      <c r="BV215" s="330">
        <f t="shared" si="852"/>
        <v>0</v>
      </c>
      <c r="BW215" s="330">
        <f t="shared" si="852"/>
        <v>0</v>
      </c>
      <c r="BX215" s="351">
        <f t="shared" ref="BX215:BX224" si="853">SUM(AE215:AZ215)-SUM(BB215:BW215)</f>
        <v>0</v>
      </c>
      <c r="BY215" s="378">
        <f t="shared" ref="BY215:BY224" si="854">E215-SUM(BB215:BW215)</f>
        <v>0</v>
      </c>
      <c r="BZ215" s="378">
        <f t="shared" ref="BZ215:BZ224" si="855">+E215-SUM(AE215:AZ215)</f>
        <v>0</v>
      </c>
    </row>
    <row r="216" spans="1:80" s="234" customFormat="1" ht="14.45" customHeight="1">
      <c r="A216" s="234" t="s">
        <v>125</v>
      </c>
      <c r="D216" s="328"/>
      <c r="E216" s="386">
        <v>884.24</v>
      </c>
      <c r="F216" s="403" t="s">
        <v>209</v>
      </c>
      <c r="G216" s="388"/>
      <c r="H216" s="388"/>
      <c r="I216" s="388"/>
      <c r="J216" s="388"/>
      <c r="K216" s="388"/>
      <c r="L216" s="329">
        <v>0</v>
      </c>
      <c r="M216" s="329">
        <v>0</v>
      </c>
      <c r="N216" s="329">
        <v>1</v>
      </c>
      <c r="O216" s="329">
        <v>0</v>
      </c>
      <c r="P216" s="329">
        <v>0</v>
      </c>
      <c r="Q216" s="329">
        <v>0</v>
      </c>
      <c r="R216" s="329">
        <v>0</v>
      </c>
      <c r="S216" s="329">
        <v>0</v>
      </c>
      <c r="T216" s="329">
        <v>0</v>
      </c>
      <c r="U216" s="329">
        <v>0</v>
      </c>
      <c r="V216" s="329">
        <v>0</v>
      </c>
      <c r="W216" s="329"/>
      <c r="X216" s="329"/>
      <c r="Y216" s="329"/>
      <c r="Z216" s="329"/>
      <c r="AA216" s="329"/>
      <c r="AB216" s="329"/>
      <c r="AC216" s="387">
        <f t="shared" si="850"/>
        <v>1</v>
      </c>
      <c r="AD216" s="328"/>
      <c r="AE216" s="326">
        <f t="shared" si="714"/>
        <v>0</v>
      </c>
      <c r="AF216" s="326">
        <f t="shared" si="714"/>
        <v>0</v>
      </c>
      <c r="AG216" s="326">
        <f t="shared" si="714"/>
        <v>0</v>
      </c>
      <c r="AH216" s="326">
        <f t="shared" si="714"/>
        <v>0</v>
      </c>
      <c r="AI216" s="326">
        <f t="shared" si="714"/>
        <v>0</v>
      </c>
      <c r="AJ216" s="326">
        <f t="shared" si="714"/>
        <v>0</v>
      </c>
      <c r="AK216" s="326">
        <f t="shared" si="714"/>
        <v>0</v>
      </c>
      <c r="AL216" s="326">
        <f t="shared" si="714"/>
        <v>884.24</v>
      </c>
      <c r="AM216" s="326">
        <f t="shared" si="714"/>
        <v>0</v>
      </c>
      <c r="AN216" s="326">
        <f t="shared" si="714"/>
        <v>0</v>
      </c>
      <c r="AO216" s="326">
        <f t="shared" si="715"/>
        <v>0</v>
      </c>
      <c r="AP216" s="326">
        <f t="shared" si="715"/>
        <v>0</v>
      </c>
      <c r="AQ216" s="326">
        <f t="shared" si="715"/>
        <v>0</v>
      </c>
      <c r="AR216" s="326">
        <f t="shared" si="715"/>
        <v>0</v>
      </c>
      <c r="AS216" s="326">
        <f t="shared" si="715"/>
        <v>0</v>
      </c>
      <c r="AT216" s="326">
        <f t="shared" si="715"/>
        <v>0</v>
      </c>
      <c r="AU216" s="326">
        <f t="shared" si="715"/>
        <v>0</v>
      </c>
      <c r="AV216" s="326">
        <f t="shared" si="715"/>
        <v>0</v>
      </c>
      <c r="AW216" s="326">
        <f t="shared" si="715"/>
        <v>0</v>
      </c>
      <c r="AX216" s="326">
        <f t="shared" si="716"/>
        <v>0</v>
      </c>
      <c r="AY216" s="326">
        <f t="shared" si="716"/>
        <v>0</v>
      </c>
      <c r="AZ216" s="326">
        <f t="shared" si="716"/>
        <v>0</v>
      </c>
      <c r="BA216" s="330"/>
      <c r="BB216" s="330">
        <f>IF(BB$191=$F216,SUM(AE216:AH216),0)</f>
        <v>0</v>
      </c>
      <c r="BC216" s="330">
        <f>IF(BC$191=$F216,SUM(AF216:AI216),0)</f>
        <v>0</v>
      </c>
      <c r="BD216" s="330">
        <f t="shared" si="851"/>
        <v>0</v>
      </c>
      <c r="BE216" s="330">
        <f t="shared" si="851"/>
        <v>0</v>
      </c>
      <c r="BF216" s="330">
        <f t="shared" si="851"/>
        <v>0</v>
      </c>
      <c r="BG216" s="330">
        <f t="shared" si="851"/>
        <v>0</v>
      </c>
      <c r="BH216" s="330">
        <f t="shared" si="851"/>
        <v>0</v>
      </c>
      <c r="BI216" s="330">
        <f t="shared" si="851"/>
        <v>884.24</v>
      </c>
      <c r="BJ216" s="330">
        <f t="shared" si="851"/>
        <v>0</v>
      </c>
      <c r="BK216" s="330">
        <f t="shared" si="851"/>
        <v>0</v>
      </c>
      <c r="BL216" s="330">
        <f t="shared" si="851"/>
        <v>0</v>
      </c>
      <c r="BM216" s="330">
        <f t="shared" si="851"/>
        <v>0</v>
      </c>
      <c r="BN216" s="330">
        <f t="shared" si="851"/>
        <v>0</v>
      </c>
      <c r="BO216" s="330">
        <f t="shared" si="851"/>
        <v>0</v>
      </c>
      <c r="BP216" s="330">
        <f t="shared" si="851"/>
        <v>0</v>
      </c>
      <c r="BQ216" s="330">
        <f t="shared" si="851"/>
        <v>0</v>
      </c>
      <c r="BR216" s="326">
        <f t="shared" si="851"/>
        <v>0</v>
      </c>
      <c r="BS216" s="326">
        <f t="shared" si="851"/>
        <v>0</v>
      </c>
      <c r="BT216" s="326">
        <f t="shared" si="852"/>
        <v>0</v>
      </c>
      <c r="BU216" s="330">
        <f t="shared" si="852"/>
        <v>0</v>
      </c>
      <c r="BV216" s="330">
        <f t="shared" si="852"/>
        <v>0</v>
      </c>
      <c r="BW216" s="330">
        <f t="shared" si="852"/>
        <v>0</v>
      </c>
      <c r="BX216" s="351">
        <f t="shared" si="853"/>
        <v>0</v>
      </c>
      <c r="BY216" s="378">
        <f t="shared" si="854"/>
        <v>0</v>
      </c>
      <c r="BZ216" s="378">
        <f t="shared" si="855"/>
        <v>0</v>
      </c>
    </row>
    <row r="217" spans="1:80" s="527" customFormat="1" ht="14.45" customHeight="1" outlineLevel="1">
      <c r="A217" s="527" t="s">
        <v>125</v>
      </c>
      <c r="B217" s="342"/>
      <c r="D217" s="522"/>
      <c r="E217" s="522">
        <f>SUM(G217:Z217)</f>
        <v>144417.38999999998</v>
      </c>
      <c r="F217" s="528" t="s">
        <v>193</v>
      </c>
      <c r="G217" s="522">
        <v>0</v>
      </c>
      <c r="H217" s="522">
        <v>0</v>
      </c>
      <c r="I217" s="522">
        <v>0</v>
      </c>
      <c r="J217" s="522">
        <v>0</v>
      </c>
      <c r="K217" s="522">
        <v>8041.6</v>
      </c>
      <c r="L217" s="522">
        <v>8903.2000000000007</v>
      </c>
      <c r="M217" s="522">
        <v>8185.2</v>
      </c>
      <c r="N217" s="522">
        <v>8616</v>
      </c>
      <c r="O217" s="522">
        <v>9190.4</v>
      </c>
      <c r="P217" s="522">
        <v>8616</v>
      </c>
      <c r="Q217" s="522">
        <v>8185.2</v>
      </c>
      <c r="R217" s="522">
        <v>8400.6</v>
      </c>
      <c r="S217" s="522">
        <v>9069.2000000000007</v>
      </c>
      <c r="T217" s="522">
        <v>9651.2000000000007</v>
      </c>
      <c r="U217" s="522">
        <v>8953.75</v>
      </c>
      <c r="V217" s="522">
        <v>9500</v>
      </c>
      <c r="W217" s="522">
        <v>10132.48</v>
      </c>
      <c r="X217" s="522">
        <v>9657.52</v>
      </c>
      <c r="Y217" s="522">
        <v>9340.8799999999992</v>
      </c>
      <c r="Z217" s="522">
        <f>10449.12-474.96</f>
        <v>9974.1600000000017</v>
      </c>
      <c r="AA217" s="522"/>
      <c r="AB217" s="522"/>
      <c r="AC217" s="522">
        <f>SUM(G217:AB217)</f>
        <v>144417.38999999998</v>
      </c>
      <c r="AD217" s="522"/>
      <c r="AE217" s="526">
        <f t="shared" ref="AE217:AX217" si="856">G217</f>
        <v>0</v>
      </c>
      <c r="AF217" s="526">
        <f t="shared" si="856"/>
        <v>0</v>
      </c>
      <c r="AG217" s="526">
        <f t="shared" si="856"/>
        <v>0</v>
      </c>
      <c r="AH217" s="526">
        <f t="shared" si="856"/>
        <v>0</v>
      </c>
      <c r="AI217" s="526">
        <f t="shared" si="856"/>
        <v>8041.6</v>
      </c>
      <c r="AJ217" s="526">
        <f t="shared" si="856"/>
        <v>8903.2000000000007</v>
      </c>
      <c r="AK217" s="526">
        <f t="shared" si="856"/>
        <v>8185.2</v>
      </c>
      <c r="AL217" s="526">
        <f t="shared" si="856"/>
        <v>8616</v>
      </c>
      <c r="AM217" s="526">
        <f t="shared" si="856"/>
        <v>9190.4</v>
      </c>
      <c r="AN217" s="526">
        <f t="shared" si="856"/>
        <v>8616</v>
      </c>
      <c r="AO217" s="526">
        <f t="shared" si="856"/>
        <v>8185.2</v>
      </c>
      <c r="AP217" s="526">
        <f t="shared" si="856"/>
        <v>8400.6</v>
      </c>
      <c r="AQ217" s="526">
        <f t="shared" si="856"/>
        <v>9069.2000000000007</v>
      </c>
      <c r="AR217" s="526">
        <f t="shared" si="856"/>
        <v>9651.2000000000007</v>
      </c>
      <c r="AS217" s="526">
        <f t="shared" si="856"/>
        <v>8953.75</v>
      </c>
      <c r="AT217" s="526">
        <f t="shared" si="856"/>
        <v>9500</v>
      </c>
      <c r="AU217" s="526">
        <f t="shared" si="856"/>
        <v>10132.48</v>
      </c>
      <c r="AV217" s="526">
        <f t="shared" si="856"/>
        <v>9657.52</v>
      </c>
      <c r="AW217" s="532">
        <f t="shared" si="856"/>
        <v>9340.8799999999992</v>
      </c>
      <c r="AX217" s="526">
        <f t="shared" si="856"/>
        <v>9974.1600000000017</v>
      </c>
      <c r="AY217" s="526">
        <f t="shared" ref="AY217" si="857">AA217</f>
        <v>0</v>
      </c>
      <c r="AZ217" s="526">
        <f t="shared" ref="AZ217" si="858">AB217</f>
        <v>0</v>
      </c>
      <c r="BA217" s="522"/>
      <c r="BB217" s="522">
        <v>0</v>
      </c>
      <c r="BC217" s="522">
        <v>0</v>
      </c>
      <c r="BD217" s="522">
        <v>0</v>
      </c>
      <c r="BE217" s="522">
        <v>35002.5</v>
      </c>
      <c r="BF217" s="522">
        <v>0</v>
      </c>
      <c r="BG217" s="522">
        <v>0</v>
      </c>
      <c r="BH217" s="522">
        <v>0</v>
      </c>
      <c r="BI217" s="522">
        <v>35002.5</v>
      </c>
      <c r="BJ217" s="522">
        <v>-394.9</v>
      </c>
      <c r="BK217" s="522">
        <v>0</v>
      </c>
      <c r="BL217" s="522">
        <v>0</v>
      </c>
      <c r="BM217" s="522">
        <v>1256.5</v>
      </c>
      <c r="BN217" s="522">
        <v>18235.150000000001</v>
      </c>
      <c r="BO217" s="522">
        <v>0</v>
      </c>
      <c r="BP217" s="522">
        <f>36757.5-29129.3+2400</f>
        <v>10028.200000000001</v>
      </c>
      <c r="BQ217" s="522">
        <v>27911.82</v>
      </c>
      <c r="BR217" s="522">
        <v>0</v>
      </c>
      <c r="BS217" s="526">
        <v>8351.380000000001</v>
      </c>
      <c r="BT217" s="526">
        <v>9499.2000000000007</v>
      </c>
      <c r="BU217" s="522">
        <v>-474.96</v>
      </c>
      <c r="BV217" s="522">
        <v>0</v>
      </c>
      <c r="BW217" s="522">
        <v>0</v>
      </c>
      <c r="BX217" s="515">
        <f t="shared" si="853"/>
        <v>0</v>
      </c>
      <c r="BY217" s="518">
        <f t="shared" si="854"/>
        <v>0</v>
      </c>
      <c r="BZ217" s="518">
        <f t="shared" si="855"/>
        <v>0</v>
      </c>
    </row>
    <row r="218" spans="1:80" ht="14.45" customHeight="1">
      <c r="A218" s="234"/>
      <c r="B218" s="234"/>
      <c r="C218" s="234"/>
      <c r="D218" s="306"/>
      <c r="E218" s="306"/>
      <c r="F218" s="306"/>
      <c r="G218" s="306"/>
      <c r="H218" s="324"/>
      <c r="I218" s="324"/>
      <c r="J218" s="324"/>
      <c r="K218" s="324"/>
      <c r="L218" s="324"/>
      <c r="M218" s="324"/>
      <c r="N218" s="324"/>
      <c r="O218" s="324"/>
      <c r="P218" s="324"/>
      <c r="Q218" s="324"/>
      <c r="R218" s="324"/>
      <c r="S218" s="324"/>
      <c r="T218" s="324"/>
      <c r="U218" s="324"/>
      <c r="V218" s="324"/>
      <c r="W218" s="324"/>
      <c r="X218" s="324"/>
      <c r="Y218" s="324"/>
      <c r="Z218" s="324"/>
      <c r="AA218" s="324"/>
      <c r="AB218" s="324"/>
      <c r="AC218" s="324"/>
      <c r="AD218" s="306"/>
      <c r="AE218" s="331"/>
      <c r="AF218" s="326"/>
      <c r="AG218" s="331"/>
      <c r="AH218" s="331"/>
      <c r="AI218" s="331"/>
      <c r="AJ218" s="331"/>
      <c r="AK218" s="331"/>
      <c r="AL218" s="306"/>
      <c r="AM218" s="306"/>
      <c r="AN218" s="326"/>
      <c r="AO218" s="306"/>
      <c r="AP218" s="306"/>
      <c r="AQ218" s="306"/>
      <c r="AR218" s="306"/>
      <c r="AS218" s="306"/>
      <c r="AT218" s="306"/>
      <c r="AU218" s="306"/>
      <c r="AV218" s="306"/>
      <c r="AW218" s="306"/>
      <c r="AX218" s="306"/>
      <c r="AY218" s="306"/>
      <c r="AZ218" s="306"/>
      <c r="BA218" s="306"/>
      <c r="BB218" s="331"/>
      <c r="BC218" s="331"/>
      <c r="BD218" s="331"/>
      <c r="BE218" s="331"/>
      <c r="BF218" s="331"/>
      <c r="BG218" s="331"/>
      <c r="BH218" s="331"/>
      <c r="BI218" s="331"/>
      <c r="BJ218" s="306"/>
      <c r="BK218" s="306"/>
      <c r="BL218" s="306"/>
      <c r="BM218" s="306"/>
      <c r="BN218" s="306"/>
      <c r="BO218" s="306"/>
      <c r="BP218" s="306"/>
      <c r="BQ218" s="306"/>
      <c r="BR218" s="306"/>
      <c r="BS218" s="306"/>
      <c r="BT218" s="306"/>
      <c r="BU218" s="306"/>
      <c r="BV218" s="306"/>
      <c r="BW218" s="306"/>
      <c r="BX218" s="351">
        <f t="shared" si="853"/>
        <v>0</v>
      </c>
      <c r="BY218" s="378">
        <f t="shared" si="854"/>
        <v>0</v>
      </c>
      <c r="BZ218" s="378">
        <f t="shared" si="855"/>
        <v>0</v>
      </c>
      <c r="CA218" s="234"/>
      <c r="CB218" s="234"/>
    </row>
    <row r="219" spans="1:80" ht="14.45" customHeight="1">
      <c r="A219" s="234" t="s">
        <v>185</v>
      </c>
      <c r="B219" s="234"/>
      <c r="C219" s="234"/>
      <c r="D219" s="306"/>
      <c r="E219" s="306"/>
      <c r="F219" s="306"/>
      <c r="G219" s="306"/>
      <c r="H219" s="324"/>
      <c r="I219" s="324"/>
      <c r="J219" s="324"/>
      <c r="K219" s="324"/>
      <c r="L219" s="324"/>
      <c r="M219" s="324"/>
      <c r="N219" s="324"/>
      <c r="O219" s="324"/>
      <c r="P219" s="324"/>
      <c r="Q219" s="324"/>
      <c r="R219" s="324"/>
      <c r="S219" s="324"/>
      <c r="T219" s="324"/>
      <c r="U219" s="324"/>
      <c r="V219" s="324"/>
      <c r="W219" s="324"/>
      <c r="X219" s="324"/>
      <c r="Y219" s="324"/>
      <c r="Z219" s="324"/>
      <c r="AA219" s="324"/>
      <c r="AB219" s="324"/>
      <c r="AC219" s="324"/>
      <c r="AD219" s="306"/>
      <c r="AE219" s="331"/>
      <c r="AF219" s="326"/>
      <c r="AG219" s="331"/>
      <c r="AH219" s="331"/>
      <c r="AI219" s="331"/>
      <c r="AJ219" s="331"/>
      <c r="AK219" s="331"/>
      <c r="AL219" s="306"/>
      <c r="AM219" s="306"/>
      <c r="AN219" s="326"/>
      <c r="AO219" s="306"/>
      <c r="AP219" s="306"/>
      <c r="AQ219" s="306"/>
      <c r="AR219" s="306"/>
      <c r="AS219" s="306"/>
      <c r="AT219" s="306"/>
      <c r="AU219" s="306"/>
      <c r="AV219" s="306"/>
      <c r="AW219" s="306"/>
      <c r="AX219" s="306"/>
      <c r="AY219" s="306"/>
      <c r="AZ219" s="306"/>
      <c r="BA219" s="306"/>
      <c r="BB219" s="331"/>
      <c r="BC219" s="331"/>
      <c r="BD219" s="331"/>
      <c r="BE219" s="331"/>
      <c r="BF219" s="331"/>
      <c r="BG219" s="331"/>
      <c r="BH219" s="331"/>
      <c r="BI219" s="331"/>
      <c r="BJ219" s="306"/>
      <c r="BK219" s="306"/>
      <c r="BL219" s="306"/>
      <c r="BM219" s="306"/>
      <c r="BN219" s="306"/>
      <c r="BO219" s="306"/>
      <c r="BP219" s="306"/>
      <c r="BQ219" s="306"/>
      <c r="BR219" s="306"/>
      <c r="BS219" s="326"/>
      <c r="BT219" s="326"/>
      <c r="BU219" s="306"/>
      <c r="BV219" s="306"/>
      <c r="BW219" s="306"/>
      <c r="BX219" s="351">
        <f t="shared" si="853"/>
        <v>0</v>
      </c>
      <c r="BY219" s="378">
        <f t="shared" si="854"/>
        <v>0</v>
      </c>
      <c r="BZ219" s="378">
        <f t="shared" si="855"/>
        <v>0</v>
      </c>
      <c r="CA219" s="234"/>
      <c r="CB219" s="234"/>
    </row>
    <row r="220" spans="1:80" ht="14.45" customHeight="1">
      <c r="A220" s="357" t="s">
        <v>140</v>
      </c>
      <c r="B220" s="357" t="s">
        <v>299</v>
      </c>
      <c r="C220" s="374"/>
      <c r="D220" s="380"/>
      <c r="E220" s="330">
        <v>7441.4800000000005</v>
      </c>
      <c r="F220" s="328"/>
      <c r="G220" s="386"/>
      <c r="H220" s="386">
        <v>1000</v>
      </c>
      <c r="I220" s="386">
        <v>0</v>
      </c>
      <c r="J220" s="386">
        <v>1672.1</v>
      </c>
      <c r="K220" s="386">
        <v>0</v>
      </c>
      <c r="L220" s="386">
        <v>0</v>
      </c>
      <c r="M220" s="386">
        <v>0</v>
      </c>
      <c r="N220" s="386">
        <v>0</v>
      </c>
      <c r="O220" s="386">
        <v>0</v>
      </c>
      <c r="P220" s="386">
        <v>0</v>
      </c>
      <c r="Q220" s="386">
        <v>0</v>
      </c>
      <c r="R220" s="386">
        <v>0</v>
      </c>
      <c r="S220" s="386">
        <v>2500</v>
      </c>
      <c r="T220" s="386">
        <v>0</v>
      </c>
      <c r="U220" s="386">
        <v>2269.38</v>
      </c>
      <c r="V220" s="386">
        <v>0</v>
      </c>
      <c r="W220" s="386">
        <v>0</v>
      </c>
      <c r="X220" s="386">
        <v>0</v>
      </c>
      <c r="Y220" s="386">
        <v>0</v>
      </c>
      <c r="Z220" s="386"/>
      <c r="AA220" s="386"/>
      <c r="AB220" s="386"/>
      <c r="AC220" s="386">
        <f>SUM(G220:AB220)</f>
        <v>7441.4800000000005</v>
      </c>
      <c r="AD220" s="328"/>
      <c r="AE220" s="330">
        <f t="shared" ref="AE220:AW220" si="859">G220</f>
        <v>0</v>
      </c>
      <c r="AF220" s="326">
        <f t="shared" si="859"/>
        <v>1000</v>
      </c>
      <c r="AG220" s="330">
        <f t="shared" si="859"/>
        <v>0</v>
      </c>
      <c r="AH220" s="330">
        <f t="shared" si="859"/>
        <v>1672.1</v>
      </c>
      <c r="AI220" s="330">
        <f t="shared" si="859"/>
        <v>0</v>
      </c>
      <c r="AJ220" s="330">
        <f t="shared" si="859"/>
        <v>0</v>
      </c>
      <c r="AK220" s="330">
        <f t="shared" si="859"/>
        <v>0</v>
      </c>
      <c r="AL220" s="386">
        <f t="shared" si="859"/>
        <v>0</v>
      </c>
      <c r="AM220" s="386">
        <f t="shared" si="859"/>
        <v>0</v>
      </c>
      <c r="AN220" s="326">
        <f t="shared" si="859"/>
        <v>0</v>
      </c>
      <c r="AO220" s="330">
        <f t="shared" si="859"/>
        <v>0</v>
      </c>
      <c r="AP220" s="397">
        <f t="shared" si="859"/>
        <v>0</v>
      </c>
      <c r="AQ220" s="330">
        <f t="shared" si="859"/>
        <v>2500</v>
      </c>
      <c r="AR220" s="326">
        <f t="shared" si="859"/>
        <v>0</v>
      </c>
      <c r="AS220" s="330">
        <f t="shared" si="859"/>
        <v>2269.38</v>
      </c>
      <c r="AT220" s="330">
        <f t="shared" si="859"/>
        <v>0</v>
      </c>
      <c r="AU220" s="330">
        <f t="shared" si="859"/>
        <v>0</v>
      </c>
      <c r="AV220" s="330">
        <f t="shared" si="859"/>
        <v>0</v>
      </c>
      <c r="AW220" s="330">
        <f t="shared" si="859"/>
        <v>0</v>
      </c>
      <c r="AX220" s="330">
        <f>Z220</f>
        <v>0</v>
      </c>
      <c r="AY220" s="330">
        <f>AA220</f>
        <v>0</v>
      </c>
      <c r="AZ220" s="330">
        <f>AB220</f>
        <v>0</v>
      </c>
      <c r="BA220" s="330"/>
      <c r="BB220" s="330">
        <f t="shared" ref="BB220:BN220" si="860">AE220</f>
        <v>0</v>
      </c>
      <c r="BC220" s="330">
        <f t="shared" si="860"/>
        <v>1000</v>
      </c>
      <c r="BD220" s="330">
        <f t="shared" si="860"/>
        <v>0</v>
      </c>
      <c r="BE220" s="330">
        <f t="shared" si="860"/>
        <v>1672.1</v>
      </c>
      <c r="BF220" s="330">
        <f t="shared" si="860"/>
        <v>0</v>
      </c>
      <c r="BG220" s="330">
        <f t="shared" si="860"/>
        <v>0</v>
      </c>
      <c r="BH220" s="330">
        <f t="shared" si="860"/>
        <v>0</v>
      </c>
      <c r="BI220" s="330">
        <f t="shared" si="860"/>
        <v>0</v>
      </c>
      <c r="BJ220" s="330">
        <f t="shared" si="860"/>
        <v>0</v>
      </c>
      <c r="BK220" s="330">
        <f t="shared" si="860"/>
        <v>0</v>
      </c>
      <c r="BL220" s="330">
        <f t="shared" si="860"/>
        <v>0</v>
      </c>
      <c r="BM220" s="330">
        <f t="shared" si="860"/>
        <v>0</v>
      </c>
      <c r="BN220" s="330">
        <f t="shared" si="860"/>
        <v>2500</v>
      </c>
      <c r="BO220" s="330">
        <v>2269.38</v>
      </c>
      <c r="BP220" s="330">
        <v>0</v>
      </c>
      <c r="BQ220" s="330">
        <f>AT220</f>
        <v>0</v>
      </c>
      <c r="BR220" s="326">
        <f>AU220</f>
        <v>0</v>
      </c>
      <c r="BS220" s="326">
        <f>AV220</f>
        <v>0</v>
      </c>
      <c r="BT220" s="326">
        <f>AW220</f>
        <v>0</v>
      </c>
      <c r="BU220" s="330">
        <f>AX220</f>
        <v>0</v>
      </c>
      <c r="BV220" s="330">
        <f t="shared" ref="BV220:BW220" si="861">AY220</f>
        <v>0</v>
      </c>
      <c r="BW220" s="330">
        <f t="shared" si="861"/>
        <v>0</v>
      </c>
      <c r="BX220" s="351">
        <f t="shared" si="853"/>
        <v>0</v>
      </c>
      <c r="BY220" s="378">
        <f t="shared" si="854"/>
        <v>0</v>
      </c>
      <c r="BZ220" s="378">
        <f t="shared" si="855"/>
        <v>0</v>
      </c>
      <c r="CA220" s="234"/>
      <c r="CB220" s="234"/>
    </row>
    <row r="221" spans="1:80" s="283" customFormat="1" ht="14.45" customHeight="1">
      <c r="A221" s="357" t="s">
        <v>140</v>
      </c>
      <c r="B221" s="357" t="s">
        <v>298</v>
      </c>
      <c r="C221" s="374"/>
      <c r="D221" s="358"/>
      <c r="E221" s="497">
        <v>1317.87</v>
      </c>
      <c r="F221" s="328" t="s">
        <v>253</v>
      </c>
      <c r="G221" s="329"/>
      <c r="H221" s="329">
        <v>0</v>
      </c>
      <c r="I221" s="329">
        <v>0</v>
      </c>
      <c r="J221" s="329">
        <v>0</v>
      </c>
      <c r="K221" s="388"/>
      <c r="L221" s="388"/>
      <c r="M221" s="388">
        <v>0</v>
      </c>
      <c r="N221" s="388">
        <v>0</v>
      </c>
      <c r="O221" s="388">
        <v>0</v>
      </c>
      <c r="P221" s="394">
        <v>0</v>
      </c>
      <c r="Q221" s="388"/>
      <c r="R221" s="388"/>
      <c r="S221" s="388"/>
      <c r="T221" s="389">
        <v>0</v>
      </c>
      <c r="U221" s="388"/>
      <c r="V221" s="389">
        <v>1</v>
      </c>
      <c r="W221" s="388"/>
      <c r="X221" s="388"/>
      <c r="Y221" s="388"/>
      <c r="Z221" s="388"/>
      <c r="AA221" s="388"/>
      <c r="AB221" s="388"/>
      <c r="AC221" s="387">
        <f>SUM(G221:AB221)</f>
        <v>1</v>
      </c>
      <c r="AD221" s="328"/>
      <c r="AE221" s="330">
        <f t="shared" ref="AE221:AN223" si="862">G221*$E221</f>
        <v>0</v>
      </c>
      <c r="AF221" s="326">
        <f t="shared" si="862"/>
        <v>0</v>
      </c>
      <c r="AG221" s="330">
        <f t="shared" si="862"/>
        <v>0</v>
      </c>
      <c r="AH221" s="330">
        <f t="shared" si="862"/>
        <v>0</v>
      </c>
      <c r="AI221" s="330">
        <f t="shared" si="862"/>
        <v>0</v>
      </c>
      <c r="AJ221" s="330">
        <f t="shared" si="862"/>
        <v>0</v>
      </c>
      <c r="AK221" s="330">
        <f t="shared" si="862"/>
        <v>0</v>
      </c>
      <c r="AL221" s="330">
        <f t="shared" si="862"/>
        <v>0</v>
      </c>
      <c r="AM221" s="386">
        <f t="shared" si="862"/>
        <v>0</v>
      </c>
      <c r="AN221" s="326">
        <f t="shared" si="862"/>
        <v>0</v>
      </c>
      <c r="AO221" s="330">
        <f t="shared" ref="AO221:AW223" si="863">Q221*$E221</f>
        <v>0</v>
      </c>
      <c r="AP221" s="326">
        <f t="shared" si="863"/>
        <v>0</v>
      </c>
      <c r="AQ221" s="330">
        <f t="shared" si="863"/>
        <v>0</v>
      </c>
      <c r="AR221" s="326">
        <f t="shared" si="863"/>
        <v>0</v>
      </c>
      <c r="AS221" s="330">
        <f t="shared" si="863"/>
        <v>0</v>
      </c>
      <c r="AT221" s="330">
        <f t="shared" si="863"/>
        <v>1317.87</v>
      </c>
      <c r="AU221" s="330">
        <f t="shared" si="863"/>
        <v>0</v>
      </c>
      <c r="AV221" s="330">
        <f t="shared" si="863"/>
        <v>0</v>
      </c>
      <c r="AW221" s="330">
        <f t="shared" si="863"/>
        <v>0</v>
      </c>
      <c r="AX221" s="330">
        <f t="shared" ref="AX221:AZ223" si="864">Z221*$E221</f>
        <v>0</v>
      </c>
      <c r="AY221" s="330">
        <f t="shared" si="864"/>
        <v>0</v>
      </c>
      <c r="AZ221" s="330">
        <f t="shared" si="864"/>
        <v>0</v>
      </c>
      <c r="BA221" s="330"/>
      <c r="BB221" s="330">
        <f t="shared" ref="BB221:BV223" si="865">IF(BB$3=$F221,$E221,0)</f>
        <v>0</v>
      </c>
      <c r="BC221" s="330">
        <f t="shared" si="865"/>
        <v>0</v>
      </c>
      <c r="BD221" s="330">
        <f t="shared" si="865"/>
        <v>0</v>
      </c>
      <c r="BE221" s="330">
        <f t="shared" si="865"/>
        <v>0</v>
      </c>
      <c r="BF221" s="330">
        <f t="shared" si="865"/>
        <v>0</v>
      </c>
      <c r="BG221" s="330">
        <f t="shared" si="865"/>
        <v>0</v>
      </c>
      <c r="BH221" s="330">
        <f t="shared" si="865"/>
        <v>0</v>
      </c>
      <c r="BI221" s="330">
        <f t="shared" si="865"/>
        <v>0</v>
      </c>
      <c r="BJ221" s="330">
        <f t="shared" si="865"/>
        <v>0</v>
      </c>
      <c r="BK221" s="330">
        <f t="shared" si="865"/>
        <v>0</v>
      </c>
      <c r="BL221" s="330">
        <f t="shared" si="865"/>
        <v>0</v>
      </c>
      <c r="BM221" s="330">
        <f t="shared" si="865"/>
        <v>0</v>
      </c>
      <c r="BN221" s="330">
        <f t="shared" si="865"/>
        <v>0</v>
      </c>
      <c r="BO221" s="330">
        <f t="shared" si="865"/>
        <v>0</v>
      </c>
      <c r="BP221" s="330">
        <f t="shared" si="865"/>
        <v>0</v>
      </c>
      <c r="BQ221" s="330">
        <f t="shared" si="865"/>
        <v>1317.87</v>
      </c>
      <c r="BR221" s="330">
        <f t="shared" si="865"/>
        <v>0</v>
      </c>
      <c r="BS221" s="330">
        <f t="shared" si="865"/>
        <v>0</v>
      </c>
      <c r="BT221" s="330">
        <f t="shared" si="865"/>
        <v>0</v>
      </c>
      <c r="BU221" s="330">
        <f t="shared" si="865"/>
        <v>0</v>
      </c>
      <c r="BV221" s="330">
        <f t="shared" si="865"/>
        <v>0</v>
      </c>
      <c r="BW221" s="330">
        <f t="shared" ref="BV221:BW223" si="866">IF(BW$3=$F221,$E221,0)</f>
        <v>0</v>
      </c>
      <c r="BX221" s="351">
        <f t="shared" si="853"/>
        <v>0</v>
      </c>
      <c r="BY221" s="378">
        <f t="shared" si="854"/>
        <v>0</v>
      </c>
      <c r="BZ221" s="378">
        <f t="shared" si="855"/>
        <v>0</v>
      </c>
      <c r="CA221" s="234"/>
      <c r="CB221" s="234"/>
    </row>
    <row r="222" spans="1:80" s="283" customFormat="1" ht="14.45" customHeight="1">
      <c r="A222" s="357" t="s">
        <v>140</v>
      </c>
      <c r="B222" s="357" t="s">
        <v>298</v>
      </c>
      <c r="C222" s="374"/>
      <c r="D222" s="358"/>
      <c r="E222" s="497">
        <v>1237.5</v>
      </c>
      <c r="F222" s="328" t="s">
        <v>266</v>
      </c>
      <c r="G222" s="329"/>
      <c r="H222" s="329">
        <v>0</v>
      </c>
      <c r="I222" s="329">
        <v>0</v>
      </c>
      <c r="J222" s="329">
        <v>0</v>
      </c>
      <c r="K222" s="388"/>
      <c r="L222" s="388"/>
      <c r="M222" s="388">
        <v>0</v>
      </c>
      <c r="N222" s="388">
        <v>0</v>
      </c>
      <c r="O222" s="388">
        <v>0</v>
      </c>
      <c r="P222" s="394">
        <v>0</v>
      </c>
      <c r="Q222" s="388"/>
      <c r="R222" s="388"/>
      <c r="S222" s="388"/>
      <c r="T222" s="389">
        <v>0</v>
      </c>
      <c r="U222" s="388"/>
      <c r="V222" s="389">
        <v>0</v>
      </c>
      <c r="W222" s="388"/>
      <c r="X222" s="388"/>
      <c r="Y222" s="388"/>
      <c r="Z222" s="389">
        <v>1</v>
      </c>
      <c r="AA222" s="388"/>
      <c r="AB222" s="388"/>
      <c r="AC222" s="387">
        <f>SUM(G222:AB222)</f>
        <v>1</v>
      </c>
      <c r="AD222" s="328"/>
      <c r="AE222" s="330">
        <f t="shared" ref="AE222" si="867">G222*$E222</f>
        <v>0</v>
      </c>
      <c r="AF222" s="326">
        <f t="shared" ref="AF222" si="868">H222*$E222</f>
        <v>0</v>
      </c>
      <c r="AG222" s="330">
        <f t="shared" ref="AG222" si="869">I222*$E222</f>
        <v>0</v>
      </c>
      <c r="AH222" s="330">
        <f t="shared" ref="AH222" si="870">J222*$E222</f>
        <v>0</v>
      </c>
      <c r="AI222" s="330">
        <f t="shared" ref="AI222" si="871">K222*$E222</f>
        <v>0</v>
      </c>
      <c r="AJ222" s="330">
        <f t="shared" ref="AJ222" si="872">L222*$E222</f>
        <v>0</v>
      </c>
      <c r="AK222" s="330">
        <f t="shared" ref="AK222" si="873">M222*$E222</f>
        <v>0</v>
      </c>
      <c r="AL222" s="330">
        <f t="shared" ref="AL222" si="874">N222*$E222</f>
        <v>0</v>
      </c>
      <c r="AM222" s="386">
        <f t="shared" ref="AM222" si="875">O222*$E222</f>
        <v>0</v>
      </c>
      <c r="AN222" s="326">
        <f t="shared" ref="AN222" si="876">P222*$E222</f>
        <v>0</v>
      </c>
      <c r="AO222" s="330">
        <f t="shared" ref="AO222" si="877">Q222*$E222</f>
        <v>0</v>
      </c>
      <c r="AP222" s="326">
        <f t="shared" ref="AP222" si="878">R222*$E222</f>
        <v>0</v>
      </c>
      <c r="AQ222" s="330">
        <f t="shared" ref="AQ222" si="879">S222*$E222</f>
        <v>0</v>
      </c>
      <c r="AR222" s="326">
        <f t="shared" ref="AR222" si="880">T222*$E222</f>
        <v>0</v>
      </c>
      <c r="AS222" s="330">
        <f t="shared" ref="AS222" si="881">U222*$E222</f>
        <v>0</v>
      </c>
      <c r="AT222" s="330">
        <f t="shared" ref="AT222" si="882">V222*$E222</f>
        <v>0</v>
      </c>
      <c r="AU222" s="330">
        <f t="shared" ref="AU222" si="883">W222*$E222</f>
        <v>0</v>
      </c>
      <c r="AV222" s="330">
        <f t="shared" ref="AV222" si="884">X222*$E222</f>
        <v>0</v>
      </c>
      <c r="AW222" s="330">
        <f t="shared" ref="AW222" si="885">Y222*$E222</f>
        <v>0</v>
      </c>
      <c r="AX222" s="330">
        <f t="shared" ref="AX222" si="886">Z222*$E222</f>
        <v>1237.5</v>
      </c>
      <c r="AY222" s="330">
        <f t="shared" ref="AY222" si="887">AA222*$E222</f>
        <v>0</v>
      </c>
      <c r="AZ222" s="330">
        <f t="shared" ref="AZ222" si="888">AB222*$E222</f>
        <v>0</v>
      </c>
      <c r="BA222" s="330"/>
      <c r="BB222" s="330">
        <f t="shared" si="865"/>
        <v>0</v>
      </c>
      <c r="BC222" s="330">
        <f t="shared" si="865"/>
        <v>0</v>
      </c>
      <c r="BD222" s="330">
        <f t="shared" si="865"/>
        <v>0</v>
      </c>
      <c r="BE222" s="330">
        <f t="shared" si="865"/>
        <v>0</v>
      </c>
      <c r="BF222" s="330">
        <f t="shared" si="865"/>
        <v>0</v>
      </c>
      <c r="BG222" s="330">
        <f t="shared" si="865"/>
        <v>0</v>
      </c>
      <c r="BH222" s="330">
        <f t="shared" si="865"/>
        <v>0</v>
      </c>
      <c r="BI222" s="330">
        <f t="shared" si="865"/>
        <v>0</v>
      </c>
      <c r="BJ222" s="330">
        <f t="shared" si="865"/>
        <v>0</v>
      </c>
      <c r="BK222" s="330">
        <f t="shared" si="865"/>
        <v>0</v>
      </c>
      <c r="BL222" s="330">
        <f t="shared" si="865"/>
        <v>0</v>
      </c>
      <c r="BM222" s="330">
        <f t="shared" si="865"/>
        <v>0</v>
      </c>
      <c r="BN222" s="330">
        <f t="shared" si="865"/>
        <v>0</v>
      </c>
      <c r="BO222" s="330">
        <f t="shared" si="865"/>
        <v>0</v>
      </c>
      <c r="BP222" s="330">
        <f t="shared" si="865"/>
        <v>0</v>
      </c>
      <c r="BQ222" s="330">
        <f t="shared" si="865"/>
        <v>0</v>
      </c>
      <c r="BR222" s="330">
        <f t="shared" si="865"/>
        <v>0</v>
      </c>
      <c r="BS222" s="330">
        <f t="shared" si="865"/>
        <v>0</v>
      </c>
      <c r="BT222" s="330">
        <f t="shared" si="865"/>
        <v>0</v>
      </c>
      <c r="BU222" s="330">
        <f t="shared" si="865"/>
        <v>1237.5</v>
      </c>
      <c r="BV222" s="330">
        <f t="shared" si="865"/>
        <v>0</v>
      </c>
      <c r="BW222" s="330">
        <f t="shared" si="866"/>
        <v>0</v>
      </c>
      <c r="BX222" s="351">
        <f t="shared" ref="BX222" si="889">SUM(AE222:AZ222)-SUM(BB222:BW222)</f>
        <v>0</v>
      </c>
      <c r="BY222" s="378">
        <f t="shared" ref="BY222" si="890">E222-SUM(BB222:BW222)</f>
        <v>0</v>
      </c>
      <c r="BZ222" s="378">
        <f t="shared" ref="BZ222" si="891">+E222-SUM(AE222:AZ222)</f>
        <v>0</v>
      </c>
      <c r="CA222" s="234"/>
      <c r="CB222" s="234"/>
    </row>
    <row r="223" spans="1:80" s="283" customFormat="1" ht="14.45" customHeight="1">
      <c r="A223" s="357" t="s">
        <v>140</v>
      </c>
      <c r="B223" s="357"/>
      <c r="C223" s="374"/>
      <c r="D223" s="358"/>
      <c r="E223" s="359">
        <v>3200</v>
      </c>
      <c r="F223" s="358" t="s">
        <v>241</v>
      </c>
      <c r="G223" s="360"/>
      <c r="H223" s="360">
        <v>0</v>
      </c>
      <c r="I223" s="360">
        <v>0</v>
      </c>
      <c r="J223" s="360">
        <v>0</v>
      </c>
      <c r="K223" s="361"/>
      <c r="L223" s="361"/>
      <c r="M223" s="361">
        <v>0</v>
      </c>
      <c r="N223" s="361">
        <v>0</v>
      </c>
      <c r="O223" s="361">
        <v>0</v>
      </c>
      <c r="P223" s="372">
        <v>0</v>
      </c>
      <c r="Q223" s="361"/>
      <c r="R223" s="361"/>
      <c r="S223" s="361"/>
      <c r="T223" s="373">
        <v>1</v>
      </c>
      <c r="U223" s="361"/>
      <c r="V223" s="361"/>
      <c r="W223" s="361"/>
      <c r="X223" s="361"/>
      <c r="Y223" s="361"/>
      <c r="Z223" s="361"/>
      <c r="AA223" s="361"/>
      <c r="AB223" s="361"/>
      <c r="AC223" s="387">
        <f>SUM(G223:AB223)</f>
        <v>1</v>
      </c>
      <c r="AD223" s="358"/>
      <c r="AE223" s="359">
        <f t="shared" si="862"/>
        <v>0</v>
      </c>
      <c r="AF223" s="350">
        <f t="shared" si="862"/>
        <v>0</v>
      </c>
      <c r="AG223" s="359">
        <f t="shared" si="862"/>
        <v>0</v>
      </c>
      <c r="AH223" s="359">
        <f t="shared" si="862"/>
        <v>0</v>
      </c>
      <c r="AI223" s="359">
        <f t="shared" si="862"/>
        <v>0</v>
      </c>
      <c r="AJ223" s="359">
        <f t="shared" si="862"/>
        <v>0</v>
      </c>
      <c r="AK223" s="359">
        <f t="shared" si="862"/>
        <v>0</v>
      </c>
      <c r="AL223" s="359">
        <f t="shared" si="862"/>
        <v>0</v>
      </c>
      <c r="AM223" s="349">
        <f t="shared" si="862"/>
        <v>0</v>
      </c>
      <c r="AN223" s="350">
        <f t="shared" si="862"/>
        <v>0</v>
      </c>
      <c r="AO223" s="330">
        <f t="shared" si="863"/>
        <v>0</v>
      </c>
      <c r="AP223" s="326">
        <f t="shared" si="863"/>
        <v>0</v>
      </c>
      <c r="AQ223" s="330">
        <f t="shared" si="863"/>
        <v>0</v>
      </c>
      <c r="AR223" s="326">
        <f t="shared" si="863"/>
        <v>3200</v>
      </c>
      <c r="AS223" s="330">
        <f t="shared" si="863"/>
        <v>0</v>
      </c>
      <c r="AT223" s="330">
        <f t="shared" si="863"/>
        <v>0</v>
      </c>
      <c r="AU223" s="330">
        <f t="shared" si="863"/>
        <v>0</v>
      </c>
      <c r="AV223" s="330">
        <f t="shared" si="863"/>
        <v>0</v>
      </c>
      <c r="AW223" s="330">
        <f t="shared" si="863"/>
        <v>0</v>
      </c>
      <c r="AX223" s="330">
        <f t="shared" si="864"/>
        <v>0</v>
      </c>
      <c r="AY223" s="330">
        <f t="shared" si="864"/>
        <v>0</v>
      </c>
      <c r="AZ223" s="330">
        <f t="shared" si="864"/>
        <v>0</v>
      </c>
      <c r="BA223" s="330"/>
      <c r="BB223" s="330">
        <f t="shared" si="865"/>
        <v>0</v>
      </c>
      <c r="BC223" s="330">
        <f t="shared" si="865"/>
        <v>0</v>
      </c>
      <c r="BD223" s="330">
        <f t="shared" si="865"/>
        <v>0</v>
      </c>
      <c r="BE223" s="330">
        <f t="shared" si="865"/>
        <v>0</v>
      </c>
      <c r="BF223" s="330">
        <f t="shared" si="865"/>
        <v>0</v>
      </c>
      <c r="BG223" s="330">
        <f t="shared" si="865"/>
        <v>0</v>
      </c>
      <c r="BH223" s="330">
        <f t="shared" si="865"/>
        <v>0</v>
      </c>
      <c r="BI223" s="330">
        <f t="shared" si="865"/>
        <v>0</v>
      </c>
      <c r="BJ223" s="330">
        <f t="shared" si="865"/>
        <v>0</v>
      </c>
      <c r="BK223" s="330">
        <f t="shared" si="865"/>
        <v>0</v>
      </c>
      <c r="BL223" s="330">
        <f t="shared" si="865"/>
        <v>0</v>
      </c>
      <c r="BM223" s="330">
        <f t="shared" si="865"/>
        <v>0</v>
      </c>
      <c r="BN223" s="330">
        <f t="shared" si="865"/>
        <v>3200</v>
      </c>
      <c r="BO223" s="330">
        <f t="shared" si="865"/>
        <v>0</v>
      </c>
      <c r="BP223" s="330">
        <f t="shared" si="865"/>
        <v>0</v>
      </c>
      <c r="BQ223" s="330">
        <f t="shared" si="865"/>
        <v>0</v>
      </c>
      <c r="BR223" s="330">
        <f t="shared" si="865"/>
        <v>0</v>
      </c>
      <c r="BS223" s="330">
        <f t="shared" si="865"/>
        <v>0</v>
      </c>
      <c r="BT223" s="330">
        <f t="shared" si="865"/>
        <v>0</v>
      </c>
      <c r="BU223" s="330">
        <f t="shared" si="865"/>
        <v>0</v>
      </c>
      <c r="BV223" s="330">
        <f t="shared" si="866"/>
        <v>0</v>
      </c>
      <c r="BW223" s="330">
        <f t="shared" si="866"/>
        <v>0</v>
      </c>
      <c r="BX223" s="351">
        <f t="shared" si="853"/>
        <v>0</v>
      </c>
      <c r="BY223" s="378">
        <f t="shared" si="854"/>
        <v>0</v>
      </c>
      <c r="BZ223" s="378">
        <f t="shared" si="855"/>
        <v>0</v>
      </c>
      <c r="CA223" s="234"/>
      <c r="CB223" s="234"/>
    </row>
    <row r="224" spans="1:80" ht="14.45" customHeight="1">
      <c r="A224" s="357" t="s">
        <v>138</v>
      </c>
      <c r="B224" s="357"/>
      <c r="C224" s="374"/>
      <c r="D224" s="380"/>
      <c r="E224" s="379">
        <v>58699.76</v>
      </c>
      <c r="F224" s="375"/>
      <c r="G224" s="376">
        <v>0</v>
      </c>
      <c r="H224" s="376">
        <v>0</v>
      </c>
      <c r="I224" s="376">
        <v>573.21</v>
      </c>
      <c r="J224" s="376">
        <v>2945.2999999999997</v>
      </c>
      <c r="K224" s="376">
        <v>276.14</v>
      </c>
      <c r="L224" s="376">
        <v>0</v>
      </c>
      <c r="M224" s="376">
        <v>2619.6499999999996</v>
      </c>
      <c r="N224" s="376">
        <v>13337.339999999998</v>
      </c>
      <c r="O224" s="376">
        <v>4226.3999999999996</v>
      </c>
      <c r="P224" s="376">
        <v>3660.32</v>
      </c>
      <c r="Q224" s="349">
        <v>161.88</v>
      </c>
      <c r="R224" s="349">
        <v>632.48</v>
      </c>
      <c r="S224" s="349">
        <v>3382.5899999999997</v>
      </c>
      <c r="T224" s="349">
        <f>12459.14+51.77+70</f>
        <v>12580.91</v>
      </c>
      <c r="U224" s="357">
        <v>4303.54</v>
      </c>
      <c r="V224" s="357">
        <v>0</v>
      </c>
      <c r="W224" s="357">
        <v>0</v>
      </c>
      <c r="X224" s="410">
        <v>0</v>
      </c>
      <c r="Y224" s="410">
        <v>915.89</v>
      </c>
      <c r="Z224" s="359">
        <v>1159.3900000000001</v>
      </c>
      <c r="AA224" s="359">
        <v>2500</v>
      </c>
      <c r="AB224" s="359">
        <f>2500+1732.42-766.15+1958.45</f>
        <v>5424.72</v>
      </c>
      <c r="AC224" s="349">
        <f>SUM(G224:AB224)</f>
        <v>58699.76</v>
      </c>
      <c r="AD224" s="358"/>
      <c r="AE224" s="377">
        <f t="shared" ref="AE224:AV224" si="892">G224</f>
        <v>0</v>
      </c>
      <c r="AF224" s="377">
        <f t="shared" si="892"/>
        <v>0</v>
      </c>
      <c r="AG224" s="377">
        <f t="shared" si="892"/>
        <v>573.21</v>
      </c>
      <c r="AH224" s="377">
        <f t="shared" si="892"/>
        <v>2945.2999999999997</v>
      </c>
      <c r="AI224" s="377">
        <f t="shared" si="892"/>
        <v>276.14</v>
      </c>
      <c r="AJ224" s="377">
        <f t="shared" si="892"/>
        <v>0</v>
      </c>
      <c r="AK224" s="377">
        <f t="shared" si="892"/>
        <v>2619.6499999999996</v>
      </c>
      <c r="AL224" s="377">
        <f t="shared" si="892"/>
        <v>13337.339999999998</v>
      </c>
      <c r="AM224" s="377">
        <f t="shared" si="892"/>
        <v>4226.3999999999996</v>
      </c>
      <c r="AN224" s="377">
        <f t="shared" si="892"/>
        <v>3660.32</v>
      </c>
      <c r="AO224" s="398">
        <f t="shared" si="892"/>
        <v>161.88</v>
      </c>
      <c r="AP224" s="398">
        <f t="shared" si="892"/>
        <v>632.48</v>
      </c>
      <c r="AQ224" s="398">
        <f t="shared" si="892"/>
        <v>3382.5899999999997</v>
      </c>
      <c r="AR224" s="398">
        <f t="shared" si="892"/>
        <v>12580.91</v>
      </c>
      <c r="AS224" s="397">
        <f t="shared" si="892"/>
        <v>4303.54</v>
      </c>
      <c r="AT224" s="397">
        <f t="shared" si="892"/>
        <v>0</v>
      </c>
      <c r="AU224" s="397">
        <f t="shared" si="892"/>
        <v>0</v>
      </c>
      <c r="AV224" s="398">
        <f t="shared" si="892"/>
        <v>0</v>
      </c>
      <c r="AW224" s="399">
        <f>Y224</f>
        <v>915.89</v>
      </c>
      <c r="AX224" s="399">
        <f>Z224</f>
        <v>1159.3900000000001</v>
      </c>
      <c r="AY224" s="399">
        <f>AA224</f>
        <v>2500</v>
      </c>
      <c r="AZ224" s="399">
        <f>AB224</f>
        <v>5424.72</v>
      </c>
      <c r="BA224" s="330"/>
      <c r="BB224" s="326">
        <f t="shared" ref="BB224:BM224" si="893">AE224</f>
        <v>0</v>
      </c>
      <c r="BC224" s="397">
        <f t="shared" si="893"/>
        <v>0</v>
      </c>
      <c r="BD224" s="397">
        <f t="shared" si="893"/>
        <v>573.21</v>
      </c>
      <c r="BE224" s="397">
        <f t="shared" si="893"/>
        <v>2945.2999999999997</v>
      </c>
      <c r="BF224" s="397">
        <f t="shared" si="893"/>
        <v>276.14</v>
      </c>
      <c r="BG224" s="397">
        <f t="shared" si="893"/>
        <v>0</v>
      </c>
      <c r="BH224" s="397">
        <f t="shared" si="893"/>
        <v>2619.6499999999996</v>
      </c>
      <c r="BI224" s="397">
        <f t="shared" si="893"/>
        <v>13337.339999999998</v>
      </c>
      <c r="BJ224" s="397">
        <f t="shared" si="893"/>
        <v>4226.3999999999996</v>
      </c>
      <c r="BK224" s="397">
        <f t="shared" si="893"/>
        <v>3660.32</v>
      </c>
      <c r="BL224" s="326">
        <f t="shared" si="893"/>
        <v>161.88</v>
      </c>
      <c r="BM224" s="330">
        <f t="shared" si="893"/>
        <v>632.48</v>
      </c>
      <c r="BN224" s="330">
        <v>4719.59</v>
      </c>
      <c r="BO224" s="393">
        <f>11042.38+79.76+51.77+70</f>
        <v>11243.91</v>
      </c>
      <c r="BP224" s="326">
        <f>AS224</f>
        <v>4303.54</v>
      </c>
      <c r="BQ224" s="330">
        <v>0</v>
      </c>
      <c r="BR224" s="330">
        <f>AU224</f>
        <v>0</v>
      </c>
      <c r="BS224" s="330">
        <f>AV224</f>
        <v>0</v>
      </c>
      <c r="BT224" s="330">
        <v>1730.34</v>
      </c>
      <c r="BU224" s="330">
        <v>344.94</v>
      </c>
      <c r="BV224" s="330">
        <f t="shared" ref="BV224:BW224" si="894">AY224</f>
        <v>2500</v>
      </c>
      <c r="BW224" s="330">
        <f t="shared" si="894"/>
        <v>5424.72</v>
      </c>
      <c r="BX224" s="351">
        <f t="shared" si="853"/>
        <v>0</v>
      </c>
      <c r="BY224" s="378">
        <f t="shared" si="854"/>
        <v>0</v>
      </c>
      <c r="BZ224" s="378">
        <f t="shared" si="855"/>
        <v>0</v>
      </c>
      <c r="CA224" s="234"/>
      <c r="CB224" s="234"/>
    </row>
    <row r="225" spans="1:80" s="234" customFormat="1" ht="14.45" customHeight="1">
      <c r="A225" s="235"/>
      <c r="B225" s="235"/>
      <c r="E225" s="236"/>
      <c r="I225" s="306"/>
      <c r="U225" s="283"/>
      <c r="V225" s="283"/>
      <c r="W225" s="283"/>
      <c r="X225" s="283"/>
      <c r="Y225" s="283"/>
      <c r="AC225" s="237"/>
      <c r="AE225" s="231"/>
      <c r="AF225" s="342"/>
      <c r="AG225" s="231"/>
      <c r="AH225" s="231"/>
      <c r="AI225" s="231"/>
      <c r="AJ225" s="231"/>
      <c r="AK225" s="231"/>
      <c r="AL225" s="231"/>
      <c r="AM225" s="231"/>
      <c r="AN225" s="342"/>
      <c r="AO225" s="231"/>
      <c r="AP225" s="231"/>
      <c r="AQ225" s="231"/>
      <c r="AR225" s="231"/>
      <c r="AS225" s="231"/>
      <c r="AU225" s="231"/>
      <c r="AW225" s="231"/>
      <c r="AX225" s="231"/>
      <c r="AY225" s="231"/>
      <c r="AZ225" s="231"/>
      <c r="BX225" s="351">
        <f t="shared" ref="BX225:BX249" si="895">SUM(AE225:AX225)-SUM(BB225:BU225)</f>
        <v>0</v>
      </c>
      <c r="BY225" s="378">
        <f t="shared" ref="BY225:BY249" si="896">E225-SUM(BB225:BU225)</f>
        <v>0</v>
      </c>
      <c r="BZ225" s="378">
        <f t="shared" ref="BZ225:BZ249" si="897">+E225-SUM(AE225:AX225)</f>
        <v>0</v>
      </c>
    </row>
    <row r="226" spans="1:80" ht="14.45" customHeight="1">
      <c r="A226" s="234"/>
      <c r="B226" s="234"/>
      <c r="C226" s="242"/>
      <c r="D226" s="234"/>
      <c r="E226" s="241">
        <f>SUM(E4:E224)</f>
        <v>25986908.510000002</v>
      </c>
      <c r="F226" s="242"/>
      <c r="G226" s="242"/>
      <c r="H226" s="242"/>
      <c r="I226" s="306"/>
      <c r="J226" s="242"/>
      <c r="K226" s="242"/>
      <c r="L226" s="242"/>
      <c r="M226" s="242"/>
      <c r="N226" s="242"/>
      <c r="O226" s="242"/>
      <c r="P226" s="242"/>
      <c r="Q226" s="242"/>
      <c r="R226" s="242"/>
      <c r="S226" s="242"/>
      <c r="T226" s="234"/>
      <c r="U226" s="283"/>
      <c r="Z226" s="323"/>
      <c r="AA226" s="323"/>
      <c r="AB226" s="323"/>
      <c r="AC226" s="242"/>
      <c r="AD226" s="234"/>
      <c r="AE226" s="231" t="s">
        <v>98</v>
      </c>
      <c r="AF226" s="342"/>
      <c r="AG226" s="234"/>
      <c r="AH226" s="234"/>
      <c r="AI226" s="234"/>
      <c r="AJ226" s="234"/>
      <c r="AK226" s="234"/>
      <c r="AL226" s="234"/>
      <c r="AM226" s="234"/>
      <c r="AN226" s="342"/>
      <c r="AO226" s="234"/>
      <c r="AP226" s="234"/>
      <c r="AQ226" s="234"/>
      <c r="AR226" s="234"/>
      <c r="AS226" s="234"/>
      <c r="AT226" s="234"/>
      <c r="AU226" s="234"/>
      <c r="AV226" s="234"/>
      <c r="AW226" s="234"/>
      <c r="AX226" s="234"/>
      <c r="AY226" s="234"/>
      <c r="AZ226" s="234"/>
      <c r="BA226" s="234"/>
      <c r="BB226" s="234"/>
      <c r="BC226" s="234"/>
      <c r="BD226" s="234"/>
      <c r="BE226" s="234"/>
      <c r="BF226" s="234"/>
      <c r="BG226" s="234"/>
      <c r="BH226" s="234"/>
      <c r="BI226" s="234"/>
      <c r="BJ226" s="234"/>
      <c r="BK226" s="234"/>
      <c r="BL226" s="234"/>
      <c r="BM226" s="234"/>
      <c r="BN226" s="234"/>
      <c r="BO226" s="234"/>
      <c r="BP226" s="234"/>
      <c r="BQ226" s="234"/>
      <c r="BR226" s="234"/>
      <c r="BS226" s="234"/>
      <c r="BT226" s="234"/>
      <c r="BU226" s="234"/>
      <c r="BV226" s="234"/>
      <c r="BW226" s="234"/>
      <c r="BX226" s="351">
        <f t="shared" si="895"/>
        <v>0</v>
      </c>
      <c r="BY226" s="378">
        <f t="shared" si="896"/>
        <v>25986908.510000002</v>
      </c>
      <c r="BZ226" s="378">
        <f t="shared" si="897"/>
        <v>25986908.510000002</v>
      </c>
      <c r="CA226" s="234"/>
      <c r="CB226" s="234"/>
    </row>
    <row r="227" spans="1:80" ht="14.45" customHeight="1">
      <c r="A227" s="234"/>
      <c r="B227" s="234"/>
      <c r="C227" s="234"/>
      <c r="D227" s="234"/>
      <c r="E227" s="241"/>
      <c r="F227" s="242"/>
      <c r="G227" s="242"/>
      <c r="H227" s="242"/>
      <c r="I227" s="306"/>
      <c r="J227" s="242"/>
      <c r="K227" s="242"/>
      <c r="L227" s="242"/>
      <c r="M227" s="242"/>
      <c r="N227" s="242"/>
      <c r="O227" s="242"/>
      <c r="P227" s="242"/>
      <c r="Q227" s="242"/>
      <c r="R227" s="242"/>
      <c r="S227" s="242"/>
      <c r="T227" s="242"/>
      <c r="U227" s="283"/>
      <c r="Z227" s="242"/>
      <c r="AA227" s="242"/>
      <c r="AB227" s="242"/>
      <c r="AC227" s="242"/>
      <c r="AD227" s="234"/>
      <c r="AE227" s="231"/>
      <c r="AF227" s="342"/>
      <c r="AG227" s="234"/>
      <c r="AH227" s="234"/>
      <c r="AI227" s="234"/>
      <c r="AJ227" s="234"/>
      <c r="AK227" s="234"/>
      <c r="AL227" s="234"/>
      <c r="AM227" s="234"/>
      <c r="AN227" s="342"/>
      <c r="AO227" s="234"/>
      <c r="AP227" s="234"/>
      <c r="AQ227" s="234"/>
      <c r="AR227" s="234"/>
      <c r="AS227" s="234"/>
      <c r="AT227" s="234"/>
      <c r="AU227" s="234"/>
      <c r="AV227" s="234"/>
      <c r="AW227" s="234"/>
      <c r="AX227" s="234"/>
      <c r="AY227" s="234"/>
      <c r="AZ227" s="234"/>
      <c r="BA227" s="234"/>
      <c r="BB227" s="234"/>
      <c r="BC227" s="234"/>
      <c r="BD227" s="234"/>
      <c r="BE227" s="234"/>
      <c r="BF227" s="234"/>
      <c r="BG227" s="234"/>
      <c r="BH227" s="234"/>
      <c r="BI227" s="234"/>
      <c r="BJ227" s="234"/>
      <c r="BK227" s="234"/>
      <c r="BL227" s="234"/>
      <c r="BM227" s="234"/>
      <c r="BN227" s="234"/>
      <c r="BO227" s="234"/>
      <c r="BP227" s="234"/>
      <c r="BQ227" s="234"/>
      <c r="BR227" s="234"/>
      <c r="BS227" s="234"/>
      <c r="BT227" s="234"/>
      <c r="BU227" s="234"/>
      <c r="BV227" s="234"/>
      <c r="BW227" s="234"/>
      <c r="BX227" s="351">
        <f t="shared" si="895"/>
        <v>0</v>
      </c>
      <c r="BY227" s="378">
        <f t="shared" si="896"/>
        <v>0</v>
      </c>
      <c r="BZ227" s="378">
        <f t="shared" si="897"/>
        <v>0</v>
      </c>
      <c r="CA227" s="234"/>
      <c r="CB227" s="234"/>
    </row>
    <row r="228" spans="1:80" ht="14.45" customHeight="1">
      <c r="A228" s="362" t="s">
        <v>122</v>
      </c>
      <c r="B228" s="362"/>
      <c r="C228" s="587"/>
      <c r="D228" s="587"/>
      <c r="E228" s="363">
        <f>SUMIF($A$4:$A$225,"="&amp;A228,$E$4:$E$225)</f>
        <v>7593016.0899999999</v>
      </c>
      <c r="F228" s="234"/>
      <c r="G228" s="234"/>
      <c r="H228" s="234"/>
      <c r="I228" s="306"/>
      <c r="J228" s="234"/>
      <c r="K228" s="234"/>
      <c r="L228" s="234"/>
      <c r="M228" s="234"/>
      <c r="N228" s="234"/>
      <c r="O228" s="234"/>
      <c r="P228" s="234"/>
      <c r="Q228" s="234"/>
      <c r="R228" s="234"/>
      <c r="S228" s="234"/>
      <c r="T228" s="231"/>
      <c r="U228" s="283"/>
      <c r="X228" s="240"/>
      <c r="Z228" s="234"/>
      <c r="AA228" s="234"/>
      <c r="AB228" s="234"/>
      <c r="AC228" s="234"/>
      <c r="AD228" s="234"/>
      <c r="AE228" s="234"/>
      <c r="AF228" s="234"/>
      <c r="AG228" s="234"/>
      <c r="AH228" s="234"/>
      <c r="AI228" s="234"/>
      <c r="AJ228" s="234"/>
      <c r="AK228" s="234"/>
      <c r="AL228" s="234"/>
      <c r="AM228" s="234"/>
      <c r="AN228" s="234"/>
      <c r="AO228" s="234"/>
      <c r="AP228" s="234"/>
      <c r="AQ228" s="234"/>
      <c r="AR228" s="234"/>
      <c r="AS228" s="234"/>
      <c r="AT228" s="234"/>
      <c r="AU228" s="234"/>
      <c r="AV228" s="234"/>
      <c r="AW228" s="234"/>
      <c r="AX228" s="234"/>
      <c r="AY228" s="234"/>
      <c r="AZ228" s="234"/>
      <c r="BA228" s="234"/>
      <c r="BB228" s="234"/>
      <c r="BC228" s="234"/>
      <c r="BD228" s="234"/>
      <c r="BE228" s="234"/>
      <c r="BF228" s="234"/>
      <c r="BG228" s="234"/>
      <c r="BH228" s="234"/>
      <c r="BI228" s="234"/>
      <c r="BJ228" s="234"/>
      <c r="BK228" s="234"/>
      <c r="BL228" s="234"/>
      <c r="BM228" s="234"/>
      <c r="BN228" s="234"/>
      <c r="BO228" s="234"/>
      <c r="BP228" s="234"/>
      <c r="BQ228" s="234"/>
      <c r="BR228" s="234"/>
      <c r="BS228" s="342"/>
      <c r="BT228" s="342"/>
      <c r="BU228" s="234"/>
      <c r="BV228" s="234"/>
      <c r="BW228" s="234"/>
      <c r="BX228" s="351">
        <f t="shared" si="895"/>
        <v>0</v>
      </c>
      <c r="BY228" s="378">
        <f t="shared" si="896"/>
        <v>7593016.0899999999</v>
      </c>
      <c r="BZ228" s="378">
        <f t="shared" si="897"/>
        <v>7593016.0899999999</v>
      </c>
      <c r="CA228" s="234"/>
      <c r="CB228" s="234"/>
    </row>
    <row r="229" spans="1:80" ht="14.45" customHeight="1">
      <c r="A229" s="362" t="s">
        <v>123</v>
      </c>
      <c r="B229" s="362"/>
      <c r="C229" s="587"/>
      <c r="D229" s="587"/>
      <c r="E229" s="368">
        <f>SUMIF($A$4:$A$225,"="&amp;A229,$E$4:$E$225)</f>
        <v>5511487.6500000004</v>
      </c>
      <c r="F229" s="234"/>
      <c r="G229" s="234"/>
      <c r="H229" s="234"/>
      <c r="I229" s="306"/>
      <c r="J229" s="234"/>
      <c r="K229" s="234"/>
      <c r="L229" s="234"/>
      <c r="M229" s="234"/>
      <c r="N229" s="234"/>
      <c r="O229" s="234"/>
      <c r="P229" s="234"/>
      <c r="Q229" s="234"/>
      <c r="R229" s="234"/>
      <c r="S229" s="234"/>
      <c r="T229" s="234"/>
      <c r="U229" s="234"/>
      <c r="V229" s="234"/>
      <c r="W229" s="234"/>
      <c r="X229" s="234"/>
      <c r="Y229" s="234"/>
      <c r="Z229" s="234"/>
      <c r="AA229" s="234"/>
      <c r="AB229" s="234"/>
      <c r="AC229" s="234"/>
      <c r="AD229" s="234"/>
      <c r="AE229" s="234"/>
      <c r="AF229" s="234"/>
      <c r="AG229" s="234"/>
      <c r="AH229" s="234"/>
      <c r="AI229" s="234"/>
      <c r="AJ229" s="234"/>
      <c r="AK229" s="234"/>
      <c r="AL229" s="234"/>
      <c r="AM229" s="234"/>
      <c r="AN229" s="234"/>
      <c r="AO229" s="234"/>
      <c r="AP229" s="234"/>
      <c r="AQ229" s="234"/>
      <c r="AR229" s="234"/>
      <c r="AS229" s="234"/>
      <c r="AT229" s="234"/>
      <c r="AU229" s="234"/>
      <c r="AV229" s="234"/>
      <c r="AW229" s="234"/>
      <c r="AX229" s="234"/>
      <c r="AY229" s="234"/>
      <c r="AZ229" s="234"/>
      <c r="BA229" s="234"/>
      <c r="BB229" s="234"/>
      <c r="BC229" s="234"/>
      <c r="BD229" s="234"/>
      <c r="BE229" s="234"/>
      <c r="BF229" s="234"/>
      <c r="BG229" s="234"/>
      <c r="BH229" s="234"/>
      <c r="BI229" s="234"/>
      <c r="BJ229" s="234"/>
      <c r="BK229" s="234"/>
      <c r="BL229" s="234"/>
      <c r="BM229" s="234"/>
      <c r="BN229" s="234"/>
      <c r="BO229" s="234"/>
      <c r="BP229" s="234"/>
      <c r="BQ229" s="234"/>
      <c r="BR229" s="234"/>
      <c r="BS229" s="342"/>
      <c r="BT229" s="342"/>
      <c r="BU229" s="234"/>
      <c r="BV229" s="234"/>
      <c r="BW229" s="234"/>
      <c r="BX229" s="351">
        <f t="shared" si="895"/>
        <v>0</v>
      </c>
      <c r="BY229" s="378">
        <f t="shared" si="896"/>
        <v>5511487.6500000004</v>
      </c>
      <c r="BZ229" s="378">
        <f t="shared" si="897"/>
        <v>5511487.6500000004</v>
      </c>
      <c r="CA229" s="234"/>
      <c r="CB229" s="234"/>
    </row>
    <row r="230" spans="1:80" ht="14.45" customHeight="1">
      <c r="A230" s="362" t="s">
        <v>125</v>
      </c>
      <c r="B230" s="362"/>
      <c r="C230" s="587"/>
      <c r="D230" s="587"/>
      <c r="E230" s="363">
        <f>SUMIF($A$4:$A$225,"="&amp;A230,$E$4:$E$225)</f>
        <v>4275547.1800000006</v>
      </c>
      <c r="F230" s="234"/>
      <c r="G230" s="234"/>
      <c r="H230" s="234"/>
      <c r="I230" s="306"/>
      <c r="J230" s="234"/>
      <c r="K230" s="234"/>
      <c r="L230" s="234"/>
      <c r="M230" s="234"/>
      <c r="N230" s="234"/>
      <c r="O230" s="234"/>
      <c r="P230" s="234"/>
      <c r="Q230" s="234"/>
      <c r="R230" s="234"/>
      <c r="S230" s="234"/>
      <c r="T230" s="234"/>
      <c r="U230" s="231"/>
      <c r="V230" s="234"/>
      <c r="W230" s="234"/>
      <c r="X230" s="234"/>
      <c r="Y230" s="234"/>
      <c r="Z230" s="234"/>
      <c r="AA230" s="234"/>
      <c r="AB230" s="234"/>
      <c r="AC230" s="234"/>
      <c r="AD230" s="234"/>
      <c r="AE230" s="382"/>
      <c r="AF230" s="382"/>
      <c r="AG230" s="382"/>
      <c r="AH230" s="382"/>
      <c r="AI230" s="382"/>
      <c r="AJ230" s="382"/>
      <c r="AK230" s="382"/>
      <c r="AL230" s="382"/>
      <c r="AM230" s="382"/>
      <c r="AN230" s="382"/>
      <c r="AO230" s="382"/>
      <c r="AP230" s="382"/>
      <c r="AQ230" s="382"/>
      <c r="AR230" s="382"/>
      <c r="AS230" s="382"/>
      <c r="AT230" s="382"/>
      <c r="AU230" s="342"/>
      <c r="AV230" s="342"/>
      <c r="AW230" s="342"/>
      <c r="AX230" s="234"/>
      <c r="AY230" s="234"/>
      <c r="AZ230" s="234"/>
      <c r="BA230" s="234"/>
      <c r="BB230" s="234"/>
      <c r="BC230" s="234"/>
      <c r="BD230" s="234"/>
      <c r="BE230" s="234"/>
      <c r="BF230" s="234"/>
      <c r="BG230" s="234"/>
      <c r="BH230" s="234"/>
      <c r="BI230" s="234"/>
      <c r="BJ230" s="234"/>
      <c r="BK230" s="234"/>
      <c r="BL230" s="234"/>
      <c r="BM230" s="234"/>
      <c r="BN230" s="234"/>
      <c r="BO230" s="234"/>
      <c r="BP230" s="234"/>
      <c r="BQ230" s="234"/>
      <c r="BR230" s="234"/>
      <c r="BS230" s="342"/>
      <c r="BT230" s="342"/>
      <c r="BU230" s="234"/>
      <c r="BV230" s="234"/>
      <c r="BW230" s="234"/>
      <c r="BX230" s="351">
        <f t="shared" si="895"/>
        <v>0</v>
      </c>
      <c r="BY230" s="378">
        <f t="shared" si="896"/>
        <v>4275547.1800000006</v>
      </c>
      <c r="BZ230" s="378">
        <f t="shared" si="897"/>
        <v>4275547.1800000006</v>
      </c>
      <c r="CA230" s="234"/>
      <c r="CB230" s="234"/>
    </row>
    <row r="231" spans="1:80" ht="14.45" customHeight="1">
      <c r="A231" s="362" t="s">
        <v>126</v>
      </c>
      <c r="B231" s="362"/>
      <c r="C231" s="587"/>
      <c r="D231" s="587"/>
      <c r="E231" s="363">
        <f>SUMIF($A$4:$A$225,"="&amp;A231,$E$4:$E$225)</f>
        <v>2944197.1100000003</v>
      </c>
      <c r="F231" s="234"/>
      <c r="G231" s="234"/>
      <c r="H231" s="234"/>
      <c r="I231" s="306"/>
      <c r="J231" s="234"/>
      <c r="K231" s="234"/>
      <c r="L231" s="234"/>
      <c r="M231" s="234"/>
      <c r="N231" s="234"/>
      <c r="O231" s="234"/>
      <c r="P231" s="234"/>
      <c r="Q231" s="234"/>
      <c r="R231" s="234"/>
      <c r="S231" s="234"/>
      <c r="T231" s="234"/>
      <c r="U231" s="231"/>
      <c r="V231" s="234"/>
      <c r="W231" s="234"/>
      <c r="X231" s="234"/>
      <c r="Y231" s="234"/>
      <c r="Z231" s="234"/>
      <c r="AA231" s="234"/>
      <c r="AB231" s="234"/>
      <c r="AC231" s="234"/>
      <c r="AD231" s="234"/>
      <c r="AE231" s="234"/>
      <c r="AF231" s="234"/>
      <c r="AG231" s="234"/>
      <c r="AH231" s="234"/>
      <c r="AI231" s="234"/>
      <c r="AJ231" s="234"/>
      <c r="AK231" s="234"/>
      <c r="AL231" s="234"/>
      <c r="AM231" s="234"/>
      <c r="AN231" s="234"/>
      <c r="AO231" s="234"/>
      <c r="AP231" s="234"/>
      <c r="AQ231" s="234"/>
      <c r="AR231" s="234"/>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c r="BM231" s="234"/>
      <c r="BN231" s="234"/>
      <c r="BO231" s="234"/>
      <c r="BP231" s="234"/>
      <c r="BQ231" s="234"/>
      <c r="BR231" s="234"/>
      <c r="BS231" s="342"/>
      <c r="BT231" s="342"/>
      <c r="BU231" s="234"/>
      <c r="BV231" s="234"/>
      <c r="BW231" s="234"/>
      <c r="BX231" s="351">
        <f t="shared" si="895"/>
        <v>0</v>
      </c>
      <c r="BY231" s="378">
        <f t="shared" si="896"/>
        <v>2944197.1100000003</v>
      </c>
      <c r="BZ231" s="378">
        <f t="shared" si="897"/>
        <v>2944197.1100000003</v>
      </c>
      <c r="CA231" s="234"/>
      <c r="CB231" s="234"/>
    </row>
    <row r="232" spans="1:80" ht="14.45" customHeight="1">
      <c r="A232" s="362" t="s">
        <v>127</v>
      </c>
      <c r="B232" s="362"/>
      <c r="C232" s="587"/>
      <c r="D232" s="587"/>
      <c r="E232" s="363">
        <f>SUMIF($A$4:$A$225,"="&amp;A232,$E$4:$E$225)</f>
        <v>394305.9</v>
      </c>
      <c r="F232" s="234"/>
      <c r="G232" s="234"/>
      <c r="H232" s="234"/>
      <c r="I232" s="306"/>
      <c r="J232" s="234"/>
      <c r="K232" s="234"/>
      <c r="L232" s="234"/>
      <c r="M232" s="234"/>
      <c r="N232" s="234"/>
      <c r="O232" s="234"/>
      <c r="P232" s="234"/>
      <c r="Q232" s="234"/>
      <c r="R232" s="234"/>
      <c r="S232" s="234"/>
      <c r="T232" s="234"/>
      <c r="U232" s="234"/>
      <c r="V232" s="234"/>
      <c r="W232" s="234"/>
      <c r="X232" s="234"/>
      <c r="Y232" s="234"/>
      <c r="Z232" s="234"/>
      <c r="AA232" s="234"/>
      <c r="AB232" s="234"/>
      <c r="AC232" s="234"/>
      <c r="AD232" s="234"/>
      <c r="AE232" s="234"/>
      <c r="AF232" s="234"/>
      <c r="AG232" s="234"/>
      <c r="AH232" s="234"/>
      <c r="AI232" s="234"/>
      <c r="AJ232" s="234"/>
      <c r="AK232" s="234"/>
      <c r="AL232" s="234"/>
      <c r="AM232" s="234"/>
      <c r="AN232" s="234"/>
      <c r="AO232" s="234"/>
      <c r="AP232" s="234"/>
      <c r="AQ232" s="234"/>
      <c r="AR232" s="234"/>
      <c r="AS232" s="234"/>
      <c r="AT232" s="234"/>
      <c r="AU232" s="234"/>
      <c r="AV232" s="234"/>
      <c r="AW232" s="234"/>
      <c r="AX232" s="234"/>
      <c r="AY232" s="234"/>
      <c r="AZ232" s="234"/>
      <c r="BA232" s="234"/>
      <c r="BB232" s="234"/>
      <c r="BC232" s="234"/>
      <c r="BD232" s="234"/>
      <c r="BE232" s="234"/>
      <c r="BF232" s="234"/>
      <c r="BG232" s="234"/>
      <c r="BH232" s="234"/>
      <c r="BI232" s="234"/>
      <c r="BJ232" s="234"/>
      <c r="BK232" s="234"/>
      <c r="BL232" s="234"/>
      <c r="BM232" s="234"/>
      <c r="BN232" s="234"/>
      <c r="BO232" s="234"/>
      <c r="BP232" s="234"/>
      <c r="BQ232" s="234"/>
      <c r="BR232" s="234"/>
      <c r="BS232" s="342"/>
      <c r="BT232" s="342"/>
      <c r="BU232" s="234"/>
      <c r="BV232" s="234"/>
      <c r="BW232" s="234"/>
      <c r="BX232" s="351">
        <f t="shared" si="895"/>
        <v>0</v>
      </c>
      <c r="BY232" s="378">
        <f t="shared" si="896"/>
        <v>394305.9</v>
      </c>
      <c r="BZ232" s="378">
        <f t="shared" si="897"/>
        <v>394305.9</v>
      </c>
      <c r="CA232" s="234"/>
      <c r="CB232" s="234"/>
    </row>
    <row r="233" spans="1:80" s="283" customFormat="1" ht="14.45" customHeight="1">
      <c r="A233" s="234"/>
      <c r="B233" s="234"/>
      <c r="C233" s="352"/>
      <c r="D233" s="352"/>
      <c r="E233" s="353">
        <f>SUM(E228:E232)</f>
        <v>20718553.93</v>
      </c>
      <c r="F233" s="318"/>
      <c r="G233" s="231"/>
      <c r="H233" s="234"/>
      <c r="I233" s="306"/>
      <c r="J233" s="234"/>
      <c r="K233" s="234"/>
      <c r="L233" s="234"/>
      <c r="M233" s="234"/>
      <c r="N233" s="234"/>
      <c r="O233" s="234"/>
      <c r="P233" s="234"/>
      <c r="Q233" s="234"/>
      <c r="R233" s="234"/>
      <c r="S233" s="234"/>
      <c r="T233" s="234"/>
      <c r="U233" s="234"/>
      <c r="V233" s="234"/>
      <c r="W233" s="234"/>
      <c r="X233" s="234"/>
      <c r="Y233" s="234"/>
      <c r="Z233" s="234"/>
      <c r="AA233" s="234"/>
      <c r="AB233" s="234"/>
      <c r="AC233" s="234"/>
      <c r="AD233" s="234"/>
      <c r="AE233" s="234"/>
      <c r="AF233" s="342"/>
      <c r="AG233" s="234"/>
      <c r="AH233" s="234"/>
      <c r="AI233" s="234"/>
      <c r="AJ233" s="234"/>
      <c r="AK233" s="234"/>
      <c r="AL233" s="234"/>
      <c r="AM233" s="234"/>
      <c r="AN233" s="342"/>
      <c r="AO233" s="234"/>
      <c r="AP233" s="234"/>
      <c r="AQ233" s="234"/>
      <c r="AR233" s="378"/>
      <c r="AS233" s="234"/>
      <c r="AT233" s="234"/>
      <c r="AU233" s="234"/>
      <c r="AV233" s="234"/>
      <c r="AW233" s="234"/>
      <c r="AX233" s="234"/>
      <c r="AY233" s="234"/>
      <c r="AZ233" s="234"/>
      <c r="BA233" s="234"/>
      <c r="BB233" s="234"/>
      <c r="BC233" s="234"/>
      <c r="BD233" s="234"/>
      <c r="BE233" s="234"/>
      <c r="BF233" s="234"/>
      <c r="BG233" s="234"/>
      <c r="BH233" s="234"/>
      <c r="BI233" s="234"/>
      <c r="BJ233" s="234"/>
      <c r="BK233" s="234"/>
      <c r="BL233" s="234"/>
      <c r="BM233" s="234"/>
      <c r="BN233" s="234"/>
      <c r="BO233" s="234"/>
      <c r="BP233" s="234"/>
      <c r="BQ233" s="234"/>
      <c r="BR233" s="234"/>
      <c r="BS233" s="234"/>
      <c r="BT233" s="234"/>
      <c r="BU233" s="234"/>
      <c r="BV233" s="234"/>
      <c r="BW233" s="234"/>
      <c r="BX233" s="351">
        <f t="shared" si="895"/>
        <v>0</v>
      </c>
      <c r="BY233" s="378">
        <f t="shared" si="896"/>
        <v>20718553.93</v>
      </c>
      <c r="BZ233" s="378">
        <f t="shared" si="897"/>
        <v>20718553.93</v>
      </c>
      <c r="CA233" s="234"/>
      <c r="CB233" s="234"/>
    </row>
    <row r="234" spans="1:80" ht="15" customHeight="1">
      <c r="A234" s="362" t="s">
        <v>129</v>
      </c>
      <c r="B234" s="362"/>
      <c r="C234" s="587"/>
      <c r="D234" s="587"/>
      <c r="E234" s="381">
        <f>SUMIF($A$4:$A$225,"="&amp;A234,$E$4:$E$225)</f>
        <v>1361649.879999999</v>
      </c>
      <c r="F234" s="234"/>
      <c r="G234" s="234"/>
      <c r="H234" s="234"/>
      <c r="I234" s="306"/>
      <c r="J234" s="234"/>
      <c r="K234" s="234"/>
      <c r="L234" s="234"/>
      <c r="M234" s="234"/>
      <c r="N234" s="234"/>
      <c r="O234" s="234"/>
      <c r="P234" s="234"/>
      <c r="Q234" s="234"/>
      <c r="R234" s="234"/>
      <c r="S234" s="234"/>
      <c r="T234" s="234"/>
      <c r="U234" s="234"/>
      <c r="V234" s="234"/>
      <c r="W234" s="234"/>
      <c r="X234" s="234"/>
      <c r="Y234" s="234"/>
      <c r="Z234" s="234"/>
      <c r="AA234" s="234"/>
      <c r="AB234" s="234"/>
      <c r="AC234" s="234"/>
      <c r="AD234" s="234"/>
      <c r="AE234" s="234"/>
      <c r="AF234" s="234"/>
      <c r="AG234" s="234"/>
      <c r="AH234" s="234"/>
      <c r="AI234" s="234"/>
      <c r="AJ234" s="234"/>
      <c r="AK234" s="234"/>
      <c r="AL234" s="234"/>
      <c r="AM234" s="234"/>
      <c r="AN234" s="234"/>
      <c r="AO234" s="234"/>
      <c r="AP234" s="234"/>
      <c r="AQ234" s="234"/>
      <c r="AR234" s="234"/>
      <c r="AS234" s="234"/>
      <c r="AT234" s="234"/>
      <c r="AU234" s="234"/>
      <c r="AV234" s="234"/>
      <c r="AW234" s="234"/>
      <c r="AX234" s="234"/>
      <c r="AY234" s="234"/>
      <c r="AZ234" s="234"/>
      <c r="BA234" s="234"/>
      <c r="BB234" s="234"/>
      <c r="BC234" s="234"/>
      <c r="BD234" s="234"/>
      <c r="BE234" s="234"/>
      <c r="BF234" s="234"/>
      <c r="BG234" s="234"/>
      <c r="BH234" s="234"/>
      <c r="BI234" s="234"/>
      <c r="BJ234" s="234"/>
      <c r="BK234" s="234"/>
      <c r="BL234" s="234"/>
      <c r="BM234" s="234"/>
      <c r="BN234" s="234"/>
      <c r="BO234" s="234"/>
      <c r="BP234" s="234"/>
      <c r="BQ234" s="234"/>
      <c r="BR234" s="234"/>
      <c r="BS234" s="234"/>
      <c r="BT234" s="234"/>
      <c r="BU234" s="234"/>
      <c r="BV234" s="234"/>
      <c r="BW234" s="234"/>
      <c r="BX234" s="351">
        <f t="shared" si="895"/>
        <v>0</v>
      </c>
      <c r="BY234" s="378">
        <f t="shared" si="896"/>
        <v>1361649.879999999</v>
      </c>
      <c r="BZ234" s="378">
        <f t="shared" si="897"/>
        <v>1361649.879999999</v>
      </c>
      <c r="CA234" s="234"/>
      <c r="CB234" s="234"/>
    </row>
    <row r="235" spans="1:80" s="283" customFormat="1" ht="14.45" customHeight="1">
      <c r="A235" s="234"/>
      <c r="B235" s="234"/>
      <c r="C235" s="352"/>
      <c r="D235" s="352"/>
      <c r="E235" s="354">
        <f>E234</f>
        <v>1361649.879999999</v>
      </c>
      <c r="F235" s="318">
        <f>'QFR - B'!M20</f>
        <v>1412145.29</v>
      </c>
      <c r="G235" s="231">
        <f>F235-E235</f>
        <v>50495.41000000108</v>
      </c>
      <c r="H235" s="234"/>
      <c r="I235" s="306"/>
      <c r="J235" s="234"/>
      <c r="K235" s="234"/>
      <c r="L235" s="234"/>
      <c r="M235" s="234"/>
      <c r="N235" s="234"/>
      <c r="O235" s="234"/>
      <c r="P235" s="234"/>
      <c r="Q235" s="234"/>
      <c r="R235" s="234"/>
      <c r="S235" s="234"/>
      <c r="T235" s="234"/>
      <c r="U235" s="234"/>
      <c r="V235" s="234"/>
      <c r="W235" s="234"/>
      <c r="X235" s="234"/>
      <c r="Y235" s="234"/>
      <c r="Z235" s="234"/>
      <c r="AA235" s="234"/>
      <c r="AB235" s="234"/>
      <c r="AC235" s="234"/>
      <c r="AD235" s="234"/>
      <c r="AE235" s="234"/>
      <c r="AF235" s="342"/>
      <c r="AG235" s="234"/>
      <c r="AH235" s="234"/>
      <c r="AI235" s="234"/>
      <c r="AJ235" s="234"/>
      <c r="AK235" s="234"/>
      <c r="AL235" s="234"/>
      <c r="AM235" s="234"/>
      <c r="AN235" s="342"/>
      <c r="AO235" s="234"/>
      <c r="AP235" s="234"/>
      <c r="AQ235" s="234"/>
      <c r="AR235" s="234"/>
      <c r="AS235" s="234"/>
      <c r="AT235" s="234"/>
      <c r="AU235" s="234"/>
      <c r="AV235" s="234"/>
      <c r="AW235" s="234"/>
      <c r="AX235" s="234"/>
      <c r="AY235" s="234"/>
      <c r="AZ235" s="234"/>
      <c r="BA235" s="234"/>
      <c r="BB235" s="234"/>
      <c r="BC235" s="234"/>
      <c r="BD235" s="234"/>
      <c r="BE235" s="234"/>
      <c r="BF235" s="234"/>
      <c r="BG235" s="234"/>
      <c r="BH235" s="234"/>
      <c r="BI235" s="234"/>
      <c r="BJ235" s="234"/>
      <c r="BK235" s="234"/>
      <c r="BL235" s="234"/>
      <c r="BM235" s="234"/>
      <c r="BN235" s="234"/>
      <c r="BO235" s="234"/>
      <c r="BP235" s="234"/>
      <c r="BQ235" s="234"/>
      <c r="BR235" s="234"/>
      <c r="BS235" s="234"/>
      <c r="BT235" s="234"/>
      <c r="BU235" s="234"/>
      <c r="BV235" s="234"/>
      <c r="BW235" s="234"/>
      <c r="BX235" s="351">
        <f t="shared" si="895"/>
        <v>0</v>
      </c>
      <c r="BY235" s="378">
        <f t="shared" si="896"/>
        <v>1361649.879999999</v>
      </c>
      <c r="BZ235" s="378">
        <f t="shared" si="897"/>
        <v>1361649.879999999</v>
      </c>
      <c r="CA235" s="234"/>
      <c r="CB235" s="234"/>
    </row>
    <row r="236" spans="1:80" ht="14.45" customHeight="1">
      <c r="A236" s="362" t="s">
        <v>130</v>
      </c>
      <c r="B236" s="362"/>
      <c r="C236" s="587"/>
      <c r="D236" s="587"/>
      <c r="E236" s="364">
        <f>SUMIF($A$4:$A$225,"="&amp;A236,$E$4:$E$225)</f>
        <v>477302.5</v>
      </c>
      <c r="F236" s="234"/>
      <c r="G236" s="234"/>
      <c r="H236" s="234"/>
      <c r="I236" s="306"/>
      <c r="J236" s="234"/>
      <c r="K236" s="234"/>
      <c r="L236" s="234"/>
      <c r="M236" s="234"/>
      <c r="N236" s="234"/>
      <c r="O236" s="234"/>
      <c r="P236" s="234"/>
      <c r="Q236" s="234"/>
      <c r="R236" s="234"/>
      <c r="S236" s="234"/>
      <c r="T236" s="234"/>
      <c r="U236" s="234"/>
      <c r="V236" s="234"/>
      <c r="W236" s="234"/>
      <c r="X236" s="234"/>
      <c r="Y236" s="234"/>
      <c r="Z236" s="234"/>
      <c r="AA236" s="234"/>
      <c r="AB236" s="234"/>
      <c r="AC236" s="234"/>
      <c r="AD236" s="234"/>
      <c r="AE236" s="234"/>
      <c r="AF236" s="234"/>
      <c r="AG236" s="234"/>
      <c r="AH236" s="234"/>
      <c r="AI236" s="234"/>
      <c r="AJ236" s="234"/>
      <c r="AK236" s="234"/>
      <c r="AL236" s="234"/>
      <c r="AM236" s="234"/>
      <c r="AN236" s="342"/>
      <c r="AO236" s="234"/>
      <c r="AP236" s="234"/>
      <c r="AQ236" s="234"/>
      <c r="AR236" s="234"/>
      <c r="AS236" s="234"/>
      <c r="AT236" s="234"/>
      <c r="AU236" s="234"/>
      <c r="AV236" s="234"/>
      <c r="AW236" s="234"/>
      <c r="AX236" s="234"/>
      <c r="AY236" s="234"/>
      <c r="AZ236" s="234"/>
      <c r="BA236" s="234"/>
      <c r="BB236" s="234"/>
      <c r="BC236" s="234"/>
      <c r="BD236" s="234"/>
      <c r="BE236" s="234"/>
      <c r="BF236" s="234"/>
      <c r="BG236" s="234"/>
      <c r="BH236" s="234"/>
      <c r="BI236" s="234"/>
      <c r="BJ236" s="234"/>
      <c r="BK236" s="234"/>
      <c r="BL236" s="234"/>
      <c r="BM236" s="234"/>
      <c r="BN236" s="234"/>
      <c r="BO236" s="234"/>
      <c r="BP236" s="234"/>
      <c r="BQ236" s="234"/>
      <c r="BR236" s="234"/>
      <c r="BS236" s="234"/>
      <c r="BT236" s="234"/>
      <c r="BU236" s="234"/>
      <c r="BV236" s="234"/>
      <c r="BW236" s="234"/>
      <c r="BX236" s="351">
        <f t="shared" si="895"/>
        <v>0</v>
      </c>
      <c r="BY236" s="378">
        <f t="shared" si="896"/>
        <v>477302.5</v>
      </c>
      <c r="BZ236" s="378">
        <f t="shared" si="897"/>
        <v>477302.5</v>
      </c>
      <c r="CA236" s="234"/>
      <c r="CB236" s="234"/>
    </row>
    <row r="237" spans="1:80" ht="14.45" customHeight="1">
      <c r="A237" s="362" t="s">
        <v>131</v>
      </c>
      <c r="B237" s="362"/>
      <c r="C237" s="587"/>
      <c r="D237" s="587"/>
      <c r="E237" s="364">
        <f>SUMIF($A$4:$A$225,"="&amp;A237,$E$4:$E$225)</f>
        <v>1030229</v>
      </c>
      <c r="F237" s="234"/>
      <c r="G237" s="234"/>
      <c r="H237" s="234"/>
      <c r="I237" s="306"/>
      <c r="J237" s="234"/>
      <c r="K237" s="234"/>
      <c r="L237" s="234"/>
      <c r="M237" s="234"/>
      <c r="N237" s="234"/>
      <c r="O237" s="234"/>
      <c r="P237" s="234"/>
      <c r="Q237" s="234"/>
      <c r="R237" s="234"/>
      <c r="S237" s="234"/>
      <c r="T237" s="234"/>
      <c r="U237" s="234"/>
      <c r="V237" s="234"/>
      <c r="W237" s="234"/>
      <c r="X237" s="234"/>
      <c r="Y237" s="234"/>
      <c r="Z237" s="234"/>
      <c r="AA237" s="234"/>
      <c r="AB237" s="234"/>
      <c r="AC237" s="234"/>
      <c r="AD237" s="234"/>
      <c r="AE237" s="234"/>
      <c r="AF237" s="234"/>
      <c r="AG237" s="234"/>
      <c r="AH237" s="234"/>
      <c r="AI237" s="234"/>
      <c r="AJ237" s="234"/>
      <c r="AK237" s="234"/>
      <c r="AL237" s="234"/>
      <c r="AM237" s="234"/>
      <c r="AN237" s="234"/>
      <c r="AO237" s="234"/>
      <c r="AP237" s="234"/>
      <c r="AQ237" s="234"/>
      <c r="AR237" s="234"/>
      <c r="AS237" s="234"/>
      <c r="AT237" s="234"/>
      <c r="AU237" s="234"/>
      <c r="AV237" s="234"/>
      <c r="AW237" s="234"/>
      <c r="AX237" s="234"/>
      <c r="AY237" s="234"/>
      <c r="AZ237" s="234"/>
      <c r="BA237" s="234"/>
      <c r="BB237" s="234"/>
      <c r="BC237" s="234"/>
      <c r="BD237" s="234"/>
      <c r="BE237" s="234"/>
      <c r="BF237" s="234"/>
      <c r="BG237" s="234"/>
      <c r="BH237" s="234"/>
      <c r="BI237" s="234"/>
      <c r="BJ237" s="234"/>
      <c r="BK237" s="234"/>
      <c r="BL237" s="234"/>
      <c r="BM237" s="234"/>
      <c r="BN237" s="234"/>
      <c r="BO237" s="234"/>
      <c r="BP237" s="234"/>
      <c r="BQ237" s="234"/>
      <c r="BR237" s="234"/>
      <c r="BS237" s="234"/>
      <c r="BT237" s="234"/>
      <c r="BU237" s="234"/>
      <c r="BV237" s="234"/>
      <c r="BW237" s="234"/>
      <c r="BX237" s="351">
        <f t="shared" si="895"/>
        <v>0</v>
      </c>
      <c r="BY237" s="378">
        <f t="shared" si="896"/>
        <v>1030229</v>
      </c>
      <c r="BZ237" s="378">
        <f t="shared" si="897"/>
        <v>1030229</v>
      </c>
      <c r="CA237" s="234"/>
      <c r="CB237" s="234"/>
    </row>
    <row r="238" spans="1:80" s="283" customFormat="1" ht="14.45" customHeight="1">
      <c r="A238" s="234"/>
      <c r="B238" s="234"/>
      <c r="C238" s="352"/>
      <c r="D238" s="352"/>
      <c r="E238" s="354">
        <f>SUM(E236:E237)</f>
        <v>1507531.5</v>
      </c>
      <c r="F238" s="318">
        <f>'QFR - B'!M21</f>
        <v>1548175.27</v>
      </c>
      <c r="G238" s="231">
        <f>F238-E238</f>
        <v>40643.770000000019</v>
      </c>
      <c r="H238" s="234"/>
      <c r="I238" s="306"/>
      <c r="J238" s="234"/>
      <c r="K238" s="234"/>
      <c r="L238" s="234"/>
      <c r="M238" s="234"/>
      <c r="N238" s="234"/>
      <c r="O238" s="234"/>
      <c r="P238" s="234"/>
      <c r="Q238" s="234"/>
      <c r="R238" s="234"/>
      <c r="S238" s="234"/>
      <c r="T238" s="234"/>
      <c r="U238" s="234"/>
      <c r="V238" s="234"/>
      <c r="W238" s="234"/>
      <c r="X238" s="234"/>
      <c r="Y238" s="234"/>
      <c r="Z238" s="234"/>
      <c r="AA238" s="234"/>
      <c r="AB238" s="234"/>
      <c r="AC238" s="234"/>
      <c r="AD238" s="234"/>
      <c r="AE238" s="234"/>
      <c r="AF238" s="342"/>
      <c r="AG238" s="234"/>
      <c r="AH238" s="234"/>
      <c r="AI238" s="234"/>
      <c r="AJ238" s="234"/>
      <c r="AK238" s="234"/>
      <c r="AL238" s="234"/>
      <c r="AM238" s="234"/>
      <c r="AN238" s="342"/>
      <c r="AO238" s="234"/>
      <c r="AP238" s="234"/>
      <c r="AQ238" s="234"/>
      <c r="AR238" s="234"/>
      <c r="AS238" s="234"/>
      <c r="AT238" s="234"/>
      <c r="AU238" s="234"/>
      <c r="AV238" s="234"/>
      <c r="AW238" s="234"/>
      <c r="AX238" s="234"/>
      <c r="AY238" s="234"/>
      <c r="AZ238" s="234"/>
      <c r="BA238" s="234"/>
      <c r="BB238" s="234"/>
      <c r="BC238" s="234"/>
      <c r="BD238" s="234"/>
      <c r="BE238" s="234"/>
      <c r="BF238" s="234"/>
      <c r="BG238" s="234"/>
      <c r="BH238" s="234"/>
      <c r="BI238" s="234"/>
      <c r="BJ238" s="234"/>
      <c r="BK238" s="234"/>
      <c r="BL238" s="234"/>
      <c r="BM238" s="234"/>
      <c r="BN238" s="234"/>
      <c r="BO238" s="234"/>
      <c r="BP238" s="234"/>
      <c r="BQ238" s="234"/>
      <c r="BR238" s="234"/>
      <c r="BS238" s="234"/>
      <c r="BT238" s="234"/>
      <c r="BU238" s="234"/>
      <c r="BV238" s="234"/>
      <c r="BW238" s="234"/>
      <c r="BX238" s="351">
        <f t="shared" si="895"/>
        <v>0</v>
      </c>
      <c r="BY238" s="378">
        <f t="shared" si="896"/>
        <v>1507531.5</v>
      </c>
      <c r="BZ238" s="378">
        <f t="shared" si="897"/>
        <v>1507531.5</v>
      </c>
      <c r="CA238" s="234"/>
      <c r="CB238" s="234"/>
    </row>
    <row r="239" spans="1:80" ht="14.45" customHeight="1">
      <c r="A239" s="362" t="s">
        <v>133</v>
      </c>
      <c r="B239" s="362"/>
      <c r="C239" s="587"/>
      <c r="D239" s="587"/>
      <c r="E239" s="364">
        <f>SUMIF($A$4:$A$225,"="&amp;A239,$E$4:$E$225)</f>
        <v>470639.62000000005</v>
      </c>
      <c r="F239" s="234"/>
      <c r="G239" s="234"/>
      <c r="H239" s="234"/>
      <c r="I239" s="306"/>
      <c r="J239" s="234"/>
      <c r="K239" s="234"/>
      <c r="L239" s="234"/>
      <c r="M239" s="234"/>
      <c r="N239" s="234"/>
      <c r="O239" s="234"/>
      <c r="P239" s="234"/>
      <c r="Q239" s="234"/>
      <c r="R239" s="234"/>
      <c r="S239" s="234"/>
      <c r="T239" s="234"/>
      <c r="U239" s="234"/>
      <c r="V239" s="234"/>
      <c r="W239" s="234"/>
      <c r="X239" s="234"/>
      <c r="Y239" s="234"/>
      <c r="Z239" s="234"/>
      <c r="AA239" s="234"/>
      <c r="AB239" s="234"/>
      <c r="AC239" s="234"/>
      <c r="AD239" s="234"/>
      <c r="AE239" s="234"/>
      <c r="AF239" s="234"/>
      <c r="AG239" s="234"/>
      <c r="AH239" s="234"/>
      <c r="AI239" s="234"/>
      <c r="AJ239" s="342"/>
      <c r="AK239" s="234"/>
      <c r="AL239" s="234"/>
      <c r="AM239" s="234"/>
      <c r="AN239" s="234"/>
      <c r="AO239" s="234"/>
      <c r="AP239" s="234"/>
      <c r="AQ239" s="234"/>
      <c r="AR239" s="234"/>
      <c r="AS239" s="234"/>
      <c r="AT239" s="234"/>
      <c r="AU239" s="234"/>
      <c r="AV239" s="234"/>
      <c r="AW239" s="234"/>
      <c r="AX239" s="234"/>
      <c r="AY239" s="234"/>
      <c r="AZ239" s="234"/>
      <c r="BA239" s="234"/>
      <c r="BB239" s="234"/>
      <c r="BC239" s="234"/>
      <c r="BD239" s="234"/>
      <c r="BE239" s="234"/>
      <c r="BF239" s="234"/>
      <c r="BG239" s="234"/>
      <c r="BH239" s="234"/>
      <c r="BI239" s="234"/>
      <c r="BJ239" s="234"/>
      <c r="BK239" s="234"/>
      <c r="BL239" s="234"/>
      <c r="BM239" s="234"/>
      <c r="BN239" s="234"/>
      <c r="BO239" s="234"/>
      <c r="BP239" s="234"/>
      <c r="BQ239" s="234"/>
      <c r="BR239" s="234"/>
      <c r="BS239" s="234"/>
      <c r="BT239" s="234"/>
      <c r="BU239" s="234"/>
      <c r="BV239" s="234"/>
      <c r="BW239" s="234"/>
      <c r="BX239" s="351">
        <f t="shared" si="895"/>
        <v>0</v>
      </c>
      <c r="BY239" s="378">
        <f t="shared" si="896"/>
        <v>470639.62000000005</v>
      </c>
      <c r="BZ239" s="378">
        <f t="shared" si="897"/>
        <v>470639.62000000005</v>
      </c>
      <c r="CA239" s="234"/>
      <c r="CB239" s="234"/>
    </row>
    <row r="240" spans="1:80" ht="14.45" customHeight="1">
      <c r="A240" s="362" t="s">
        <v>134</v>
      </c>
      <c r="B240" s="362"/>
      <c r="C240" s="587"/>
      <c r="D240" s="587"/>
      <c r="E240" s="364">
        <f>SUMIF($A$4:$A$225,"="&amp;A240,$E$4:$E$225)</f>
        <v>0</v>
      </c>
      <c r="F240" s="234"/>
      <c r="G240" s="234"/>
      <c r="H240" s="234"/>
      <c r="I240" s="306"/>
      <c r="J240" s="234"/>
      <c r="K240" s="234"/>
      <c r="L240" s="234"/>
      <c r="M240" s="234"/>
      <c r="N240" s="234"/>
      <c r="O240" s="234"/>
      <c r="P240" s="234"/>
      <c r="Q240" s="234"/>
      <c r="R240" s="234"/>
      <c r="S240" s="234"/>
      <c r="T240" s="234"/>
      <c r="U240" s="234"/>
      <c r="V240" s="234"/>
      <c r="W240" s="234"/>
      <c r="X240" s="234"/>
      <c r="Y240" s="234"/>
      <c r="Z240" s="234"/>
      <c r="AA240" s="234"/>
      <c r="AB240" s="234"/>
      <c r="AC240" s="234"/>
      <c r="AD240" s="234"/>
      <c r="AE240" s="234"/>
      <c r="AF240" s="234"/>
      <c r="AG240" s="234"/>
      <c r="AH240" s="234"/>
      <c r="AI240" s="234"/>
      <c r="AJ240" s="234"/>
      <c r="AK240" s="234"/>
      <c r="AL240" s="234"/>
      <c r="AM240" s="234"/>
      <c r="AN240" s="234"/>
      <c r="AO240" s="234"/>
      <c r="AP240" s="234"/>
      <c r="AQ240" s="234"/>
      <c r="AR240" s="234"/>
      <c r="AS240" s="234"/>
      <c r="AT240" s="234"/>
      <c r="AU240" s="234"/>
      <c r="AV240" s="234"/>
      <c r="AW240" s="234"/>
      <c r="AX240" s="234"/>
      <c r="AY240" s="234"/>
      <c r="AZ240" s="234"/>
      <c r="BA240" s="234"/>
      <c r="BB240" s="234"/>
      <c r="BC240" s="234"/>
      <c r="BD240" s="234"/>
      <c r="BE240" s="234"/>
      <c r="BF240" s="234"/>
      <c r="BG240" s="234"/>
      <c r="BH240" s="234"/>
      <c r="BI240" s="234"/>
      <c r="BJ240" s="234"/>
      <c r="BK240" s="234"/>
      <c r="BL240" s="234"/>
      <c r="BM240" s="234"/>
      <c r="BN240" s="234"/>
      <c r="BO240" s="234"/>
      <c r="BP240" s="234"/>
      <c r="BQ240" s="234"/>
      <c r="BR240" s="234"/>
      <c r="BS240" s="234"/>
      <c r="BT240" s="234"/>
      <c r="BU240" s="234"/>
      <c r="BV240" s="234"/>
      <c r="BW240" s="234"/>
      <c r="BX240" s="351">
        <f t="shared" si="895"/>
        <v>0</v>
      </c>
      <c r="BY240" s="378">
        <f t="shared" si="896"/>
        <v>0</v>
      </c>
      <c r="BZ240" s="378">
        <f t="shared" si="897"/>
        <v>0</v>
      </c>
      <c r="CA240" s="234"/>
      <c r="CB240" s="234"/>
    </row>
    <row r="241" spans="1:80" ht="14.45" customHeight="1">
      <c r="A241" s="362" t="s">
        <v>135</v>
      </c>
      <c r="B241" s="362"/>
      <c r="C241" s="587"/>
      <c r="D241" s="587"/>
      <c r="E241" s="364">
        <f>SUMIF($A$4:$A$225,"="&amp;A241,$E$4:$E$225)</f>
        <v>0</v>
      </c>
      <c r="F241" s="234"/>
      <c r="G241" s="234"/>
      <c r="H241" s="234"/>
      <c r="I241" s="306"/>
      <c r="J241" s="234"/>
      <c r="K241" s="234"/>
      <c r="L241" s="234"/>
      <c r="M241" s="234"/>
      <c r="N241" s="234"/>
      <c r="O241" s="234"/>
      <c r="P241" s="234"/>
      <c r="Q241" s="234"/>
      <c r="R241" s="234"/>
      <c r="S241" s="234"/>
      <c r="T241" s="234"/>
      <c r="U241" s="234"/>
      <c r="V241" s="234"/>
      <c r="W241" s="234"/>
      <c r="X241" s="234"/>
      <c r="Y241" s="234"/>
      <c r="Z241" s="234"/>
      <c r="AA241" s="234"/>
      <c r="AB241" s="234"/>
      <c r="AC241" s="234"/>
      <c r="AD241" s="234"/>
      <c r="AE241" s="234"/>
      <c r="AF241" s="234"/>
      <c r="AG241" s="234"/>
      <c r="AH241" s="234"/>
      <c r="AI241" s="234"/>
      <c r="AJ241" s="234"/>
      <c r="AK241" s="234"/>
      <c r="AL241" s="234"/>
      <c r="AM241" s="234"/>
      <c r="AN241" s="234"/>
      <c r="AO241" s="234"/>
      <c r="AP241" s="234"/>
      <c r="AQ241" s="234"/>
      <c r="AR241" s="234"/>
      <c r="AS241" s="234"/>
      <c r="AT241" s="234"/>
      <c r="AU241" s="234"/>
      <c r="AV241" s="234"/>
      <c r="AW241" s="234"/>
      <c r="AX241" s="234"/>
      <c r="AY241" s="234"/>
      <c r="AZ241" s="234"/>
      <c r="BA241" s="234"/>
      <c r="BB241" s="234"/>
      <c r="BC241" s="234"/>
      <c r="BD241" s="234"/>
      <c r="BE241" s="234"/>
      <c r="BF241" s="234"/>
      <c r="BG241" s="234"/>
      <c r="BH241" s="234"/>
      <c r="BI241" s="234"/>
      <c r="BJ241" s="234"/>
      <c r="BK241" s="234"/>
      <c r="BL241" s="234"/>
      <c r="BM241" s="234"/>
      <c r="BN241" s="234"/>
      <c r="BO241" s="234"/>
      <c r="BP241" s="234"/>
      <c r="BQ241" s="234"/>
      <c r="BR241" s="234"/>
      <c r="BS241" s="234"/>
      <c r="BT241" s="234"/>
      <c r="BU241" s="234"/>
      <c r="BV241" s="234"/>
      <c r="BW241" s="234"/>
      <c r="BX241" s="351">
        <f t="shared" si="895"/>
        <v>0</v>
      </c>
      <c r="BY241" s="378">
        <f t="shared" si="896"/>
        <v>0</v>
      </c>
      <c r="BZ241" s="378">
        <f t="shared" si="897"/>
        <v>0</v>
      </c>
      <c r="CA241" s="234"/>
      <c r="CB241" s="234"/>
    </row>
    <row r="242" spans="1:80" ht="14.45" customHeight="1">
      <c r="A242" s="362" t="s">
        <v>136</v>
      </c>
      <c r="B242" s="362"/>
      <c r="C242" s="587"/>
      <c r="D242" s="587"/>
      <c r="E242" s="363">
        <f>SUMIF($A$4:$A$225,"="&amp;A242,$E$4:$E$225)</f>
        <v>75189.010000000009</v>
      </c>
      <c r="F242" s="234"/>
      <c r="G242" s="234"/>
      <c r="H242" s="234"/>
      <c r="I242" s="306"/>
      <c r="J242" s="234"/>
      <c r="K242" s="234"/>
      <c r="L242" s="234"/>
      <c r="M242" s="234"/>
      <c r="N242" s="234"/>
      <c r="O242" s="234"/>
      <c r="P242" s="234"/>
      <c r="Q242" s="234"/>
      <c r="R242" s="234"/>
      <c r="S242" s="234"/>
      <c r="T242" s="234"/>
      <c r="U242" s="234"/>
      <c r="V242" s="234"/>
      <c r="W242" s="234"/>
      <c r="X242" s="234"/>
      <c r="Y242" s="234"/>
      <c r="Z242" s="234"/>
      <c r="AA242" s="234"/>
      <c r="AB242" s="234"/>
      <c r="AC242" s="234"/>
      <c r="AD242" s="234"/>
      <c r="AE242" s="234"/>
      <c r="AF242" s="234"/>
      <c r="AG242" s="234"/>
      <c r="AH242" s="234"/>
      <c r="AI242" s="234"/>
      <c r="AJ242" s="234"/>
      <c r="AK242" s="234"/>
      <c r="AL242" s="234"/>
      <c r="AM242" s="234"/>
      <c r="AN242" s="234"/>
      <c r="AO242" s="234"/>
      <c r="AP242" s="234"/>
      <c r="AQ242" s="234"/>
      <c r="AR242" s="234"/>
      <c r="AS242" s="234"/>
      <c r="AT242" s="234"/>
      <c r="AU242" s="234"/>
      <c r="AV242" s="234"/>
      <c r="AW242" s="234"/>
      <c r="AX242" s="234"/>
      <c r="AY242" s="234"/>
      <c r="AZ242" s="234"/>
      <c r="BA242" s="234"/>
      <c r="BB242" s="234"/>
      <c r="BC242" s="234"/>
      <c r="BD242" s="234"/>
      <c r="BE242" s="234"/>
      <c r="BF242" s="234"/>
      <c r="BG242" s="234"/>
      <c r="BH242" s="234"/>
      <c r="BI242" s="234"/>
      <c r="BJ242" s="234"/>
      <c r="BK242" s="234"/>
      <c r="BL242" s="234"/>
      <c r="BM242" s="234"/>
      <c r="BN242" s="234"/>
      <c r="BO242" s="234"/>
      <c r="BP242" s="234"/>
      <c r="BQ242" s="234"/>
      <c r="BR242" s="234"/>
      <c r="BS242" s="234"/>
      <c r="BT242" s="234"/>
      <c r="BU242" s="234"/>
      <c r="BV242" s="234"/>
      <c r="BW242" s="234"/>
      <c r="BX242" s="351">
        <f t="shared" si="895"/>
        <v>0</v>
      </c>
      <c r="BY242" s="378">
        <f t="shared" si="896"/>
        <v>75189.010000000009</v>
      </c>
      <c r="BZ242" s="378">
        <f t="shared" si="897"/>
        <v>75189.010000000009</v>
      </c>
      <c r="CA242" s="234"/>
      <c r="CB242" s="234"/>
    </row>
    <row r="243" spans="1:80" s="283" customFormat="1" ht="14.45" customHeight="1">
      <c r="A243" s="234"/>
      <c r="B243" s="234"/>
      <c r="C243" s="352"/>
      <c r="D243" s="352"/>
      <c r="E243" s="354">
        <f>SUM(E239:E242)</f>
        <v>545828.63000000012</v>
      </c>
      <c r="F243" s="318">
        <f>'QFR - B'!M24</f>
        <v>603518.79</v>
      </c>
      <c r="G243" s="231">
        <f>F243-E243</f>
        <v>57690.159999999916</v>
      </c>
      <c r="H243" s="234"/>
      <c r="I243" s="306"/>
      <c r="J243" s="234"/>
      <c r="K243" s="234"/>
      <c r="L243" s="234"/>
      <c r="M243" s="234"/>
      <c r="N243" s="234"/>
      <c r="O243" s="234"/>
      <c r="P243" s="234"/>
      <c r="Q243" s="234"/>
      <c r="R243" s="234"/>
      <c r="S243" s="234"/>
      <c r="T243" s="234"/>
      <c r="U243" s="234"/>
      <c r="V243" s="234"/>
      <c r="W243" s="234"/>
      <c r="X243" s="234"/>
      <c r="Y243" s="234"/>
      <c r="Z243" s="234"/>
      <c r="AA243" s="234"/>
      <c r="AB243" s="234"/>
      <c r="AC243" s="234"/>
      <c r="AD243" s="234"/>
      <c r="AE243" s="234"/>
      <c r="AF243" s="342"/>
      <c r="AG243" s="234"/>
      <c r="AH243" s="234"/>
      <c r="AI243" s="234"/>
      <c r="AJ243" s="234"/>
      <c r="AK243" s="234"/>
      <c r="AL243" s="234"/>
      <c r="AM243" s="234"/>
      <c r="AN243" s="342"/>
      <c r="AO243" s="234"/>
      <c r="AP243" s="234"/>
      <c r="AQ243" s="234"/>
      <c r="AR243" s="234"/>
      <c r="AS243" s="234"/>
      <c r="AT243" s="234"/>
      <c r="AU243" s="234"/>
      <c r="AV243" s="234"/>
      <c r="AW243" s="234"/>
      <c r="AX243" s="234"/>
      <c r="AY243" s="234"/>
      <c r="AZ243" s="234"/>
      <c r="BA243" s="234"/>
      <c r="BB243" s="234"/>
      <c r="BC243" s="234"/>
      <c r="BD243" s="234"/>
      <c r="BE243" s="234"/>
      <c r="BF243" s="234"/>
      <c r="BG243" s="234"/>
      <c r="BH243" s="234"/>
      <c r="BI243" s="234"/>
      <c r="BJ243" s="234"/>
      <c r="BK243" s="234"/>
      <c r="BL243" s="234"/>
      <c r="BM243" s="234"/>
      <c r="BN243" s="234"/>
      <c r="BO243" s="234"/>
      <c r="BP243" s="234"/>
      <c r="BQ243" s="234"/>
      <c r="BR243" s="234"/>
      <c r="BS243" s="234"/>
      <c r="BT243" s="234"/>
      <c r="BU243" s="234"/>
      <c r="BV243" s="234"/>
      <c r="BW243" s="234"/>
      <c r="BX243" s="351">
        <f t="shared" si="895"/>
        <v>0</v>
      </c>
      <c r="BY243" s="378">
        <f t="shared" si="896"/>
        <v>545828.63000000012</v>
      </c>
      <c r="BZ243" s="378">
        <f t="shared" si="897"/>
        <v>545828.63000000012</v>
      </c>
      <c r="CA243" s="234"/>
      <c r="CB243" s="234"/>
    </row>
    <row r="244" spans="1:80" ht="14.45" customHeight="1">
      <c r="A244" s="362" t="s">
        <v>137</v>
      </c>
      <c r="B244" s="362"/>
      <c r="C244" s="587"/>
      <c r="D244" s="587"/>
      <c r="E244" s="364">
        <f>SUMIF($A$4:$A$225,"="&amp;A244,$E$4:$E$225)</f>
        <v>1297893.7999999998</v>
      </c>
      <c r="F244" s="234"/>
      <c r="G244" s="234"/>
      <c r="H244" s="234"/>
      <c r="I244" s="306"/>
      <c r="J244" s="234"/>
      <c r="K244" s="234"/>
      <c r="L244" s="234"/>
      <c r="M244" s="234"/>
      <c r="N244" s="234"/>
      <c r="O244" s="234"/>
      <c r="P244" s="234"/>
      <c r="Q244" s="234"/>
      <c r="R244" s="234"/>
      <c r="S244" s="234"/>
      <c r="T244" s="234"/>
      <c r="U244" s="234"/>
      <c r="V244" s="234"/>
      <c r="W244" s="234"/>
      <c r="X244" s="234"/>
      <c r="Y244" s="234"/>
      <c r="Z244" s="234"/>
      <c r="AA244" s="234"/>
      <c r="AB244" s="234"/>
      <c r="AC244" s="234"/>
      <c r="AD244" s="234"/>
      <c r="AE244" s="234"/>
      <c r="AF244" s="234"/>
      <c r="AG244" s="234"/>
      <c r="AH244" s="234"/>
      <c r="AI244" s="234"/>
      <c r="AJ244" s="234"/>
      <c r="AK244" s="234"/>
      <c r="AL244" s="234"/>
      <c r="AM244" s="234"/>
      <c r="AN244" s="234"/>
      <c r="AO244" s="234"/>
      <c r="AP244" s="234"/>
      <c r="AQ244" s="234"/>
      <c r="AR244" s="234"/>
      <c r="AS244" s="234"/>
      <c r="AT244" s="234"/>
      <c r="AU244" s="234"/>
      <c r="AV244" s="234"/>
      <c r="AW244" s="234"/>
      <c r="AX244" s="234"/>
      <c r="AY244" s="342"/>
      <c r="AZ244" s="234"/>
      <c r="BA244" s="234"/>
      <c r="BB244" s="234"/>
      <c r="BC244" s="234"/>
      <c r="BD244" s="234"/>
      <c r="BE244" s="234"/>
      <c r="BF244" s="234"/>
      <c r="BG244" s="234"/>
      <c r="BH244" s="234"/>
      <c r="BI244" s="342"/>
      <c r="BJ244" s="234"/>
      <c r="BK244" s="234"/>
      <c r="BL244" s="234"/>
      <c r="BM244" s="234"/>
      <c r="BN244" s="234"/>
      <c r="BO244" s="234"/>
      <c r="BP244" s="342"/>
      <c r="BQ244" s="234"/>
      <c r="BR244" s="234"/>
      <c r="BS244" s="342"/>
      <c r="BT244" s="342"/>
      <c r="BU244" s="234"/>
      <c r="BV244" s="234"/>
      <c r="BW244" s="234"/>
      <c r="BX244" s="351">
        <f t="shared" si="895"/>
        <v>0</v>
      </c>
      <c r="BY244" s="378">
        <f t="shared" si="896"/>
        <v>1297893.7999999998</v>
      </c>
      <c r="BZ244" s="378">
        <f t="shared" si="897"/>
        <v>1297893.7999999998</v>
      </c>
      <c r="CA244" s="234"/>
      <c r="CB244" s="234"/>
    </row>
    <row r="245" spans="1:80" ht="14.45" customHeight="1">
      <c r="A245" s="362" t="s">
        <v>138</v>
      </c>
      <c r="B245" s="362"/>
      <c r="C245" s="587"/>
      <c r="D245" s="587"/>
      <c r="E245" s="364">
        <f>SUMIF($A$4:$A$225,"="&amp;A245,$E$4:$E$225)</f>
        <v>58699.76</v>
      </c>
      <c r="F245" s="234"/>
      <c r="G245" s="234"/>
      <c r="H245" s="234"/>
      <c r="I245" s="306"/>
      <c r="J245" s="234"/>
      <c r="K245" s="234"/>
      <c r="L245" s="234"/>
      <c r="M245" s="234"/>
      <c r="N245" s="234"/>
      <c r="O245" s="234"/>
      <c r="P245" s="234"/>
      <c r="Q245" s="234"/>
      <c r="R245" s="234"/>
      <c r="S245" s="234"/>
      <c r="T245" s="234"/>
      <c r="U245" s="234"/>
      <c r="V245" s="234"/>
      <c r="W245" s="234"/>
      <c r="X245" s="234"/>
      <c r="Y245" s="234"/>
      <c r="Z245" s="234"/>
      <c r="AA245" s="234"/>
      <c r="AB245" s="234"/>
      <c r="AC245" s="234"/>
      <c r="AD245" s="234"/>
      <c r="AE245" s="234"/>
      <c r="AF245" s="234"/>
      <c r="AG245" s="234"/>
      <c r="AH245" s="234"/>
      <c r="AI245" s="234"/>
      <c r="AJ245" s="234"/>
      <c r="AK245" s="234"/>
      <c r="AL245" s="234"/>
      <c r="AM245" s="234"/>
      <c r="AN245" s="234"/>
      <c r="AO245" s="234"/>
      <c r="AP245" s="234"/>
      <c r="AQ245" s="234"/>
      <c r="AR245" s="234"/>
      <c r="AS245" s="234"/>
      <c r="AT245" s="234"/>
      <c r="AU245" s="234"/>
      <c r="AV245" s="234"/>
      <c r="AW245" s="234"/>
      <c r="AX245" s="234"/>
      <c r="AY245" s="234"/>
      <c r="AZ245" s="234"/>
      <c r="BA245" s="234"/>
      <c r="BB245" s="234"/>
      <c r="BC245" s="234"/>
      <c r="BD245" s="234"/>
      <c r="BE245" s="234"/>
      <c r="BF245" s="234"/>
      <c r="BG245" s="234"/>
      <c r="BH245" s="234"/>
      <c r="BI245" s="234"/>
      <c r="BJ245" s="234"/>
      <c r="BK245" s="234"/>
      <c r="BL245" s="234"/>
      <c r="BM245" s="234"/>
      <c r="BN245" s="234"/>
      <c r="BO245" s="234"/>
      <c r="BP245" s="234"/>
      <c r="BQ245" s="234"/>
      <c r="BR245" s="234"/>
      <c r="BS245" s="234"/>
      <c r="BT245" s="234"/>
      <c r="BU245" s="234"/>
      <c r="BV245" s="234"/>
      <c r="BW245" s="234"/>
      <c r="BX245" s="351">
        <f t="shared" si="895"/>
        <v>0</v>
      </c>
      <c r="BY245" s="378">
        <f t="shared" si="896"/>
        <v>58699.76</v>
      </c>
      <c r="BZ245" s="378">
        <f t="shared" si="897"/>
        <v>58699.76</v>
      </c>
      <c r="CA245" s="234"/>
      <c r="CB245" s="234"/>
    </row>
    <row r="246" spans="1:80" ht="14.45" customHeight="1">
      <c r="A246" s="362" t="s">
        <v>139</v>
      </c>
      <c r="B246" s="362"/>
      <c r="C246" s="587"/>
      <c r="D246" s="587"/>
      <c r="E246" s="364">
        <f>SUMIF($A$4:$A$225,"="&amp;A246,$E$4:$E$225)</f>
        <v>140000</v>
      </c>
      <c r="F246" s="234"/>
      <c r="G246" s="234"/>
      <c r="H246" s="234"/>
      <c r="I246" s="306"/>
      <c r="J246" s="234"/>
      <c r="K246" s="234"/>
      <c r="L246" s="234"/>
      <c r="M246" s="234"/>
      <c r="N246" s="234"/>
      <c r="O246" s="234"/>
      <c r="P246" s="234"/>
      <c r="Q246" s="234"/>
      <c r="R246" s="234"/>
      <c r="S246" s="234"/>
      <c r="T246" s="234"/>
      <c r="U246" s="234"/>
      <c r="V246" s="234"/>
      <c r="W246" s="234"/>
      <c r="X246" s="234"/>
      <c r="Y246" s="234"/>
      <c r="Z246" s="234"/>
      <c r="AA246" s="234"/>
      <c r="AB246" s="234"/>
      <c r="AC246" s="234"/>
      <c r="AD246" s="234"/>
      <c r="AE246" s="234"/>
      <c r="AF246" s="234"/>
      <c r="AG246" s="234"/>
      <c r="AH246" s="234"/>
      <c r="AI246" s="234"/>
      <c r="AJ246" s="234"/>
      <c r="AK246" s="234"/>
      <c r="AL246" s="234"/>
      <c r="AM246" s="234"/>
      <c r="AN246" s="355"/>
      <c r="AO246" s="234"/>
      <c r="AP246" s="234"/>
      <c r="AQ246" s="234"/>
      <c r="AR246" s="234"/>
      <c r="AS246" s="234"/>
      <c r="AT246" s="234"/>
      <c r="AU246" s="234"/>
      <c r="AV246" s="234"/>
      <c r="AW246" s="234"/>
      <c r="AX246" s="234"/>
      <c r="AY246" s="234"/>
      <c r="AZ246" s="234"/>
      <c r="BA246" s="234"/>
      <c r="BB246" s="234"/>
      <c r="BC246" s="234"/>
      <c r="BD246" s="234"/>
      <c r="BE246" s="234"/>
      <c r="BF246" s="234"/>
      <c r="BG246" s="234"/>
      <c r="BH246" s="234"/>
      <c r="BI246" s="234"/>
      <c r="BJ246" s="234"/>
      <c r="BK246" s="234"/>
      <c r="BL246" s="234"/>
      <c r="BM246" s="234"/>
      <c r="BN246" s="234"/>
      <c r="BO246" s="234"/>
      <c r="BP246" s="234"/>
      <c r="BQ246" s="234"/>
      <c r="BR246" s="234"/>
      <c r="BS246" s="234"/>
      <c r="BT246" s="234"/>
      <c r="BU246" s="234"/>
      <c r="BV246" s="234"/>
      <c r="BW246" s="234"/>
      <c r="BX246" s="351">
        <f t="shared" si="895"/>
        <v>0</v>
      </c>
      <c r="BY246" s="378">
        <f t="shared" si="896"/>
        <v>140000</v>
      </c>
      <c r="BZ246" s="378">
        <f t="shared" si="897"/>
        <v>140000</v>
      </c>
      <c r="CA246" s="234"/>
      <c r="CB246" s="234"/>
    </row>
    <row r="247" spans="1:80" ht="14.45" customHeight="1">
      <c r="A247" s="362" t="s">
        <v>140</v>
      </c>
      <c r="B247" s="362"/>
      <c r="C247" s="587"/>
      <c r="D247" s="587"/>
      <c r="E247" s="364">
        <f>SUMIF($A$4:$A$225,"="&amp;A247,$E$4:$E$225)</f>
        <v>246434.17000000004</v>
      </c>
      <c r="F247" s="234"/>
      <c r="G247" s="234"/>
      <c r="H247" s="234"/>
      <c r="I247" s="306"/>
      <c r="J247" s="234"/>
      <c r="K247" s="234"/>
      <c r="L247" s="234"/>
      <c r="M247" s="234"/>
      <c r="N247" s="234"/>
      <c r="O247" s="234"/>
      <c r="P247" s="234"/>
      <c r="Q247" s="234"/>
      <c r="R247" s="234"/>
      <c r="S247" s="234"/>
      <c r="T247" s="234"/>
      <c r="U247" s="234"/>
      <c r="V247" s="234"/>
      <c r="W247" s="234"/>
      <c r="X247" s="234"/>
      <c r="Y247" s="234"/>
      <c r="Z247" s="234"/>
      <c r="AA247" s="234"/>
      <c r="AB247" s="234"/>
      <c r="AC247" s="234"/>
      <c r="AD247" s="234"/>
      <c r="AE247" s="234"/>
      <c r="AF247" s="342"/>
      <c r="AG247" s="234"/>
      <c r="AH247" s="234"/>
      <c r="AI247" s="234"/>
      <c r="AJ247" s="234"/>
      <c r="AK247" s="234"/>
      <c r="AL247" s="234"/>
      <c r="AM247" s="234"/>
      <c r="AN247" s="342"/>
      <c r="AO247" s="234"/>
      <c r="AP247" s="234"/>
      <c r="AQ247" s="234"/>
      <c r="AR247" s="234"/>
      <c r="AS247" s="234"/>
      <c r="AT247" s="234"/>
      <c r="AU247" s="234"/>
      <c r="AV247" s="234"/>
      <c r="AW247" s="234"/>
      <c r="AX247" s="234"/>
      <c r="AY247" s="234"/>
      <c r="AZ247" s="234"/>
      <c r="BA247" s="234"/>
      <c r="BB247" s="234"/>
      <c r="BC247" s="234"/>
      <c r="BD247" s="234"/>
      <c r="BE247" s="234"/>
      <c r="BF247" s="234"/>
      <c r="BG247" s="234"/>
      <c r="BH247" s="234"/>
      <c r="BI247" s="234"/>
      <c r="BJ247" s="234"/>
      <c r="BK247" s="234"/>
      <c r="BL247" s="234"/>
      <c r="BM247" s="234"/>
      <c r="BN247" s="234"/>
      <c r="BO247" s="234"/>
      <c r="BP247" s="234"/>
      <c r="BQ247" s="234"/>
      <c r="BR247" s="234"/>
      <c r="BS247" s="234"/>
      <c r="BT247" s="234"/>
      <c r="BU247" s="234"/>
      <c r="BV247" s="234"/>
      <c r="BW247" s="234"/>
      <c r="BX247" s="351">
        <f t="shared" si="895"/>
        <v>0</v>
      </c>
      <c r="BY247" s="378">
        <f t="shared" si="896"/>
        <v>246434.17000000004</v>
      </c>
      <c r="BZ247" s="378">
        <f t="shared" si="897"/>
        <v>246434.17000000004</v>
      </c>
      <c r="CA247" s="234"/>
      <c r="CB247" s="234"/>
    </row>
    <row r="248" spans="1:80" s="283" customFormat="1" ht="14.45" customHeight="1">
      <c r="A248" s="234"/>
      <c r="B248" s="234"/>
      <c r="C248" s="352"/>
      <c r="D248" s="352"/>
      <c r="E248" s="354">
        <f>SUM(E244:E247)</f>
        <v>1743027.73</v>
      </c>
      <c r="F248" s="318">
        <f>'QFR - B'!M27</f>
        <v>1744086.26</v>
      </c>
      <c r="G248" s="231">
        <f>F248-E248</f>
        <v>1058.5300000000279</v>
      </c>
      <c r="H248" s="234"/>
      <c r="I248" s="306"/>
      <c r="J248" s="234"/>
      <c r="K248" s="234"/>
      <c r="L248" s="234"/>
      <c r="M248" s="234"/>
      <c r="N248" s="234"/>
      <c r="O248" s="234"/>
      <c r="P248" s="234"/>
      <c r="Q248" s="234"/>
      <c r="R248" s="234"/>
      <c r="S248" s="234"/>
      <c r="T248" s="234"/>
      <c r="U248" s="234"/>
      <c r="V248" s="234"/>
      <c r="W248" s="234"/>
      <c r="X248" s="234"/>
      <c r="Y248" s="234"/>
      <c r="Z248" s="234"/>
      <c r="AA248" s="234"/>
      <c r="AB248" s="234"/>
      <c r="AC248" s="234"/>
      <c r="AD248" s="234"/>
      <c r="AE248" s="234"/>
      <c r="AF248" s="234"/>
      <c r="AG248" s="234"/>
      <c r="AH248" s="234"/>
      <c r="AI248" s="234"/>
      <c r="AJ248" s="234"/>
      <c r="AK248" s="234"/>
      <c r="AL248" s="234"/>
      <c r="AM248" s="234"/>
      <c r="AN248" s="342"/>
      <c r="AO248" s="234"/>
      <c r="AP248" s="234"/>
      <c r="AQ248" s="234"/>
      <c r="AR248" s="234"/>
      <c r="AS248" s="234"/>
      <c r="AT248" s="234"/>
      <c r="AU248" s="234"/>
      <c r="AV248" s="234"/>
      <c r="AW248" s="234"/>
      <c r="AX248" s="234"/>
      <c r="AY248" s="234"/>
      <c r="AZ248" s="234"/>
      <c r="BA248" s="234"/>
      <c r="BB248" s="234"/>
      <c r="BC248" s="234"/>
      <c r="BD248" s="234"/>
      <c r="BE248" s="234"/>
      <c r="BF248" s="234"/>
      <c r="BG248" s="234"/>
      <c r="BH248" s="234"/>
      <c r="BI248" s="234"/>
      <c r="BJ248" s="234"/>
      <c r="BK248" s="234"/>
      <c r="BL248" s="234"/>
      <c r="BM248" s="234"/>
      <c r="BN248" s="234"/>
      <c r="BO248" s="234"/>
      <c r="BP248" s="234"/>
      <c r="BQ248" s="234"/>
      <c r="BR248" s="234"/>
      <c r="BS248" s="234"/>
      <c r="BT248" s="234"/>
      <c r="BU248" s="234"/>
      <c r="BV248" s="234"/>
      <c r="BW248" s="234"/>
      <c r="BX248" s="351">
        <f t="shared" si="895"/>
        <v>0</v>
      </c>
      <c r="BY248" s="378">
        <f t="shared" si="896"/>
        <v>1743027.73</v>
      </c>
      <c r="BZ248" s="378">
        <f t="shared" si="897"/>
        <v>1743027.73</v>
      </c>
      <c r="CA248" s="234"/>
      <c r="CB248" s="234"/>
    </row>
    <row r="249" spans="1:80" ht="8.25" customHeight="1">
      <c r="A249" s="234"/>
      <c r="B249" s="234"/>
      <c r="C249" s="234"/>
      <c r="D249" s="234"/>
      <c r="E249" s="342"/>
      <c r="F249" s="234"/>
      <c r="G249" s="234"/>
      <c r="H249" s="234"/>
      <c r="I249" s="306"/>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342"/>
      <c r="AO249" s="234"/>
      <c r="AP249" s="234"/>
      <c r="AQ249" s="356"/>
      <c r="AR249" s="234"/>
      <c r="AS249" s="234"/>
      <c r="AT249" s="234"/>
      <c r="AU249" s="234"/>
      <c r="AV249" s="234"/>
      <c r="AW249" s="234"/>
      <c r="AX249" s="234"/>
      <c r="AY249" s="342"/>
      <c r="AZ249" s="234"/>
      <c r="BA249" s="234"/>
      <c r="BB249" s="234"/>
      <c r="BC249" s="234"/>
      <c r="BD249" s="234"/>
      <c r="BE249" s="234"/>
      <c r="BF249" s="234"/>
      <c r="BG249" s="234"/>
      <c r="BH249" s="234"/>
      <c r="BI249" s="234"/>
      <c r="BJ249" s="234"/>
      <c r="BK249" s="234"/>
      <c r="BL249" s="234"/>
      <c r="BM249" s="234"/>
      <c r="BN249" s="234"/>
      <c r="BO249" s="234"/>
      <c r="BP249" s="342"/>
      <c r="BQ249" s="234"/>
      <c r="BR249" s="234"/>
      <c r="BS249" s="342"/>
      <c r="BT249" s="342"/>
      <c r="BU249" s="234"/>
      <c r="BV249" s="234"/>
      <c r="BW249" s="234"/>
      <c r="BX249" s="351">
        <f t="shared" si="895"/>
        <v>0</v>
      </c>
      <c r="BY249" s="378">
        <f t="shared" si="896"/>
        <v>0</v>
      </c>
      <c r="BZ249" s="378">
        <f t="shared" si="897"/>
        <v>0</v>
      </c>
    </row>
    <row r="250" spans="1:80">
      <c r="A250" s="234"/>
      <c r="B250" s="234"/>
      <c r="C250" s="234"/>
      <c r="D250" s="234"/>
      <c r="E250" s="342">
        <f t="shared" ref="E250:AB250" si="898">SUBTOTAL(9,E4:E249)</f>
        <v>103727000.36</v>
      </c>
      <c r="F250" s="342">
        <f t="shared" si="898"/>
        <v>5307925.6100000003</v>
      </c>
      <c r="G250" s="342">
        <f t="shared" si="898"/>
        <v>159887.87000000104</v>
      </c>
      <c r="H250" s="342">
        <f t="shared" si="898"/>
        <v>24587.919961000051</v>
      </c>
      <c r="I250" s="342">
        <f t="shared" si="898"/>
        <v>42450.041818181817</v>
      </c>
      <c r="J250" s="342">
        <f t="shared" si="898"/>
        <v>49890.605187728768</v>
      </c>
      <c r="K250" s="342">
        <f t="shared" si="898"/>
        <v>60364.95046366829</v>
      </c>
      <c r="L250" s="342">
        <f t="shared" si="898"/>
        <v>62497.387498631186</v>
      </c>
      <c r="M250" s="342">
        <f t="shared" si="898"/>
        <v>61400.7598189899</v>
      </c>
      <c r="N250" s="342">
        <f t="shared" si="898"/>
        <v>68058.191359915058</v>
      </c>
      <c r="O250" s="342">
        <f t="shared" si="898"/>
        <v>72918.165242786388</v>
      </c>
      <c r="P250" s="342">
        <f t="shared" si="898"/>
        <v>85772.592745032394</v>
      </c>
      <c r="Q250" s="342">
        <f t="shared" si="898"/>
        <v>69900.369945289291</v>
      </c>
      <c r="R250" s="342">
        <f t="shared" si="898"/>
        <v>80825.00829733799</v>
      </c>
      <c r="S250" s="342">
        <f t="shared" si="898"/>
        <v>89131.38331744184</v>
      </c>
      <c r="T250" s="342">
        <f t="shared" si="898"/>
        <v>100672.60073381577</v>
      </c>
      <c r="U250" s="342">
        <f t="shared" si="898"/>
        <v>96790.118264892633</v>
      </c>
      <c r="V250" s="342">
        <f t="shared" si="898"/>
        <v>107865.9536662083</v>
      </c>
      <c r="W250" s="342">
        <f t="shared" si="898"/>
        <v>115151.71140617023</v>
      </c>
      <c r="X250" s="342">
        <f t="shared" si="898"/>
        <v>111709.26874335743</v>
      </c>
      <c r="Y250" s="342">
        <f t="shared" si="898"/>
        <v>110704.23145382681</v>
      </c>
      <c r="Z250" s="342">
        <f t="shared" si="898"/>
        <v>121468.53287654075</v>
      </c>
      <c r="AA250" s="342">
        <f t="shared" si="898"/>
        <v>127442.60494956991</v>
      </c>
      <c r="AB250" s="342">
        <f t="shared" si="898"/>
        <v>241944.57224961516</v>
      </c>
      <c r="AC250" s="342"/>
      <c r="AD250" s="342">
        <f t="shared" ref="AD250:AZ250" si="899">SUBTOTAL(9,AD4:AD249)</f>
        <v>0</v>
      </c>
      <c r="AE250" s="369">
        <f t="shared" si="899"/>
        <v>10000</v>
      </c>
      <c r="AF250" s="369">
        <f t="shared" si="899"/>
        <v>32521.445714285714</v>
      </c>
      <c r="AG250" s="369">
        <f t="shared" si="899"/>
        <v>71394.631136363649</v>
      </c>
      <c r="AH250" s="369">
        <f t="shared" si="899"/>
        <v>187699.20255054545</v>
      </c>
      <c r="AI250" s="369">
        <f t="shared" si="899"/>
        <v>897773.572146566</v>
      </c>
      <c r="AJ250" s="369">
        <f t="shared" si="899"/>
        <v>1112159.686836239</v>
      </c>
      <c r="AK250" s="369">
        <f t="shared" si="899"/>
        <v>1161252.381623609</v>
      </c>
      <c r="AL250" s="369">
        <f t="shared" si="899"/>
        <v>490485.57999239065</v>
      </c>
      <c r="AM250" s="369">
        <f t="shared" si="899"/>
        <v>1507988.4100000001</v>
      </c>
      <c r="AN250" s="369">
        <f t="shared" si="899"/>
        <v>2492864.4</v>
      </c>
      <c r="AO250" s="342">
        <f t="shared" si="899"/>
        <v>1622558.1999999997</v>
      </c>
      <c r="AP250" s="342">
        <f t="shared" si="899"/>
        <v>2810659.9800000009</v>
      </c>
      <c r="AQ250" s="342">
        <f t="shared" si="899"/>
        <v>2037176.2800000003</v>
      </c>
      <c r="AR250" s="342">
        <f t="shared" si="899"/>
        <v>1886031.6500000001</v>
      </c>
      <c r="AS250" s="342">
        <f t="shared" si="899"/>
        <v>2352734.9699999988</v>
      </c>
      <c r="AT250" s="342">
        <f t="shared" si="899"/>
        <v>1286794.4300000004</v>
      </c>
      <c r="AU250" s="342">
        <f t="shared" si="899"/>
        <v>753564.7300000001</v>
      </c>
      <c r="AV250" s="342">
        <f t="shared" si="899"/>
        <v>2330307.9599999981</v>
      </c>
      <c r="AW250" s="342">
        <f t="shared" si="899"/>
        <v>612014.91</v>
      </c>
      <c r="AX250" s="342">
        <f t="shared" si="899"/>
        <v>319863.25000000017</v>
      </c>
      <c r="AY250" s="342">
        <f t="shared" si="899"/>
        <v>1297030.69</v>
      </c>
      <c r="AZ250" s="342">
        <f t="shared" si="899"/>
        <v>714032.15</v>
      </c>
      <c r="BA250" s="342"/>
      <c r="BB250" s="342">
        <f t="shared" ref="BB250:BW250" si="900">SUBTOTAL(9,BB4:BB249)</f>
        <v>45000</v>
      </c>
      <c r="BC250" s="342">
        <f t="shared" si="900"/>
        <v>194969.19</v>
      </c>
      <c r="BD250" s="342">
        <f t="shared" si="900"/>
        <v>346447.23000000004</v>
      </c>
      <c r="BE250" s="342">
        <f t="shared" si="900"/>
        <v>10604853.110000001</v>
      </c>
      <c r="BF250" s="342">
        <f t="shared" si="900"/>
        <v>249800.41000000003</v>
      </c>
      <c r="BG250" s="342">
        <f t="shared" si="900"/>
        <v>3434986.2700000005</v>
      </c>
      <c r="BH250" s="342">
        <f t="shared" si="900"/>
        <v>351557.53</v>
      </c>
      <c r="BI250" s="342">
        <f t="shared" si="900"/>
        <v>266594.96999999997</v>
      </c>
      <c r="BJ250" s="342">
        <f t="shared" si="900"/>
        <v>5527721.580000001</v>
      </c>
      <c r="BK250" s="342">
        <f t="shared" si="900"/>
        <v>67996.44</v>
      </c>
      <c r="BL250" s="342">
        <f t="shared" si="900"/>
        <v>416426.44</v>
      </c>
      <c r="BM250" s="342">
        <f t="shared" si="900"/>
        <v>35628.9</v>
      </c>
      <c r="BN250" s="342">
        <f t="shared" si="900"/>
        <v>805244.14000000013</v>
      </c>
      <c r="BO250" s="342">
        <f t="shared" si="900"/>
        <v>46932.310000000012</v>
      </c>
      <c r="BP250" s="342">
        <f t="shared" si="900"/>
        <v>603934.10000000009</v>
      </c>
      <c r="BQ250" s="342">
        <f t="shared" si="900"/>
        <v>292898.61000000004</v>
      </c>
      <c r="BR250" s="342">
        <f t="shared" si="900"/>
        <v>230979.59000000003</v>
      </c>
      <c r="BS250" s="342">
        <f t="shared" si="900"/>
        <v>178140.35000000003</v>
      </c>
      <c r="BT250" s="342">
        <f t="shared" si="900"/>
        <v>668124.37</v>
      </c>
      <c r="BU250" s="342">
        <f t="shared" si="900"/>
        <v>1061328.0599999998</v>
      </c>
      <c r="BV250" s="342">
        <f t="shared" si="900"/>
        <v>389194.46</v>
      </c>
      <c r="BW250" s="342">
        <f t="shared" si="900"/>
        <v>168150.44374999998</v>
      </c>
      <c r="BX250" s="351">
        <f>SUM(AE250:AZ250)-SUM(BB250:BV250)</f>
        <v>168150.4499999918</v>
      </c>
      <c r="BY250" s="234"/>
      <c r="BZ250" s="234"/>
    </row>
    <row r="251" spans="1:80" ht="15.75">
      <c r="A251" s="234"/>
      <c r="B251" s="234"/>
      <c r="C251" s="234"/>
      <c r="D251" s="234"/>
      <c r="E251" s="378">
        <f>+E65-E64</f>
        <v>-96.180000000000291</v>
      </c>
      <c r="F251" s="234"/>
      <c r="G251" s="234"/>
      <c r="H251" s="234"/>
      <c r="I251" s="306"/>
      <c r="J251" s="234"/>
      <c r="K251" s="234"/>
      <c r="L251" s="234"/>
      <c r="M251" s="234"/>
      <c r="N251" s="234"/>
      <c r="O251" s="234"/>
      <c r="P251" s="234"/>
      <c r="Q251" s="234"/>
      <c r="R251" s="234"/>
      <c r="S251" s="234"/>
      <c r="T251" s="234"/>
      <c r="U251" s="234"/>
      <c r="V251" s="234"/>
      <c r="W251" s="234"/>
      <c r="X251" s="234"/>
      <c r="Y251" s="234"/>
      <c r="Z251" s="234"/>
      <c r="AA251" s="234"/>
      <c r="AB251" s="234"/>
      <c r="AC251" s="234"/>
      <c r="AD251" s="234"/>
      <c r="AE251" s="370">
        <f>+AE250</f>
        <v>10000</v>
      </c>
      <c r="AF251" s="371">
        <f>+AE251+AF250</f>
        <v>42521.445714285714</v>
      </c>
      <c r="AG251" s="371">
        <f>+AF251+AG250</f>
        <v>113916.07685064936</v>
      </c>
      <c r="AH251" s="371">
        <f>+AG251+AH250</f>
        <v>301615.27940119483</v>
      </c>
      <c r="AI251" s="371">
        <f t="shared" ref="AI251:AW251" si="901">+AH251+AI250</f>
        <v>1199388.8515477609</v>
      </c>
      <c r="AJ251" s="371">
        <f t="shared" si="901"/>
        <v>2311548.5383839998</v>
      </c>
      <c r="AK251" s="371">
        <f t="shared" si="901"/>
        <v>3472800.9200076088</v>
      </c>
      <c r="AL251" s="371">
        <f t="shared" si="901"/>
        <v>3963286.4999999995</v>
      </c>
      <c r="AM251" s="371">
        <f t="shared" si="901"/>
        <v>5471274.9100000001</v>
      </c>
      <c r="AN251" s="371">
        <f t="shared" si="901"/>
        <v>7964139.3100000005</v>
      </c>
      <c r="AO251" s="378">
        <f t="shared" si="901"/>
        <v>9586697.5099999998</v>
      </c>
      <c r="AP251" s="378">
        <f t="shared" si="901"/>
        <v>12397357.49</v>
      </c>
      <c r="AQ251" s="378">
        <f t="shared" si="901"/>
        <v>14434533.77</v>
      </c>
      <c r="AR251" s="378">
        <f t="shared" si="901"/>
        <v>16320565.42</v>
      </c>
      <c r="AS251" s="378">
        <f t="shared" si="901"/>
        <v>18673300.390000001</v>
      </c>
      <c r="AT251" s="378">
        <f t="shared" si="901"/>
        <v>19960094.82</v>
      </c>
      <c r="AU251" s="378">
        <f t="shared" si="901"/>
        <v>20713659.550000001</v>
      </c>
      <c r="AV251" s="378">
        <f t="shared" si="901"/>
        <v>23043967.509999998</v>
      </c>
      <c r="AW251" s="378">
        <f t="shared" si="901"/>
        <v>23655982.419999998</v>
      </c>
      <c r="AX251" s="378">
        <f>+AW251+AX250</f>
        <v>23975845.669999998</v>
      </c>
      <c r="AY251" s="342">
        <f>+AX251+AY250</f>
        <v>25272876.359999999</v>
      </c>
      <c r="AZ251" s="504">
        <f>+AY251+AZ250</f>
        <v>25986908.509999998</v>
      </c>
      <c r="BA251" s="234"/>
      <c r="BB251" s="355">
        <f>+BB250</f>
        <v>45000</v>
      </c>
      <c r="BC251" s="378">
        <f>+BB251+BC250</f>
        <v>239969.19</v>
      </c>
      <c r="BD251" s="378">
        <f>+BC251+BD250</f>
        <v>586416.42000000004</v>
      </c>
      <c r="BE251" s="378">
        <f>+BD251+BE250</f>
        <v>11191269.530000001</v>
      </c>
      <c r="BF251" s="378">
        <f t="shared" ref="BF251:BU251" si="902">+BE251+BF250</f>
        <v>11441069.940000001</v>
      </c>
      <c r="BG251" s="378">
        <f t="shared" si="902"/>
        <v>14876056.210000001</v>
      </c>
      <c r="BH251" s="378">
        <f t="shared" si="902"/>
        <v>15227613.74</v>
      </c>
      <c r="BI251" s="378">
        <f t="shared" si="902"/>
        <v>15494208.710000001</v>
      </c>
      <c r="BJ251" s="378">
        <f t="shared" si="902"/>
        <v>21021930.290000003</v>
      </c>
      <c r="BK251" s="378">
        <f t="shared" si="902"/>
        <v>21089926.730000004</v>
      </c>
      <c r="BL251" s="378">
        <f t="shared" si="902"/>
        <v>21506353.170000006</v>
      </c>
      <c r="BM251" s="378">
        <f t="shared" si="902"/>
        <v>21541982.070000004</v>
      </c>
      <c r="BN251" s="378">
        <f t="shared" si="902"/>
        <v>22347226.210000005</v>
      </c>
      <c r="BO251" s="378">
        <f t="shared" si="902"/>
        <v>22394158.520000003</v>
      </c>
      <c r="BP251" s="378">
        <f t="shared" si="902"/>
        <v>22998092.620000005</v>
      </c>
      <c r="BQ251" s="378">
        <f t="shared" si="902"/>
        <v>23290991.230000004</v>
      </c>
      <c r="BR251" s="378">
        <f t="shared" si="902"/>
        <v>23521970.820000004</v>
      </c>
      <c r="BS251" s="342">
        <f t="shared" si="902"/>
        <v>23700111.170000006</v>
      </c>
      <c r="BT251" s="342">
        <f t="shared" si="902"/>
        <v>24368235.540000007</v>
      </c>
      <c r="BU251" s="378">
        <f t="shared" si="902"/>
        <v>25429563.600000005</v>
      </c>
      <c r="BV251" s="378">
        <f t="shared" ref="BV251" si="903">+BU251+BV250</f>
        <v>25818758.060000006</v>
      </c>
      <c r="BW251" s="504">
        <f t="shared" ref="BW251" si="904">+BV251+BW250</f>
        <v>25986908.503750008</v>
      </c>
      <c r="BX251" s="351"/>
      <c r="BY251" s="234"/>
      <c r="BZ251" s="234"/>
    </row>
    <row r="252" spans="1:80" ht="21">
      <c r="E252" s="320"/>
      <c r="O252" s="239"/>
      <c r="Q252" s="286"/>
      <c r="W252" s="286"/>
      <c r="AE252" s="584" t="s">
        <v>251</v>
      </c>
      <c r="AF252" s="584"/>
      <c r="AG252" s="584"/>
      <c r="AH252" s="584"/>
      <c r="AI252" s="584"/>
      <c r="AJ252" s="584"/>
      <c r="AK252" s="584"/>
      <c r="AL252" s="584"/>
      <c r="AM252" s="584"/>
      <c r="AN252" s="584"/>
      <c r="AO252" s="584"/>
      <c r="AP252" s="584"/>
      <c r="AQ252" s="584"/>
      <c r="AR252" s="584"/>
      <c r="AS252" s="584"/>
      <c r="AT252" s="584"/>
      <c r="AU252" s="584"/>
      <c r="AV252" s="584"/>
      <c r="AW252" s="584"/>
      <c r="AX252" s="584"/>
      <c r="AY252" s="429"/>
      <c r="AZ252" s="429"/>
      <c r="BB252" s="585" t="s">
        <v>252</v>
      </c>
      <c r="BC252" s="585"/>
      <c r="BD252" s="585"/>
      <c r="BE252" s="585"/>
      <c r="BF252" s="585"/>
      <c r="BG252" s="585"/>
      <c r="BH252" s="585"/>
      <c r="BI252" s="585"/>
      <c r="BJ252" s="585"/>
      <c r="BK252" s="585"/>
      <c r="BL252" s="585"/>
      <c r="BM252" s="585"/>
      <c r="BN252" s="585"/>
      <c r="BO252" s="585"/>
      <c r="BP252" s="585"/>
      <c r="BQ252" s="585"/>
      <c r="BR252" s="585"/>
      <c r="BS252" s="586"/>
      <c r="BT252" s="586"/>
      <c r="BU252" s="585"/>
      <c r="BV252" s="585"/>
      <c r="BW252" s="585"/>
      <c r="BX252" s="585"/>
    </row>
    <row r="253" spans="1:80" ht="18.75">
      <c r="T253" s="240"/>
      <c r="V253" s="240"/>
      <c r="X253" s="240"/>
      <c r="Y253" s="286"/>
      <c r="AC253" s="325"/>
      <c r="AH253" s="239"/>
      <c r="AK253" s="239"/>
      <c r="AL253" s="240"/>
      <c r="AM253" s="240"/>
      <c r="AN253" s="240"/>
      <c r="AO253" s="239"/>
      <c r="AP253" s="240"/>
      <c r="AQ253" s="240"/>
      <c r="AR253" s="378"/>
      <c r="AU253" s="447"/>
      <c r="AV253" s="448"/>
      <c r="AW253" s="448">
        <v>97088.34</v>
      </c>
      <c r="AY253" s="283">
        <f>+AY250/3</f>
        <v>432343.5633333333</v>
      </c>
      <c r="BI253" s="240"/>
      <c r="BJ253" s="240"/>
      <c r="BK253" s="240"/>
      <c r="BL253" s="240"/>
      <c r="BM253" s="240"/>
      <c r="BO253" s="283"/>
      <c r="BR253" s="378"/>
      <c r="BS253" s="382"/>
      <c r="BT253" s="535">
        <v>113144.47</v>
      </c>
      <c r="BU253" s="283">
        <v>13496.34</v>
      </c>
      <c r="BW253" s="325"/>
    </row>
    <row r="254" spans="1:80">
      <c r="T254" s="240"/>
      <c r="W254" s="239"/>
      <c r="AM254" s="240"/>
      <c r="AQ254" s="240"/>
      <c r="AR254" s="239"/>
      <c r="AS254" s="239"/>
      <c r="AT254" s="239"/>
      <c r="AU254" s="240"/>
      <c r="AV254" s="239"/>
      <c r="AW254" s="240">
        <f>+AW251-AW253</f>
        <v>23558894.079999998</v>
      </c>
      <c r="AX254" s="240"/>
      <c r="AY254" s="240"/>
      <c r="AZ254" s="240"/>
      <c r="BL254" s="240"/>
      <c r="BM254" s="240"/>
      <c r="BN254" s="240"/>
      <c r="BO254" s="240"/>
      <c r="BP254" s="239"/>
      <c r="BT254" s="325">
        <f>+BT251-BT253</f>
        <v>24255091.070000008</v>
      </c>
      <c r="BU254" s="240">
        <f>+BU250-BU253</f>
        <v>1047831.7199999999</v>
      </c>
      <c r="BV254" s="240"/>
      <c r="BW254" s="450"/>
      <c r="BX254" s="287"/>
    </row>
    <row r="255" spans="1:80">
      <c r="E255" s="240"/>
      <c r="W255" s="298"/>
      <c r="X255" s="240"/>
      <c r="AS255" s="240"/>
      <c r="AU255" s="240"/>
      <c r="AV255" s="240"/>
      <c r="AW255" s="239">
        <f>+AW254-357.14</f>
        <v>23558536.939999998</v>
      </c>
      <c r="AX255" s="240"/>
      <c r="BN255" s="240"/>
      <c r="BO255" s="287"/>
      <c r="BQ255" s="240"/>
      <c r="BR255" s="240"/>
      <c r="BU255" s="240"/>
    </row>
    <row r="256" spans="1:80">
      <c r="E256" s="240"/>
      <c r="W256" s="298"/>
      <c r="AB256" s="240"/>
      <c r="AR256" s="239"/>
      <c r="AT256" s="239"/>
      <c r="AU256" s="411"/>
      <c r="BK256" s="240"/>
      <c r="BO256" s="240"/>
      <c r="BQ256" s="240"/>
      <c r="BU256" s="240"/>
      <c r="BV256" s="240"/>
      <c r="BW256" s="240"/>
      <c r="BX256">
        <f>+BX217/2</f>
        <v>0</v>
      </c>
    </row>
    <row r="257" spans="4:68">
      <c r="P257" s="240"/>
      <c r="S257" s="240"/>
      <c r="U257" s="240"/>
      <c r="W257" s="298"/>
      <c r="AS257" s="383"/>
      <c r="AT257" s="283"/>
      <c r="BO257" s="240"/>
      <c r="BP257" s="287"/>
    </row>
    <row r="258" spans="4:68">
      <c r="E258" s="325"/>
      <c r="Z258" s="240"/>
      <c r="AU258" s="240"/>
      <c r="BP258" s="287"/>
    </row>
    <row r="259" spans="4:68">
      <c r="R259" s="240"/>
      <c r="Z259" s="325"/>
      <c r="AB259" s="283" t="s">
        <v>330</v>
      </c>
      <c r="AC259" s="325">
        <v>58699.76</v>
      </c>
      <c r="AF259" s="239"/>
      <c r="AH259" s="239"/>
      <c r="AN259" s="298"/>
      <c r="AV259" s="239"/>
      <c r="BP259" s="287"/>
    </row>
    <row r="260" spans="4:68">
      <c r="AC260" s="325">
        <f>+AC224-AC259</f>
        <v>0</v>
      </c>
      <c r="AF260" s="239"/>
      <c r="AH260" s="239"/>
      <c r="AN260" s="298"/>
      <c r="AQ260" s="283"/>
      <c r="AR260" s="283"/>
      <c r="AS260" s="283"/>
      <c r="AT260" s="283"/>
      <c r="AU260" s="240"/>
      <c r="AW260" s="325"/>
    </row>
    <row r="261" spans="4:68">
      <c r="E261" s="240"/>
      <c r="AC261" s="325"/>
      <c r="AF261" s="239"/>
      <c r="AH261" s="239"/>
      <c r="AR261" s="283"/>
      <c r="AS261" s="283"/>
    </row>
    <row r="262" spans="4:68">
      <c r="AC262" s="325"/>
      <c r="AF262" s="239"/>
      <c r="AH262" s="239"/>
    </row>
    <row r="263" spans="4:68">
      <c r="AC263" s="325"/>
      <c r="AF263" s="239"/>
      <c r="AH263" s="239"/>
    </row>
    <row r="264" spans="4:68">
      <c r="AC264" s="325"/>
      <c r="AF264" s="239"/>
      <c r="AH264" s="239"/>
      <c r="AQ264" s="283"/>
      <c r="AR264" s="283"/>
      <c r="AS264" s="283"/>
      <c r="AT264" s="283"/>
    </row>
    <row r="265" spans="4:68">
      <c r="AC265" s="325"/>
      <c r="AF265" s="239"/>
      <c r="AH265" s="239"/>
      <c r="AQ265" s="283"/>
      <c r="AR265" s="283"/>
      <c r="AS265" s="283"/>
      <c r="AT265" s="283"/>
    </row>
    <row r="266" spans="4:68">
      <c r="AC266" s="325"/>
      <c r="AF266" s="239"/>
      <c r="AH266" s="239"/>
      <c r="AR266" s="283"/>
      <c r="AS266" s="283"/>
    </row>
    <row r="269" spans="4:68">
      <c r="D269" s="446"/>
    </row>
    <row r="271" spans="4:68">
      <c r="AU271" s="240"/>
    </row>
  </sheetData>
  <autoFilter ref="A3:BX248"/>
  <sortState ref="A4:BE72">
    <sortCondition ref="A72"/>
  </sortState>
  <mergeCells count="18">
    <mergeCell ref="C244:D244"/>
    <mergeCell ref="C245:D245"/>
    <mergeCell ref="AE252:AX252"/>
    <mergeCell ref="BB252:BX252"/>
    <mergeCell ref="C247:D247"/>
    <mergeCell ref="C228:D228"/>
    <mergeCell ref="C229:D229"/>
    <mergeCell ref="C230:D230"/>
    <mergeCell ref="C231:D231"/>
    <mergeCell ref="C232:D232"/>
    <mergeCell ref="C234:D234"/>
    <mergeCell ref="C236:D236"/>
    <mergeCell ref="C237:D237"/>
    <mergeCell ref="C239:D239"/>
    <mergeCell ref="C246:D246"/>
    <mergeCell ref="C240:D240"/>
    <mergeCell ref="C241:D241"/>
    <mergeCell ref="C242:D242"/>
  </mergeCells>
  <phoneticPr fontId="28" type="noConversion"/>
  <conditionalFormatting sqref="BR75:BR77 BR80 BR82:BR83 BR114:BS116">
    <cfRule type="cellIs" dxfId="5" priority="8" operator="lessThan">
      <formula>0</formula>
    </cfRule>
  </conditionalFormatting>
  <conditionalFormatting sqref="BR78">
    <cfRule type="cellIs" dxfId="4" priority="7" operator="lessThan">
      <formula>0</formula>
    </cfRule>
  </conditionalFormatting>
  <conditionalFormatting sqref="BR84">
    <cfRule type="cellIs" dxfId="3" priority="6" operator="lessThan">
      <formula>0</formula>
    </cfRule>
  </conditionalFormatting>
  <conditionalFormatting sqref="BR89">
    <cfRule type="cellIs" dxfId="2" priority="5" operator="lessThan">
      <formula>0</formula>
    </cfRule>
  </conditionalFormatting>
  <conditionalFormatting sqref="BR90">
    <cfRule type="cellIs" dxfId="1" priority="4" operator="lessThan">
      <formula>0</formula>
    </cfRule>
  </conditionalFormatting>
  <conditionalFormatting sqref="BR79">
    <cfRule type="cellIs" dxfId="0" priority="1" operator="lessThan">
      <formula>0</formula>
    </cfRule>
  </conditionalFormatting>
  <pageMargins left="0.7" right="0.7" top="0.75" bottom="0.75" header="0.3" footer="0.3"/>
  <pageSetup scale="10" orientation="landscape"/>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N54"/>
  <sheetViews>
    <sheetView showGridLines="0" topLeftCell="A14" workbookViewId="0">
      <selection activeCell="B17" sqref="B17"/>
    </sheetView>
  </sheetViews>
  <sheetFormatPr baseColWidth="10" defaultColWidth="8.85546875" defaultRowHeight="15"/>
  <cols>
    <col min="1" max="1" width="47" customWidth="1"/>
    <col min="2" max="2" width="15.42578125" customWidth="1"/>
    <col min="3" max="3" width="8.42578125" customWidth="1"/>
    <col min="4" max="4" width="10.42578125" customWidth="1"/>
    <col min="5" max="5" width="10.85546875" customWidth="1"/>
    <col min="6" max="7" width="8.42578125" customWidth="1"/>
    <col min="8" max="8" width="13.42578125" style="325" bestFit="1" customWidth="1"/>
    <col min="9" max="9" width="13.140625" style="325" bestFit="1" customWidth="1"/>
    <col min="10" max="10" width="4.85546875" style="325" customWidth="1"/>
    <col min="11" max="14" width="4.85546875" style="283" customWidth="1"/>
  </cols>
  <sheetData>
    <row r="1" spans="1:10" s="283" customFormat="1" hidden="1">
      <c r="H1" s="325"/>
      <c r="I1" s="325"/>
      <c r="J1" s="325"/>
    </row>
    <row r="2" spans="1:10" s="283" customFormat="1" hidden="1">
      <c r="H2" s="325"/>
      <c r="I2" s="325"/>
      <c r="J2" s="325"/>
    </row>
    <row r="3" spans="1:10" s="283" customFormat="1" hidden="1">
      <c r="H3" s="325"/>
      <c r="I3" s="325"/>
      <c r="J3" s="325"/>
    </row>
    <row r="4" spans="1:10" s="283" customFormat="1" hidden="1">
      <c r="H4" s="325"/>
      <c r="I4" s="325"/>
      <c r="J4" s="325"/>
    </row>
    <row r="5" spans="1:10" s="283" customFormat="1" hidden="1">
      <c r="H5" s="325"/>
      <c r="I5" s="325"/>
      <c r="J5" s="325"/>
    </row>
    <row r="6" spans="1:10" s="283" customFormat="1" hidden="1">
      <c r="H6" s="325"/>
      <c r="I6" s="325"/>
      <c r="J6" s="325"/>
    </row>
    <row r="7" spans="1:10" s="283" customFormat="1" hidden="1">
      <c r="H7" s="325"/>
      <c r="I7" s="325"/>
      <c r="J7" s="325"/>
    </row>
    <row r="8" spans="1:10" s="283" customFormat="1" hidden="1">
      <c r="H8" s="325"/>
      <c r="I8" s="325"/>
      <c r="J8" s="325"/>
    </row>
    <row r="9" spans="1:10" s="283" customFormat="1" hidden="1">
      <c r="H9" s="325"/>
      <c r="I9" s="325"/>
      <c r="J9" s="325"/>
    </row>
    <row r="10" spans="1:10" s="283" customFormat="1" hidden="1">
      <c r="H10" s="325"/>
      <c r="I10" s="325"/>
      <c r="J10" s="325"/>
    </row>
    <row r="11" spans="1:10" s="283" customFormat="1" hidden="1">
      <c r="H11" s="325"/>
      <c r="I11" s="325"/>
      <c r="J11" s="325"/>
    </row>
    <row r="12" spans="1:10" s="283" customFormat="1" hidden="1">
      <c r="H12" s="325"/>
      <c r="I12" s="325"/>
      <c r="J12" s="325"/>
    </row>
    <row r="13" spans="1:10" hidden="1">
      <c r="A13" s="283"/>
    </row>
    <row r="14" spans="1:10">
      <c r="A14" s="182" t="s">
        <v>83</v>
      </c>
    </row>
    <row r="15" spans="1:10" s="333" customFormat="1">
      <c r="A15" s="332"/>
      <c r="C15" s="338"/>
      <c r="D15" s="338"/>
      <c r="E15" s="588"/>
      <c r="F15" s="589"/>
      <c r="G15" s="590"/>
      <c r="H15" s="339"/>
      <c r="I15" s="339"/>
      <c r="J15" s="334"/>
    </row>
    <row r="16" spans="1:10">
      <c r="A16" s="44" t="s">
        <v>65</v>
      </c>
      <c r="C16" s="335"/>
      <c r="D16" s="336"/>
      <c r="E16" s="336"/>
      <c r="F16" s="336"/>
      <c r="G16" s="336"/>
      <c r="H16" s="337"/>
      <c r="I16" s="337"/>
    </row>
    <row r="17" spans="1:9">
      <c r="A17" s="49" t="s">
        <v>66</v>
      </c>
      <c r="B17" s="239">
        <f>IF('DFP-Com'!K15-'DFP-CASH'!K17=0,"ok",'DFP-Com'!K15-'DFP-CASH'!K17)</f>
        <v>-1.862645149230957E-9</v>
      </c>
      <c r="C17" s="239" t="str">
        <f>IF('DFP-Com'!L15-'DFP-CASH'!L17=0,"ok",'DFP-Com'!L15-'DFP-CASH'!L17)</f>
        <v>ok</v>
      </c>
      <c r="D17" s="239">
        <f>IF('DFP-Com'!M15-'DFP-CASH'!M17=0,"ok",'DFP-Com'!M15-'DFP-CASH'!M17)</f>
        <v>1.862645149230957E-9</v>
      </c>
      <c r="E17" s="239">
        <f>IF('DFP-Com'!N15-'DFP-CASH'!Q17=0,"ok",'DFP-Com'!N15-'DFP-CASH'!Q17)</f>
        <v>-1221955.4077922106</v>
      </c>
      <c r="F17" s="239" t="str">
        <f>IF('DFP-Com'!O15-'DFP-CASH'!R17=0,"ok",'DFP-Com'!O15-'DFP-CASH'!R17)</f>
        <v>ok</v>
      </c>
      <c r="G17" s="239" t="str">
        <f>IF('DFP-Com'!P15-'DFP-CASH'!S17=0,"ok",'DFP-Com'!P15-'DFP-CASH'!S17)</f>
        <v>ok</v>
      </c>
      <c r="H17" s="239" t="str">
        <f>IF('DFP-Com'!Q15-'DFP-CASH'!T17=0,"ok",'DFP-Com'!Q15-'DFP-CASH'!T17)</f>
        <v>ok</v>
      </c>
      <c r="I17" s="239" t="str">
        <f>IF('DFP-Com'!R15-'DFP-CASH'!U17=0,"ok",'DFP-Com'!R15-'DFP-CASH'!U17)</f>
        <v>ok</v>
      </c>
    </row>
    <row r="18" spans="1:9">
      <c r="A18" s="194" t="s">
        <v>92</v>
      </c>
      <c r="B18" s="239" t="str">
        <f>IF('DFP-Com'!K16-'DFP-CASH'!K18=0,"ok",'DFP-Com'!K16-'DFP-CASH'!K18)</f>
        <v>ok</v>
      </c>
      <c r="C18" s="239" t="str">
        <f>IF('DFP-Com'!L16-'DFP-CASH'!L18=0,"ok",'DFP-Com'!L16-'DFP-CASH'!L18)</f>
        <v>ok</v>
      </c>
      <c r="D18" s="239" t="str">
        <f>IF('DFP-Com'!M16-'DFP-CASH'!M18=0,"ok",'DFP-Com'!M16-'DFP-CASH'!M18)</f>
        <v>ok</v>
      </c>
      <c r="E18" s="239" t="str">
        <f>IF('DFP-Com'!N16-'DFP-CASH'!Q18=0,"ok",'DFP-Com'!N16-'DFP-CASH'!Q18)</f>
        <v>ok</v>
      </c>
      <c r="F18" s="239" t="str">
        <f>IF('DFP-Com'!O16-'DFP-CASH'!R18=0,"ok",'DFP-Com'!O16-'DFP-CASH'!R18)</f>
        <v>ok</v>
      </c>
      <c r="G18" s="239" t="str">
        <f>IF('DFP-Com'!P16-'DFP-CASH'!S18=0,"ok",'DFP-Com'!P16-'DFP-CASH'!S18)</f>
        <v>ok</v>
      </c>
      <c r="H18" s="239" t="str">
        <f>IF('DFP-Com'!Q16-'DFP-CASH'!T18=0,"ok",'DFP-Com'!Q16-'DFP-CASH'!T18)</f>
        <v>ok</v>
      </c>
      <c r="I18" s="239" t="str">
        <f>IF('DFP-Com'!R16-'DFP-CASH'!U18=0,"ok",'DFP-Com'!R16-'DFP-CASH'!U18)</f>
        <v>ok</v>
      </c>
    </row>
    <row r="19" spans="1:9">
      <c r="A19" s="194" t="s">
        <v>93</v>
      </c>
      <c r="B19" s="239">
        <f>IF('DFP-Com'!K17-'DFP-CASH'!K19=0,"ok",'DFP-Com'!K17-'DFP-CASH'!K19)</f>
        <v>-9.3132257461547852E-10</v>
      </c>
      <c r="C19" s="239" t="str">
        <f>IF('DFP-Com'!L17-'DFP-CASH'!L19=0,"ok",'DFP-Com'!L17-'DFP-CASH'!L19)</f>
        <v>ok</v>
      </c>
      <c r="D19" s="239" t="str">
        <f>IF('DFP-Com'!M17-'DFP-CASH'!M19=0,"ok",'DFP-Com'!M17-'DFP-CASH'!M19)</f>
        <v>ok</v>
      </c>
      <c r="E19" s="239" t="str">
        <f>IF('DFP-Com'!N17-'DFP-CASH'!Q19=0,"ok",'DFP-Com'!N17-'DFP-CASH'!Q19)</f>
        <v>ok</v>
      </c>
      <c r="F19" s="239" t="str">
        <f>IF('DFP-Com'!O17-'DFP-CASH'!R19=0,"ok",'DFP-Com'!O17-'DFP-CASH'!R19)</f>
        <v>ok</v>
      </c>
      <c r="G19" s="239" t="str">
        <f>IF('DFP-Com'!P17-'DFP-CASH'!S19=0,"ok",'DFP-Com'!P17-'DFP-CASH'!S19)</f>
        <v>ok</v>
      </c>
      <c r="H19" s="239" t="str">
        <f>IF('DFP-Com'!Q17-'DFP-CASH'!T19=0,"ok",'DFP-Com'!Q17-'DFP-CASH'!T19)</f>
        <v>ok</v>
      </c>
      <c r="I19" s="239" t="str">
        <f>IF('DFP-Com'!R17-'DFP-CASH'!U19=0,"ok",'DFP-Com'!R17-'DFP-CASH'!U19)</f>
        <v>ok</v>
      </c>
    </row>
    <row r="20" spans="1:9">
      <c r="A20" s="194" t="s">
        <v>100</v>
      </c>
      <c r="B20" s="239" t="str">
        <f>IF('DFP-Com'!K18-'DFP-CASH'!K20=0,"ok",'DFP-Com'!K18-'DFP-CASH'!K20)</f>
        <v>ok</v>
      </c>
      <c r="C20" s="239" t="str">
        <f>IF('DFP-Com'!L18-'DFP-CASH'!L20=0,"ok",'DFP-Com'!L18-'DFP-CASH'!L20)</f>
        <v>ok</v>
      </c>
      <c r="D20" s="239" t="str">
        <f>IF('DFP-Com'!M18-'DFP-CASH'!M20=0,"ok",'DFP-Com'!M18-'DFP-CASH'!M20)</f>
        <v>ok</v>
      </c>
      <c r="E20" s="239" t="str">
        <f>IF('DFP-Com'!N18-'DFP-CASH'!Q20=0,"ok",'DFP-Com'!N18-'DFP-CASH'!Q20)</f>
        <v>ok</v>
      </c>
      <c r="F20" s="239" t="str">
        <f>IF('DFP-Com'!O18-'DFP-CASH'!R20=0,"ok",'DFP-Com'!O18-'DFP-CASH'!R20)</f>
        <v>ok</v>
      </c>
      <c r="G20" s="239" t="str">
        <f>IF('DFP-Com'!P18-'DFP-CASH'!S20=0,"ok",'DFP-Com'!P18-'DFP-CASH'!S20)</f>
        <v>ok</v>
      </c>
      <c r="H20" s="239" t="str">
        <f>IF('DFP-Com'!Q18-'DFP-CASH'!T20=0,"ok",'DFP-Com'!Q18-'DFP-CASH'!T20)</f>
        <v>ok</v>
      </c>
      <c r="I20" s="239" t="str">
        <f>IF('DFP-Com'!R18-'DFP-CASH'!U20=0,"ok",'DFP-Com'!R18-'DFP-CASH'!U20)</f>
        <v>ok</v>
      </c>
    </row>
    <row r="21" spans="1:9" ht="25.5">
      <c r="A21" s="49" t="s">
        <v>67</v>
      </c>
      <c r="B21" s="239" t="str">
        <f>IF('DFP-Com'!K19-'DFP-CASH'!K21=0,"ok",'DFP-Com'!K19-'DFP-CASH'!K21)</f>
        <v>ok</v>
      </c>
      <c r="C21" s="239" t="str">
        <f>IF('DFP-Com'!L19-'DFP-CASH'!L21=0,"ok",'DFP-Com'!L19-'DFP-CASH'!L21)</f>
        <v>ok</v>
      </c>
      <c r="D21" s="239" t="str">
        <f>IF('DFP-Com'!M19-'DFP-CASH'!M21=0,"ok",'DFP-Com'!M19-'DFP-CASH'!M21)</f>
        <v>ok</v>
      </c>
      <c r="E21" s="239">
        <f>IF('DFP-Com'!N19-'DFP-CASH'!Q21=0,"ok",'DFP-Com'!N19-'DFP-CASH'!Q21)</f>
        <v>510340.59</v>
      </c>
      <c r="F21" s="239" t="str">
        <f>IF('DFP-Com'!O19-'DFP-CASH'!R21=0,"ok",'DFP-Com'!O19-'DFP-CASH'!R21)</f>
        <v>ok</v>
      </c>
      <c r="G21" s="239" t="str">
        <f>IF('DFP-Com'!P19-'DFP-CASH'!S21=0,"ok",'DFP-Com'!P19-'DFP-CASH'!S21)</f>
        <v>ok</v>
      </c>
      <c r="H21" s="239" t="str">
        <f>IF('DFP-Com'!Q19-'DFP-CASH'!T21=0,"ok",'DFP-Com'!Q19-'DFP-CASH'!T21)</f>
        <v>ok</v>
      </c>
      <c r="I21" s="239" t="str">
        <f>IF('DFP-Com'!R19-'DFP-CASH'!U21=0,"ok",'DFP-Com'!R19-'DFP-CASH'!U21)</f>
        <v>ok</v>
      </c>
    </row>
    <row r="22" spans="1:9">
      <c r="A22" s="194" t="s">
        <v>101</v>
      </c>
      <c r="B22" s="239" t="str">
        <f>IF('DFP-Com'!K20-'DFP-CASH'!K22=0,"ok",'DFP-Com'!K20-'DFP-CASH'!K22)</f>
        <v>ok</v>
      </c>
      <c r="C22" s="239" t="str">
        <f>IF('DFP-Com'!L20-'DFP-CASH'!L22=0,"ok",'DFP-Com'!L20-'DFP-CASH'!L22)</f>
        <v>ok</v>
      </c>
      <c r="D22" s="239" t="str">
        <f>IF('DFP-Com'!M20-'DFP-CASH'!M22=0,"ok",'DFP-Com'!M20-'DFP-CASH'!M22)</f>
        <v>ok</v>
      </c>
      <c r="E22" s="239" t="str">
        <f>IF('DFP-Com'!N20-'DFP-CASH'!Q22=0,"ok",'DFP-Com'!N20-'DFP-CASH'!Q22)</f>
        <v>ok</v>
      </c>
      <c r="F22" s="239" t="str">
        <f>IF('DFP-Com'!O20-'DFP-CASH'!R22=0,"ok",'DFP-Com'!O20-'DFP-CASH'!R22)</f>
        <v>ok</v>
      </c>
      <c r="G22" s="239" t="str">
        <f>IF('DFP-Com'!P20-'DFP-CASH'!S22=0,"ok",'DFP-Com'!P20-'DFP-CASH'!S22)</f>
        <v>ok</v>
      </c>
      <c r="H22" s="239" t="str">
        <f>IF('DFP-Com'!Q20-'DFP-CASH'!T22=0,"ok",'DFP-Com'!Q20-'DFP-CASH'!T22)</f>
        <v>ok</v>
      </c>
      <c r="I22" s="239" t="str">
        <f>IF('DFP-Com'!R20-'DFP-CASH'!U22=0,"ok",'DFP-Com'!R20-'DFP-CASH'!U22)</f>
        <v>ok</v>
      </c>
    </row>
    <row r="23" spans="1:9" ht="25.5">
      <c r="A23" s="49" t="s">
        <v>68</v>
      </c>
      <c r="B23" s="239">
        <f>IF('DFP-Com'!K21-'DFP-CASH'!K23=0,"ok",'DFP-Com'!K21-'DFP-CASH'!K23)</f>
        <v>-6.2499996274709702E-3</v>
      </c>
      <c r="C23" s="239" t="str">
        <f>IF('DFP-Com'!L21-'DFP-CASH'!L23=0,"ok",'DFP-Com'!L21-'DFP-CASH'!L23)</f>
        <v>ok</v>
      </c>
      <c r="D23" s="239">
        <f>IF('DFP-Com'!M21-'DFP-CASH'!M23=0,"ok",'DFP-Com'!M21-'DFP-CASH'!M23)</f>
        <v>6.2499996274709702E-3</v>
      </c>
      <c r="E23" s="239">
        <f>IF('DFP-Com'!N21-'DFP-CASH'!Q23=0,"ok",'DFP-Com'!N21-'DFP-CASH'!Q23)</f>
        <v>-99859.569999999832</v>
      </c>
      <c r="F23" s="239" t="str">
        <f>IF('DFP-Com'!O21-'DFP-CASH'!R23=0,"ok",'DFP-Com'!O21-'DFP-CASH'!R23)</f>
        <v>ok</v>
      </c>
      <c r="G23" s="239" t="str">
        <f>IF('DFP-Com'!P21-'DFP-CASH'!S23=0,"ok",'DFP-Com'!P21-'DFP-CASH'!S23)</f>
        <v>ok</v>
      </c>
      <c r="H23" s="239" t="str">
        <f>IF('DFP-Com'!Q21-'DFP-CASH'!T23=0,"ok",'DFP-Com'!Q21-'DFP-CASH'!T23)</f>
        <v>ok</v>
      </c>
      <c r="I23" s="239" t="str">
        <f>IF('DFP-Com'!R21-'DFP-CASH'!U23=0,"ok",'DFP-Com'!R21-'DFP-CASH'!U23)</f>
        <v>ok</v>
      </c>
    </row>
    <row r="24" spans="1:9">
      <c r="A24" s="194" t="s">
        <v>94</v>
      </c>
      <c r="B24" s="239">
        <f>IF('DFP-Com'!K22-'DFP-CASH'!K24=0,"ok",'DFP-Com'!K22-'DFP-CASH'!K24)</f>
        <v>4.6566128730773926E-10</v>
      </c>
      <c r="C24" s="239" t="str">
        <f>IF('DFP-Com'!L22-'DFP-CASH'!L24=0,"ok",'DFP-Com'!L22-'DFP-CASH'!L24)</f>
        <v>ok</v>
      </c>
      <c r="D24" s="239" t="str">
        <f>IF('DFP-Com'!M22-'DFP-CASH'!M24=0,"ok",'DFP-Com'!M22-'DFP-CASH'!M24)</f>
        <v>ok</v>
      </c>
      <c r="E24" s="239" t="str">
        <f>IF('DFP-Com'!N22-'DFP-CASH'!Q24=0,"ok",'DFP-Com'!N22-'DFP-CASH'!Q24)</f>
        <v>ok</v>
      </c>
      <c r="F24" s="239" t="str">
        <f>IF('DFP-Com'!O22-'DFP-CASH'!R24=0,"ok",'DFP-Com'!O22-'DFP-CASH'!R24)</f>
        <v>ok</v>
      </c>
      <c r="G24" s="239" t="str">
        <f>IF('DFP-Com'!P22-'DFP-CASH'!S24=0,"ok",'DFP-Com'!P22-'DFP-CASH'!S24)</f>
        <v>ok</v>
      </c>
      <c r="H24" s="239" t="str">
        <f>IF('DFP-Com'!Q22-'DFP-CASH'!T24=0,"ok",'DFP-Com'!Q22-'DFP-CASH'!T24)</f>
        <v>ok</v>
      </c>
      <c r="I24" s="239" t="str">
        <f>IF('DFP-Com'!R22-'DFP-CASH'!U24=0,"ok",'DFP-Com'!R22-'DFP-CASH'!U24)</f>
        <v>ok</v>
      </c>
    </row>
    <row r="25" spans="1:9">
      <c r="A25" s="194" t="s">
        <v>110</v>
      </c>
      <c r="B25" s="239">
        <f>IF('DFP-Com'!K23-'DFP-CASH'!K25=0,"ok",'DFP-Com'!K23-'DFP-CASH'!K25)</f>
        <v>-6.2500000349245965E-3</v>
      </c>
      <c r="C25" s="239" t="str">
        <f>IF('DFP-Com'!L23-'DFP-CASH'!L25=0,"ok",'DFP-Com'!L23-'DFP-CASH'!L25)</f>
        <v>ok</v>
      </c>
      <c r="D25" s="239" t="str">
        <f>IF('DFP-Com'!M23-'DFP-CASH'!M25=0,"ok",'DFP-Com'!M23-'DFP-CASH'!M25)</f>
        <v>ok</v>
      </c>
      <c r="E25" s="239" t="str">
        <f>IF('DFP-Com'!N23-'DFP-CASH'!Q25=0,"ok",'DFP-Com'!N23-'DFP-CASH'!Q25)</f>
        <v>ok</v>
      </c>
      <c r="F25" s="239" t="str">
        <f>IF('DFP-Com'!O23-'DFP-CASH'!R25=0,"ok",'DFP-Com'!O23-'DFP-CASH'!R25)</f>
        <v>ok</v>
      </c>
      <c r="G25" s="239" t="str">
        <f>IF('DFP-Com'!P23-'DFP-CASH'!S25=0,"ok",'DFP-Com'!P23-'DFP-CASH'!S25)</f>
        <v>ok</v>
      </c>
      <c r="H25" s="239" t="str">
        <f>IF('DFP-Com'!Q23-'DFP-CASH'!T25=0,"ok",'DFP-Com'!Q23-'DFP-CASH'!T25)</f>
        <v>ok</v>
      </c>
      <c r="I25" s="239" t="str">
        <f>IF('DFP-Com'!R23-'DFP-CASH'!U25=0,"ok",'DFP-Com'!R23-'DFP-CASH'!U25)</f>
        <v>ok</v>
      </c>
    </row>
    <row r="26" spans="1:9">
      <c r="A26" s="194" t="s">
        <v>109</v>
      </c>
      <c r="B26" s="239" t="str">
        <f>IF('DFP-Com'!K24-'DFP-CASH'!K26=0,"ok",'DFP-Com'!K24-'DFP-CASH'!K26)</f>
        <v>ok</v>
      </c>
      <c r="C26" s="239" t="str">
        <f>IF('DFP-Com'!L24-'DFP-CASH'!L26=0,"ok",'DFP-Com'!L24-'DFP-CASH'!L26)</f>
        <v>ok</v>
      </c>
      <c r="D26" s="239" t="str">
        <f>IF('DFP-Com'!M24-'DFP-CASH'!M26=0,"ok",'DFP-Com'!M24-'DFP-CASH'!M26)</f>
        <v>ok</v>
      </c>
      <c r="E26" s="239" t="str">
        <f>IF('DFP-Com'!N24-'DFP-CASH'!Q26=0,"ok",'DFP-Com'!N24-'DFP-CASH'!Q26)</f>
        <v>ok</v>
      </c>
      <c r="F26" s="239" t="str">
        <f>IF('DFP-Com'!O24-'DFP-CASH'!R26=0,"ok",'DFP-Com'!O24-'DFP-CASH'!R26)</f>
        <v>ok</v>
      </c>
      <c r="G26" s="239" t="str">
        <f>IF('DFP-Com'!P24-'DFP-CASH'!S26=0,"ok",'DFP-Com'!P24-'DFP-CASH'!S26)</f>
        <v>ok</v>
      </c>
      <c r="H26" s="239" t="str">
        <f>IF('DFP-Com'!Q24-'DFP-CASH'!T26=0,"ok",'DFP-Com'!Q24-'DFP-CASH'!T26)</f>
        <v>ok</v>
      </c>
      <c r="I26" s="239" t="str">
        <f>IF('DFP-Com'!R24-'DFP-CASH'!U26=0,"ok",'DFP-Com'!R24-'DFP-CASH'!U26)</f>
        <v>ok</v>
      </c>
    </row>
    <row r="27" spans="1:9">
      <c r="A27" s="50" t="s">
        <v>59</v>
      </c>
      <c r="B27" s="239">
        <f>IF('DFP-Com'!K25-'DFP-CASH'!K27=0,"ok",'DFP-Com'!K25-'DFP-CASH'!K27)</f>
        <v>-6.2500014901161194E-3</v>
      </c>
      <c r="C27" s="239" t="str">
        <f>IF('DFP-Com'!L25-'DFP-CASH'!L27=0,"ok",'DFP-Com'!L25-'DFP-CASH'!L27)</f>
        <v>ok</v>
      </c>
      <c r="D27" s="239">
        <f>IF('DFP-Com'!M25-'DFP-CASH'!M27=0,"ok",'DFP-Com'!M25-'DFP-CASH'!M27)</f>
        <v>6.2500014901161194E-3</v>
      </c>
      <c r="E27" s="239" t="str">
        <f>IF('DFP-Com'!N25-'DFP-CASH'!Q27=0,"ok",'DFP-Com'!N25-'DFP-CASH'!Q27)</f>
        <v>ok</v>
      </c>
      <c r="F27" s="239" t="str">
        <f>IF('DFP-Com'!O25-'DFP-CASH'!R27=0,"ok",'DFP-Com'!O25-'DFP-CASH'!R27)</f>
        <v>ok</v>
      </c>
      <c r="G27" s="239" t="str">
        <f>IF('DFP-Com'!P25-'DFP-CASH'!S27=0,"ok",'DFP-Com'!P25-'DFP-CASH'!S27)</f>
        <v>ok</v>
      </c>
      <c r="H27" s="239" t="str">
        <f>IF('DFP-Com'!Q25-'DFP-CASH'!T27=0,"ok",'DFP-Com'!Q25-'DFP-CASH'!T27)</f>
        <v>ok</v>
      </c>
      <c r="I27" s="239" t="str">
        <f>IF('DFP-Com'!R25-'DFP-CASH'!U27=0,"ok",'DFP-Com'!R25-'DFP-CASH'!U27)</f>
        <v>ok</v>
      </c>
    </row>
    <row r="28" spans="1:9">
      <c r="A28" s="51"/>
      <c r="B28" s="239" t="str">
        <f>IF('DFP-Com'!K26-'DFP-CASH'!K28=0,"ok",'DFP-Com'!K26-'DFP-CASH'!K28)</f>
        <v>ok</v>
      </c>
      <c r="C28" s="239" t="str">
        <f>IF('DFP-Com'!L26-'DFP-CASH'!L28=0,"ok",'DFP-Com'!L26-'DFP-CASH'!L28)</f>
        <v>ok</v>
      </c>
      <c r="D28" s="239" t="str">
        <f>IF('DFP-Com'!M26-'DFP-CASH'!M28=0,"ok",'DFP-Com'!M26-'DFP-CASH'!M28)</f>
        <v>ok</v>
      </c>
      <c r="E28" s="239" t="str">
        <f>IF('DFP-Com'!N26-'DFP-CASH'!Q28=0,"ok",'DFP-Com'!N26-'DFP-CASH'!Q28)</f>
        <v>ok</v>
      </c>
      <c r="F28" s="239" t="str">
        <f>IF('DFP-Com'!O26-'DFP-CASH'!R28=0,"ok",'DFP-Com'!O26-'DFP-CASH'!R28)</f>
        <v>ok</v>
      </c>
      <c r="G28" s="239" t="str">
        <f>IF('DFP-Com'!P26-'DFP-CASH'!S28=0,"ok",'DFP-Com'!P26-'DFP-CASH'!S28)</f>
        <v>ok</v>
      </c>
      <c r="H28" s="239" t="str">
        <f>IF('DFP-Com'!Q26-'DFP-CASH'!T28=0,"ok",'DFP-Com'!Q26-'DFP-CASH'!T28)</f>
        <v>ok</v>
      </c>
      <c r="I28" s="239" t="str">
        <f>IF('DFP-Com'!R26-'DFP-CASH'!U28=0,"ok",'DFP-Com'!R26-'DFP-CASH'!U28)</f>
        <v>ok</v>
      </c>
    </row>
    <row r="29" spans="1:9">
      <c r="A29" s="44" t="s">
        <v>71</v>
      </c>
      <c r="B29" s="239" t="str">
        <f>IF('DFP-Com'!K27-'DFP-CASH'!K29=0,"ok",'DFP-Com'!K27-'DFP-CASH'!K29)</f>
        <v>ok</v>
      </c>
      <c r="C29" s="239" t="str">
        <f>IF('DFP-Com'!L27-'DFP-CASH'!L29=0,"ok",'DFP-Com'!L27-'DFP-CASH'!L29)</f>
        <v>ok</v>
      </c>
      <c r="D29" s="239" t="str">
        <f>IF('DFP-Com'!M27-'DFP-CASH'!M29=0,"ok",'DFP-Com'!M27-'DFP-CASH'!M29)</f>
        <v>ok</v>
      </c>
      <c r="E29" s="239" t="str">
        <f>IF('DFP-Com'!N27-'DFP-CASH'!Q29=0,"ok",'DFP-Com'!N27-'DFP-CASH'!Q29)</f>
        <v>ok</v>
      </c>
      <c r="F29" s="239" t="str">
        <f>IF('DFP-Com'!O27-'DFP-CASH'!R29=0,"ok",'DFP-Com'!O27-'DFP-CASH'!R29)</f>
        <v>ok</v>
      </c>
      <c r="G29" s="239" t="str">
        <f>IF('DFP-Com'!P27-'DFP-CASH'!S29=0,"ok",'DFP-Com'!P27-'DFP-CASH'!S29)</f>
        <v>ok</v>
      </c>
      <c r="H29" s="239" t="str">
        <f>IF('DFP-Com'!Q27-'DFP-CASH'!T29=0,"ok",'DFP-Com'!Q27-'DFP-CASH'!T29)</f>
        <v>ok</v>
      </c>
      <c r="I29" s="239" t="str">
        <f>IF('DFP-Com'!R27-'DFP-CASH'!U29=0,"ok",'DFP-Com'!R27-'DFP-CASH'!U29)</f>
        <v>ok</v>
      </c>
    </row>
    <row r="30" spans="1:9">
      <c r="A30" s="49" t="s">
        <v>111</v>
      </c>
      <c r="B30" s="239">
        <f>IF('DFP-Com'!K28-'DFP-CASH'!K30=0,"ok",'DFP-Com'!K28-'DFP-CASH'!K30)</f>
        <v>2.3283064365386963E-10</v>
      </c>
      <c r="C30" s="239" t="str">
        <f>IF('DFP-Com'!L28-'DFP-CASH'!L30=0,"ok",'DFP-Com'!L28-'DFP-CASH'!L30)</f>
        <v>ok</v>
      </c>
      <c r="D30" s="239">
        <f>IF('DFP-Com'!M28-'DFP-CASH'!M30=0,"ok",'DFP-Com'!M28-'DFP-CASH'!M30)</f>
        <v>-2.3283064365386963E-10</v>
      </c>
      <c r="E30" s="239">
        <f>IF('DFP-Com'!N28-'DFP-CASH'!Q30=0,"ok",'DFP-Com'!N28-'DFP-CASH'!Q30)</f>
        <v>-197145.29</v>
      </c>
      <c r="F30" s="239" t="str">
        <f>IF('DFP-Com'!O28-'DFP-CASH'!R30=0,"ok",'DFP-Com'!O28-'DFP-CASH'!R30)</f>
        <v>ok</v>
      </c>
      <c r="G30" s="239" t="str">
        <f>IF('DFP-Com'!P28-'DFP-CASH'!S30=0,"ok",'DFP-Com'!P28-'DFP-CASH'!S30)</f>
        <v>ok</v>
      </c>
      <c r="H30" s="239" t="str">
        <f>IF('DFP-Com'!Q28-'DFP-CASH'!T30=0,"ok",'DFP-Com'!Q28-'DFP-CASH'!T30)</f>
        <v>ok</v>
      </c>
      <c r="I30" s="239" t="str">
        <f>IF('DFP-Com'!R28-'DFP-CASH'!U30=0,"ok",'DFP-Com'!R28-'DFP-CASH'!U30)</f>
        <v>ok</v>
      </c>
    </row>
    <row r="31" spans="1:9">
      <c r="A31" s="194" t="s">
        <v>104</v>
      </c>
      <c r="B31" s="239">
        <f>IF('DFP-Com'!K29-'DFP-CASH'!K31=0,"ok",'DFP-Com'!K29-'DFP-CASH'!K31)</f>
        <v>2.3283064365386963E-10</v>
      </c>
      <c r="C31" s="239" t="str">
        <f>IF('DFP-Com'!L29-'DFP-CASH'!L31=0,"ok",'DFP-Com'!L29-'DFP-CASH'!L31)</f>
        <v>ok</v>
      </c>
      <c r="D31" s="239" t="str">
        <f>IF('DFP-Com'!M29-'DFP-CASH'!M31=0,"ok",'DFP-Com'!M29-'DFP-CASH'!M31)</f>
        <v>ok</v>
      </c>
      <c r="E31" s="239" t="str">
        <f>IF('DFP-Com'!N29-'DFP-CASH'!Q31=0,"ok",'DFP-Com'!N29-'DFP-CASH'!Q31)</f>
        <v>ok</v>
      </c>
      <c r="F31" s="239" t="str">
        <f>IF('DFP-Com'!O29-'DFP-CASH'!R31=0,"ok",'DFP-Com'!O29-'DFP-CASH'!R31)</f>
        <v>ok</v>
      </c>
      <c r="G31" s="239" t="str">
        <f>IF('DFP-Com'!P29-'DFP-CASH'!S31=0,"ok",'DFP-Com'!P29-'DFP-CASH'!S31)</f>
        <v>ok</v>
      </c>
      <c r="H31" s="239" t="str">
        <f>IF('DFP-Com'!Q29-'DFP-CASH'!T31=0,"ok",'DFP-Com'!Q29-'DFP-CASH'!T31)</f>
        <v>ok</v>
      </c>
      <c r="I31" s="239" t="str">
        <f>IF('DFP-Com'!R29-'DFP-CASH'!U31=0,"ok",'DFP-Com'!R29-'DFP-CASH'!U31)</f>
        <v>ok</v>
      </c>
    </row>
    <row r="32" spans="1:9" ht="25.5">
      <c r="A32" s="49" t="s">
        <v>75</v>
      </c>
      <c r="B32" s="239" t="str">
        <f>IF('DFP-Com'!K30-'DFP-CASH'!K32=0,"ok",'DFP-Com'!K30-'DFP-CASH'!K32)</f>
        <v>ok</v>
      </c>
      <c r="C32" s="239" t="str">
        <f>IF('DFP-Com'!L30-'DFP-CASH'!L32=0,"ok",'DFP-Com'!L30-'DFP-CASH'!L32)</f>
        <v>ok</v>
      </c>
      <c r="D32" s="239" t="str">
        <f>IF('DFP-Com'!M30-'DFP-CASH'!M32=0,"ok",'DFP-Com'!M30-'DFP-CASH'!M32)</f>
        <v>ok</v>
      </c>
      <c r="E32" s="239">
        <f>IF('DFP-Com'!N30-'DFP-CASH'!Q32=0,"ok",'DFP-Com'!N30-'DFP-CASH'!Q32)</f>
        <v>429224.73</v>
      </c>
      <c r="F32" s="239" t="str">
        <f>IF('DFP-Com'!O30-'DFP-CASH'!R32=0,"ok",'DFP-Com'!O30-'DFP-CASH'!R32)</f>
        <v>ok</v>
      </c>
      <c r="G32" s="239" t="str">
        <f>IF('DFP-Com'!P30-'DFP-CASH'!S32=0,"ok",'DFP-Com'!P30-'DFP-CASH'!S32)</f>
        <v>ok</v>
      </c>
      <c r="H32" s="239" t="str">
        <f>IF('DFP-Com'!Q30-'DFP-CASH'!T32=0,"ok",'DFP-Com'!Q30-'DFP-CASH'!T32)</f>
        <v>ok</v>
      </c>
      <c r="I32" s="239" t="str">
        <f>IF('DFP-Com'!R30-'DFP-CASH'!U32=0,"ok",'DFP-Com'!R30-'DFP-CASH'!U32)</f>
        <v>ok</v>
      </c>
    </row>
    <row r="33" spans="1:9">
      <c r="A33" s="194" t="s">
        <v>105</v>
      </c>
      <c r="B33" s="239" t="str">
        <f>IF('DFP-Com'!K31-'DFP-CASH'!K33=0,"ok",'DFP-Com'!K31-'DFP-CASH'!K33)</f>
        <v>ok</v>
      </c>
      <c r="C33" s="239" t="str">
        <f>IF('DFP-Com'!L31-'DFP-CASH'!L33=0,"ok",'DFP-Com'!L31-'DFP-CASH'!L33)</f>
        <v>ok</v>
      </c>
      <c r="D33" s="239" t="str">
        <f>IF('DFP-Com'!M31-'DFP-CASH'!M33=0,"ok",'DFP-Com'!M31-'DFP-CASH'!M33)</f>
        <v>ok</v>
      </c>
      <c r="E33" s="239" t="str">
        <f>IF('DFP-Com'!N31-'DFP-CASH'!Q33=0,"ok",'DFP-Com'!N31-'DFP-CASH'!Q33)</f>
        <v>ok</v>
      </c>
      <c r="F33" s="239" t="str">
        <f>IF('DFP-Com'!O31-'DFP-CASH'!R33=0,"ok",'DFP-Com'!O31-'DFP-CASH'!R33)</f>
        <v>ok</v>
      </c>
      <c r="G33" s="239" t="str">
        <f>IF('DFP-Com'!P31-'DFP-CASH'!S33=0,"ok",'DFP-Com'!P31-'DFP-CASH'!S33)</f>
        <v>ok</v>
      </c>
      <c r="H33" s="239" t="str">
        <f>IF('DFP-Com'!Q31-'DFP-CASH'!T33=0,"ok",'DFP-Com'!Q31-'DFP-CASH'!T33)</f>
        <v>ok</v>
      </c>
      <c r="I33" s="239" t="str">
        <f>IF('DFP-Com'!R31-'DFP-CASH'!U33=0,"ok",'DFP-Com'!R31-'DFP-CASH'!U33)</f>
        <v>ok</v>
      </c>
    </row>
    <row r="34" spans="1:9">
      <c r="A34" s="194" t="s">
        <v>106</v>
      </c>
      <c r="B34" s="239" t="str">
        <f>IF('DFP-Com'!K32-'DFP-CASH'!K34=0,"ok",'DFP-Com'!K32-'DFP-CASH'!K34)</f>
        <v>ok</v>
      </c>
      <c r="C34" s="239" t="str">
        <f>IF('DFP-Com'!L32-'DFP-CASH'!L34=0,"ok",'DFP-Com'!L32-'DFP-CASH'!L34)</f>
        <v>ok</v>
      </c>
      <c r="D34" s="239" t="str">
        <f>IF('DFP-Com'!M32-'DFP-CASH'!M34=0,"ok",'DFP-Com'!M32-'DFP-CASH'!M34)</f>
        <v>ok</v>
      </c>
      <c r="E34" s="239" t="str">
        <f>IF('DFP-Com'!N32-'DFP-CASH'!Q34=0,"ok",'DFP-Com'!N32-'DFP-CASH'!Q34)</f>
        <v>ok</v>
      </c>
      <c r="F34" s="239" t="str">
        <f>IF('DFP-Com'!O32-'DFP-CASH'!R34=0,"ok",'DFP-Com'!O32-'DFP-CASH'!R34)</f>
        <v>ok</v>
      </c>
      <c r="G34" s="239" t="str">
        <f>IF('DFP-Com'!P32-'DFP-CASH'!S34=0,"ok",'DFP-Com'!P32-'DFP-CASH'!S34)</f>
        <v>ok</v>
      </c>
      <c r="H34" s="239" t="str">
        <f>IF('DFP-Com'!Q32-'DFP-CASH'!T34=0,"ok",'DFP-Com'!Q32-'DFP-CASH'!T34)</f>
        <v>ok</v>
      </c>
      <c r="I34" s="239" t="str">
        <f>IF('DFP-Com'!R32-'DFP-CASH'!U34=0,"ok",'DFP-Com'!R32-'DFP-CASH'!U34)</f>
        <v>ok</v>
      </c>
    </row>
    <row r="35" spans="1:9">
      <c r="A35" s="194" t="s">
        <v>108</v>
      </c>
      <c r="B35" s="239" t="str">
        <f>IF('DFP-Com'!K33-'DFP-CASH'!K35=0,"ok",'DFP-Com'!K33-'DFP-CASH'!K35)</f>
        <v>ok</v>
      </c>
      <c r="C35" s="239" t="str">
        <f>IF('DFP-Com'!L33-'DFP-CASH'!L35=0,"ok",'DFP-Com'!L33-'DFP-CASH'!L35)</f>
        <v>ok</v>
      </c>
      <c r="D35" s="239" t="str">
        <f>IF('DFP-Com'!M33-'DFP-CASH'!M35=0,"ok",'DFP-Com'!M33-'DFP-CASH'!M35)</f>
        <v>ok</v>
      </c>
      <c r="E35" s="239" t="str">
        <f>IF('DFP-Com'!N33-'DFP-CASH'!Q35=0,"ok",'DFP-Com'!N33-'DFP-CASH'!Q35)</f>
        <v>ok</v>
      </c>
      <c r="F35" s="239" t="str">
        <f>IF('DFP-Com'!O33-'DFP-CASH'!R35=0,"ok",'DFP-Com'!O33-'DFP-CASH'!R35)</f>
        <v>ok</v>
      </c>
      <c r="G35" s="239" t="str">
        <f>IF('DFP-Com'!P33-'DFP-CASH'!S35=0,"ok",'DFP-Com'!P33-'DFP-CASH'!S35)</f>
        <v>ok</v>
      </c>
      <c r="H35" s="239" t="str">
        <f>IF('DFP-Com'!Q33-'DFP-CASH'!T35=0,"ok",'DFP-Com'!Q33-'DFP-CASH'!T35)</f>
        <v>ok</v>
      </c>
      <c r="I35" s="239" t="str">
        <f>IF('DFP-Com'!R33-'DFP-CASH'!U35=0,"ok",'DFP-Com'!R33-'DFP-CASH'!U35)</f>
        <v>ok</v>
      </c>
    </row>
    <row r="36" spans="1:9">
      <c r="A36" s="56" t="s">
        <v>60</v>
      </c>
      <c r="B36" s="239">
        <f>IF('DFP-Com'!K34-'DFP-CASH'!K36=0,"ok",'DFP-Com'!K34-'DFP-CASH'!K36)</f>
        <v>4.6566128730773926E-10</v>
      </c>
      <c r="C36" s="239" t="str">
        <f>IF('DFP-Com'!L34-'DFP-CASH'!L36=0,"ok",'DFP-Com'!L34-'DFP-CASH'!L36)</f>
        <v>ok</v>
      </c>
      <c r="D36" s="239">
        <f>IF('DFP-Com'!M34-'DFP-CASH'!M36=0,"ok",'DFP-Com'!M34-'DFP-CASH'!M36)</f>
        <v>-2.3283064365386963E-10</v>
      </c>
      <c r="E36" s="239" t="str">
        <f>IF('DFP-Com'!N34-'DFP-CASH'!Q36=0,"ok",'DFP-Com'!N34-'DFP-CASH'!Q36)</f>
        <v>ok</v>
      </c>
      <c r="F36" s="239" t="str">
        <f>IF('DFP-Com'!O34-'DFP-CASH'!R36=0,"ok",'DFP-Com'!O34-'DFP-CASH'!R36)</f>
        <v>ok</v>
      </c>
      <c r="G36" s="239" t="str">
        <f>IF('DFP-Com'!P34-'DFP-CASH'!S36=0,"ok",'DFP-Com'!P34-'DFP-CASH'!S36)</f>
        <v>ok</v>
      </c>
      <c r="H36" s="239" t="str">
        <f>IF('DFP-Com'!Q34-'DFP-CASH'!T36=0,"ok",'DFP-Com'!Q34-'DFP-CASH'!T36)</f>
        <v>ok</v>
      </c>
      <c r="I36" s="239" t="str">
        <f>IF('DFP-Com'!R34-'DFP-CASH'!U36=0,"ok",'DFP-Com'!R34-'DFP-CASH'!U36)</f>
        <v>ok</v>
      </c>
    </row>
    <row r="37" spans="1:9">
      <c r="A37" s="51"/>
      <c r="B37" s="239" t="str">
        <f>IF('DFP-Com'!K35-'DFP-CASH'!K37=0,"ok",'DFP-Com'!K35-'DFP-CASH'!K37)</f>
        <v>ok</v>
      </c>
      <c r="C37" s="239" t="str">
        <f>IF('DFP-Com'!L35-'DFP-CASH'!L37=0,"ok",'DFP-Com'!L35-'DFP-CASH'!L37)</f>
        <v>ok</v>
      </c>
      <c r="D37" s="239" t="str">
        <f>IF('DFP-Com'!M35-'DFP-CASH'!M37=0,"ok",'DFP-Com'!M35-'DFP-CASH'!M37)</f>
        <v>ok</v>
      </c>
      <c r="E37" s="239" t="str">
        <f>IF('DFP-Com'!N35-'DFP-CASH'!Q37=0,"ok",'DFP-Com'!N35-'DFP-CASH'!Q37)</f>
        <v>ok</v>
      </c>
      <c r="F37" s="239" t="str">
        <f>IF('DFP-Com'!O35-'DFP-CASH'!R37=0,"ok",'DFP-Com'!O35-'DFP-CASH'!R37)</f>
        <v>ok</v>
      </c>
      <c r="G37" s="239" t="str">
        <f>IF('DFP-Com'!P35-'DFP-CASH'!S37=0,"ok",'DFP-Com'!P35-'DFP-CASH'!S37)</f>
        <v>ok</v>
      </c>
      <c r="H37" s="239" t="str">
        <f>IF('DFP-Com'!Q35-'DFP-CASH'!T37=0,"ok",'DFP-Com'!Q35-'DFP-CASH'!T37)</f>
        <v>ok</v>
      </c>
      <c r="I37" s="239" t="str">
        <f>IF('DFP-Com'!R35-'DFP-CASH'!U37=0,"ok",'DFP-Com'!R35-'DFP-CASH'!U37)</f>
        <v>ok</v>
      </c>
    </row>
    <row r="38" spans="1:9">
      <c r="A38" s="44" t="s">
        <v>79</v>
      </c>
      <c r="B38" s="239" t="str">
        <f>IF('DFP-Com'!K36-'DFP-CASH'!K38=0,"ok",'DFP-Com'!K36-'DFP-CASH'!K38)</f>
        <v>ok</v>
      </c>
      <c r="C38" s="239" t="str">
        <f>IF('DFP-Com'!L36-'DFP-CASH'!L38=0,"ok",'DFP-Com'!L36-'DFP-CASH'!L38)</f>
        <v>ok</v>
      </c>
      <c r="D38" s="239" t="str">
        <f>IF('DFP-Com'!M36-'DFP-CASH'!M38=0,"ok",'DFP-Com'!M36-'DFP-CASH'!M38)</f>
        <v>ok</v>
      </c>
      <c r="E38" s="239" t="str">
        <f>IF('DFP-Com'!N36-'DFP-CASH'!Q38=0,"ok",'DFP-Com'!N36-'DFP-CASH'!Q38)</f>
        <v>ok</v>
      </c>
      <c r="F38" s="239" t="str">
        <f>IF('DFP-Com'!O36-'DFP-CASH'!R38=0,"ok",'DFP-Com'!O36-'DFP-CASH'!R38)</f>
        <v>ok</v>
      </c>
      <c r="G38" s="239" t="str">
        <f>IF('DFP-Com'!P36-'DFP-CASH'!S38=0,"ok",'DFP-Com'!P36-'DFP-CASH'!S38)</f>
        <v>ok</v>
      </c>
      <c r="H38" s="239" t="str">
        <f>IF('DFP-Com'!Q36-'DFP-CASH'!T38=0,"ok",'DFP-Com'!Q36-'DFP-CASH'!T38)</f>
        <v>ok</v>
      </c>
      <c r="I38" s="239" t="str">
        <f>IF('DFP-Com'!R36-'DFP-CASH'!U38=0,"ok",'DFP-Com'!R36-'DFP-CASH'!U38)</f>
        <v>ok</v>
      </c>
    </row>
    <row r="39" spans="1:9">
      <c r="A39" s="62" t="s">
        <v>80</v>
      </c>
      <c r="B39" s="239">
        <f>IF('DFP-Com'!K37-'DFP-CASH'!K39=0,"ok",'DFP-Com'!K37-'DFP-CASH'!K39)</f>
        <v>-2.3283064365386963E-10</v>
      </c>
      <c r="C39" s="239" t="str">
        <f>IF('DFP-Com'!L37-'DFP-CASH'!L39=0,"ok",'DFP-Com'!L37-'DFP-CASH'!L39)</f>
        <v>ok</v>
      </c>
      <c r="D39" s="239">
        <f>IF('DFP-Com'!M37-'DFP-CASH'!M39=0,"ok",'DFP-Com'!M37-'DFP-CASH'!M39)</f>
        <v>2.3283064365386963E-10</v>
      </c>
      <c r="E39" s="239">
        <f>IF('DFP-Com'!N37-'DFP-CASH'!Q39=0,"ok",'DFP-Com'!N37-'DFP-CASH'!Q39)</f>
        <v>827481.21029220999</v>
      </c>
      <c r="F39" s="239" t="str">
        <f>IF('DFP-Com'!O37-'DFP-CASH'!R39=0,"ok",'DFP-Com'!O37-'DFP-CASH'!R39)</f>
        <v>ok</v>
      </c>
      <c r="G39" s="239" t="str">
        <f>IF('DFP-Com'!P37-'DFP-CASH'!S39=0,"ok",'DFP-Com'!P37-'DFP-CASH'!S39)</f>
        <v>ok</v>
      </c>
      <c r="H39" s="239" t="str">
        <f>IF('DFP-Com'!Q37-'DFP-CASH'!T39=0,"ok",'DFP-Com'!Q37-'DFP-CASH'!T39)</f>
        <v>ok</v>
      </c>
      <c r="I39" s="239" t="str">
        <f>IF('DFP-Com'!R37-'DFP-CASH'!U39=0,"ok",'DFP-Com'!R37-'DFP-CASH'!U39)</f>
        <v>ok</v>
      </c>
    </row>
    <row r="40" spans="1:9">
      <c r="A40" s="202" t="s">
        <v>95</v>
      </c>
      <c r="B40" s="239">
        <f>IF('DFP-Com'!K38-'DFP-CASH'!K40=0,"ok",'DFP-Com'!K38-'DFP-CASH'!K40)</f>
        <v>-1.1641532182693481E-10</v>
      </c>
      <c r="C40" s="239" t="str">
        <f>IF('DFP-Com'!L38-'DFP-CASH'!L40=0,"ok",'DFP-Com'!L38-'DFP-CASH'!L40)</f>
        <v>ok</v>
      </c>
      <c r="D40" s="239" t="str">
        <f>IF('DFP-Com'!M38-'DFP-CASH'!M40=0,"ok",'DFP-Com'!M38-'DFP-CASH'!M40)</f>
        <v>ok</v>
      </c>
      <c r="E40" s="239" t="str">
        <f>IF('DFP-Com'!N38-'DFP-CASH'!Q40=0,"ok",'DFP-Com'!N38-'DFP-CASH'!Q40)</f>
        <v>ok</v>
      </c>
      <c r="F40" s="239" t="str">
        <f>IF('DFP-Com'!O38-'DFP-CASH'!R40=0,"ok",'DFP-Com'!O38-'DFP-CASH'!R40)</f>
        <v>ok</v>
      </c>
      <c r="G40" s="239" t="str">
        <f>IF('DFP-Com'!P38-'DFP-CASH'!S40=0,"ok",'DFP-Com'!P38-'DFP-CASH'!S40)</f>
        <v>ok</v>
      </c>
      <c r="H40" s="239" t="str">
        <f>IF('DFP-Com'!Q38-'DFP-CASH'!T40=0,"ok",'DFP-Com'!Q38-'DFP-CASH'!T40)</f>
        <v>ok</v>
      </c>
      <c r="I40" s="239" t="str">
        <f>IF('DFP-Com'!R38-'DFP-CASH'!U40=0,"ok",'DFP-Com'!R38-'DFP-CASH'!U40)</f>
        <v>ok</v>
      </c>
    </row>
    <row r="41" spans="1:9">
      <c r="A41" s="202" t="s">
        <v>96</v>
      </c>
      <c r="B41" s="239" t="str">
        <f>IF('DFP-Com'!K39-'DFP-CASH'!K41=0,"ok",'DFP-Com'!K39-'DFP-CASH'!K41)</f>
        <v>ok</v>
      </c>
      <c r="C41" s="239" t="str">
        <f>IF('DFP-Com'!L39-'DFP-CASH'!L41=0,"ok",'DFP-Com'!L39-'DFP-CASH'!L41)</f>
        <v>ok</v>
      </c>
      <c r="D41" s="239" t="str">
        <f>IF('DFP-Com'!M39-'DFP-CASH'!M41=0,"ok",'DFP-Com'!M39-'DFP-CASH'!M41)</f>
        <v>ok</v>
      </c>
      <c r="E41" s="239">
        <f>IF('DFP-Com'!N39-'DFP-CASH'!Q41=0,"ok",'DFP-Com'!N39-'DFP-CASH'!Q41)</f>
        <v>223962.42029220995</v>
      </c>
      <c r="F41" s="239" t="str">
        <f>IF('DFP-Com'!O39-'DFP-CASH'!R41=0,"ok",'DFP-Com'!O39-'DFP-CASH'!R41)</f>
        <v>ok</v>
      </c>
      <c r="G41" s="239" t="str">
        <f>IF('DFP-Com'!P39-'DFP-CASH'!S41=0,"ok",'DFP-Com'!P39-'DFP-CASH'!S41)</f>
        <v>ok</v>
      </c>
      <c r="H41" s="239" t="str">
        <f>IF('DFP-Com'!Q39-'DFP-CASH'!T41=0,"ok",'DFP-Com'!Q39-'DFP-CASH'!T41)</f>
        <v>ok</v>
      </c>
      <c r="I41" s="239" t="str">
        <f>IF('DFP-Com'!R39-'DFP-CASH'!U41=0,"ok",'DFP-Com'!R39-'DFP-CASH'!U41)</f>
        <v>ok</v>
      </c>
    </row>
    <row r="42" spans="1:9">
      <c r="A42" s="202" t="s">
        <v>97</v>
      </c>
      <c r="B42" s="239" t="str">
        <f>IF('DFP-Com'!K40-'DFP-CASH'!K42=0,"ok",'DFP-Com'!K40-'DFP-CASH'!K42)</f>
        <v>ok</v>
      </c>
      <c r="C42" s="239" t="str">
        <f>IF('DFP-Com'!L40-'DFP-CASH'!L42=0,"ok",'DFP-Com'!L40-'DFP-CASH'!L42)</f>
        <v>ok</v>
      </c>
      <c r="D42" s="239" t="str">
        <f>IF('DFP-Com'!M40-'DFP-CASH'!M42=0,"ok",'DFP-Com'!M40-'DFP-CASH'!M42)</f>
        <v>ok</v>
      </c>
      <c r="E42" s="239" t="str">
        <f>IF('DFP-Com'!N40-'DFP-CASH'!Q42=0,"ok",'DFP-Com'!N40-'DFP-CASH'!Q42)</f>
        <v>ok</v>
      </c>
      <c r="F42" s="239" t="str">
        <f>IF('DFP-Com'!O40-'DFP-CASH'!R42=0,"ok",'DFP-Com'!O40-'DFP-CASH'!R42)</f>
        <v>ok</v>
      </c>
      <c r="G42" s="239" t="str">
        <f>IF('DFP-Com'!P40-'DFP-CASH'!S42=0,"ok",'DFP-Com'!P40-'DFP-CASH'!S42)</f>
        <v>ok</v>
      </c>
      <c r="H42" s="239" t="str">
        <f>IF('DFP-Com'!Q40-'DFP-CASH'!T42=0,"ok",'DFP-Com'!Q40-'DFP-CASH'!T42)</f>
        <v>ok</v>
      </c>
      <c r="I42" s="239" t="str">
        <f>IF('DFP-Com'!R40-'DFP-CASH'!U42=0,"ok",'DFP-Com'!R40-'DFP-CASH'!U42)</f>
        <v>ok</v>
      </c>
    </row>
    <row r="43" spans="1:9">
      <c r="A43" s="202" t="s">
        <v>107</v>
      </c>
      <c r="B43" s="239" t="str">
        <f>IF('DFP-Com'!K41-'DFP-CASH'!K43=0,"ok",'DFP-Com'!K41-'DFP-CASH'!K43)</f>
        <v>ok</v>
      </c>
      <c r="C43" s="239" t="str">
        <f>IF('DFP-Com'!L41-'DFP-CASH'!L43=0,"ok",'DFP-Com'!L41-'DFP-CASH'!L43)</f>
        <v>ok</v>
      </c>
      <c r="D43" s="239" t="str">
        <f>IF('DFP-Com'!M41-'DFP-CASH'!M43=0,"ok",'DFP-Com'!M41-'DFP-CASH'!M43)</f>
        <v>ok</v>
      </c>
      <c r="E43" s="239" t="str">
        <f>IF('DFP-Com'!N41-'DFP-CASH'!Q43=0,"ok",'DFP-Com'!N41-'DFP-CASH'!Q43)</f>
        <v>ok</v>
      </c>
      <c r="F43" s="239" t="str">
        <f>IF('DFP-Com'!O41-'DFP-CASH'!R43=0,"ok",'DFP-Com'!O41-'DFP-CASH'!R43)</f>
        <v>ok</v>
      </c>
      <c r="G43" s="239" t="str">
        <f>IF('DFP-Com'!P41-'DFP-CASH'!S43=0,"ok",'DFP-Com'!P41-'DFP-CASH'!S43)</f>
        <v>ok</v>
      </c>
      <c r="H43" s="239" t="str">
        <f>IF('DFP-Com'!Q41-'DFP-CASH'!T43=0,"ok",'DFP-Com'!Q41-'DFP-CASH'!T43)</f>
        <v>ok</v>
      </c>
      <c r="I43" s="239" t="str">
        <f>IF('DFP-Com'!R41-'DFP-CASH'!U43=0,"ok",'DFP-Com'!R41-'DFP-CASH'!U43)</f>
        <v>ok</v>
      </c>
    </row>
    <row r="44" spans="1:9">
      <c r="A44" s="56" t="s">
        <v>15</v>
      </c>
      <c r="B44" s="239">
        <f>IF('DFP-Com'!K42-'DFP-CASH'!K44=0,"ok",'DFP-Com'!K42-'DFP-CASH'!K44)</f>
        <v>-2.3283064365386963E-10</v>
      </c>
      <c r="C44" s="239" t="str">
        <f>IF('DFP-Com'!L42-'DFP-CASH'!L44=0,"ok",'DFP-Com'!L42-'DFP-CASH'!L44)</f>
        <v>ok</v>
      </c>
      <c r="D44" s="239">
        <f>IF('DFP-Com'!M42-'DFP-CASH'!M44=0,"ok",'DFP-Com'!M42-'DFP-CASH'!M44)</f>
        <v>2.3283064365386963E-10</v>
      </c>
      <c r="E44" s="239" t="str">
        <f>IF('DFP-Com'!N42-'DFP-CASH'!Q44=0,"ok",'DFP-Com'!N42-'DFP-CASH'!Q44)</f>
        <v>ok</v>
      </c>
      <c r="F44" s="239" t="str">
        <f>IF('DFP-Com'!O42-'DFP-CASH'!R44=0,"ok",'DFP-Com'!O42-'DFP-CASH'!R44)</f>
        <v>ok</v>
      </c>
      <c r="G44" s="239" t="str">
        <f>IF('DFP-Com'!P42-'DFP-CASH'!S44=0,"ok",'DFP-Com'!P42-'DFP-CASH'!S44)</f>
        <v>ok</v>
      </c>
      <c r="H44" s="239" t="str">
        <f>IF('DFP-Com'!Q42-'DFP-CASH'!T44=0,"ok",'DFP-Com'!Q42-'DFP-CASH'!T44)</f>
        <v>ok</v>
      </c>
      <c r="I44" s="239" t="str">
        <f>IF('DFP-Com'!R42-'DFP-CASH'!U44=0,"ok",'DFP-Com'!R42-'DFP-CASH'!U44)</f>
        <v>ok</v>
      </c>
    </row>
    <row r="45" spans="1:9">
      <c r="A45" s="51"/>
      <c r="B45" s="239" t="str">
        <f>IF('DFP-Com'!K43-'DFP-CASH'!K45=0,"ok",'DFP-Com'!K43-'DFP-CASH'!K45)</f>
        <v>ok</v>
      </c>
      <c r="C45" s="239" t="str">
        <f>IF('DFP-Com'!L43-'DFP-CASH'!L45=0,"ok",'DFP-Com'!L43-'DFP-CASH'!L45)</f>
        <v>ok</v>
      </c>
      <c r="D45" s="239" t="str">
        <f>IF('DFP-Com'!M43-'DFP-CASH'!M45=0,"ok",'DFP-Com'!M43-'DFP-CASH'!M45)</f>
        <v>ok</v>
      </c>
      <c r="E45" s="239" t="str">
        <f>IF('DFP-Com'!N43-'DFP-CASH'!Q45=0,"ok",'DFP-Com'!N43-'DFP-CASH'!Q45)</f>
        <v>ok</v>
      </c>
      <c r="F45" s="239" t="str">
        <f>IF('DFP-Com'!O43-'DFP-CASH'!R45=0,"ok",'DFP-Com'!O43-'DFP-CASH'!R45)</f>
        <v>ok</v>
      </c>
      <c r="G45" s="239" t="str">
        <f>IF('DFP-Com'!P43-'DFP-CASH'!S45=0,"ok",'DFP-Com'!P43-'DFP-CASH'!S45)</f>
        <v>ok</v>
      </c>
      <c r="H45" s="239" t="str">
        <f>IF('DFP-Com'!Q43-'DFP-CASH'!T45=0,"ok",'DFP-Com'!Q43-'DFP-CASH'!T45)</f>
        <v>ok</v>
      </c>
      <c r="I45" s="239" t="str">
        <f>IF('DFP-Com'!R43-'DFP-CASH'!U45=0,"ok",'DFP-Com'!R43-'DFP-CASH'!U45)</f>
        <v>ok</v>
      </c>
    </row>
    <row r="46" spans="1:9">
      <c r="A46" s="44" t="s">
        <v>73</v>
      </c>
      <c r="B46" s="239" t="str">
        <f>IF('DFP-Com'!K44-'DFP-CASH'!K46=0,"ok",'DFP-Com'!K44-'DFP-CASH'!K46)</f>
        <v>ok</v>
      </c>
      <c r="C46" s="239" t="str">
        <f>IF('DFP-Com'!L44-'DFP-CASH'!L46=0,"ok",'DFP-Com'!L44-'DFP-CASH'!L46)</f>
        <v>ok</v>
      </c>
      <c r="D46" s="239" t="str">
        <f>IF('DFP-Com'!M44-'DFP-CASH'!M46=0,"ok",'DFP-Com'!M44-'DFP-CASH'!M46)</f>
        <v>ok</v>
      </c>
      <c r="E46" s="239" t="str">
        <f>IF('DFP-Com'!N44-'DFP-CASH'!Q46=0,"ok",'DFP-Com'!N44-'DFP-CASH'!Q46)</f>
        <v>ok</v>
      </c>
      <c r="F46" s="239" t="str">
        <f>IF('DFP-Com'!O44-'DFP-CASH'!R46=0,"ok",'DFP-Com'!O44-'DFP-CASH'!R46)</f>
        <v>ok</v>
      </c>
      <c r="G46" s="239" t="str">
        <f>IF('DFP-Com'!P44-'DFP-CASH'!S46=0,"ok",'DFP-Com'!P44-'DFP-CASH'!S46)</f>
        <v>ok</v>
      </c>
      <c r="H46" s="239" t="str">
        <f>IF('DFP-Com'!Q44-'DFP-CASH'!T46=0,"ok",'DFP-Com'!Q44-'DFP-CASH'!T46)</f>
        <v>ok</v>
      </c>
      <c r="I46" s="239" t="str">
        <f>IF('DFP-Com'!R44-'DFP-CASH'!U46=0,"ok",'DFP-Com'!R44-'DFP-CASH'!U46)</f>
        <v>ok</v>
      </c>
    </row>
    <row r="47" spans="1:9">
      <c r="A47" s="63" t="s">
        <v>82</v>
      </c>
      <c r="B47" s="239">
        <f>IF('DFP-Com'!K45-'DFP-CASH'!K47=0,"ok",'DFP-Com'!K45-'DFP-CASH'!K47)</f>
        <v>-1.9999999785795808E-2</v>
      </c>
      <c r="C47" s="239" t="str">
        <f>IF('DFP-Com'!L45-'DFP-CASH'!L47=0,"ok",'DFP-Com'!L45-'DFP-CASH'!L47)</f>
        <v>ok</v>
      </c>
      <c r="D47" s="239">
        <f>IF('DFP-Com'!M45-'DFP-CASH'!M47=0,"ok",'DFP-Com'!M45-'DFP-CASH'!M47)</f>
        <v>1.9999999785795808E-2</v>
      </c>
      <c r="E47" s="239">
        <f>IF('DFP-Com'!N45-'DFP-CASH'!Q47=0,"ok",'DFP-Com'!N45-'DFP-CASH'!Q47)</f>
        <v>-233086.26249999998</v>
      </c>
      <c r="F47" s="239" t="str">
        <f>IF('DFP-Com'!O45-'DFP-CASH'!R47=0,"ok",'DFP-Com'!O45-'DFP-CASH'!R47)</f>
        <v>ok</v>
      </c>
      <c r="G47" s="239" t="str">
        <f>IF('DFP-Com'!P45-'DFP-CASH'!S47=0,"ok",'DFP-Com'!P45-'DFP-CASH'!S47)</f>
        <v>ok</v>
      </c>
      <c r="H47" s="239" t="str">
        <f>IF('DFP-Com'!Q45-'DFP-CASH'!T47=0,"ok",'DFP-Com'!Q45-'DFP-CASH'!T47)</f>
        <v>ok</v>
      </c>
      <c r="I47" s="239" t="str">
        <f>IF('DFP-Com'!R45-'DFP-CASH'!U47=0,"ok",'DFP-Com'!R45-'DFP-CASH'!U47)</f>
        <v>ok</v>
      </c>
    </row>
    <row r="48" spans="1:9">
      <c r="A48" s="206" t="s">
        <v>117</v>
      </c>
      <c r="B48" s="239">
        <f>IF('DFP-Com'!K46-'DFP-CASH'!K48=0,"ok",'DFP-Com'!K46-'DFP-CASH'!K48)</f>
        <v>2.3283064365386963E-10</v>
      </c>
      <c r="C48" s="239" t="str">
        <f>IF('DFP-Com'!L46-'DFP-CASH'!L48=0,"ok",'DFP-Com'!L46-'DFP-CASH'!L48)</f>
        <v>ok</v>
      </c>
      <c r="D48" s="239" t="str">
        <f>IF('DFP-Com'!M46-'DFP-CASH'!M48=0,"ok",'DFP-Com'!M46-'DFP-CASH'!M48)</f>
        <v>ok</v>
      </c>
      <c r="E48" s="239" t="str">
        <f>IF('DFP-Com'!N46-'DFP-CASH'!Q48=0,"ok",'DFP-Com'!N46-'DFP-CASH'!Q48)</f>
        <v>ok</v>
      </c>
      <c r="F48" s="239" t="str">
        <f>IF('DFP-Com'!O46-'DFP-CASH'!R48=0,"ok",'DFP-Com'!O46-'DFP-CASH'!R48)</f>
        <v>ok</v>
      </c>
      <c r="G48" s="239" t="str">
        <f>IF('DFP-Com'!P46-'DFP-CASH'!S48=0,"ok",'DFP-Com'!P46-'DFP-CASH'!S48)</f>
        <v>ok</v>
      </c>
      <c r="H48" s="239" t="str">
        <f>IF('DFP-Com'!Q46-'DFP-CASH'!T48=0,"ok",'DFP-Com'!Q46-'DFP-CASH'!T48)</f>
        <v>ok</v>
      </c>
      <c r="I48" s="239" t="str">
        <f>IF('DFP-Com'!R46-'DFP-CASH'!U48=0,"ok",'DFP-Com'!R46-'DFP-CASH'!U48)</f>
        <v>ok</v>
      </c>
    </row>
    <row r="49" spans="1:9">
      <c r="A49" s="206" t="s">
        <v>118</v>
      </c>
      <c r="B49" s="239">
        <f>IF('DFP-Com'!K47-'DFP-CASH'!K49=0,"ok",'DFP-Com'!K47-'DFP-CASH'!K49)</f>
        <v>-7.2759576141834259E-12</v>
      </c>
      <c r="C49" s="239" t="str">
        <f>IF('DFP-Com'!L47-'DFP-CASH'!L49=0,"ok",'DFP-Com'!L47-'DFP-CASH'!L49)</f>
        <v>ok</v>
      </c>
      <c r="D49" s="239" t="str">
        <f>IF('DFP-Com'!M47-'DFP-CASH'!M49=0,"ok",'DFP-Com'!M47-'DFP-CASH'!M49)</f>
        <v>ok</v>
      </c>
      <c r="E49" s="239" t="str">
        <f>IF('DFP-Com'!N47-'DFP-CASH'!Q49=0,"ok",'DFP-Com'!N47-'DFP-CASH'!Q49)</f>
        <v>ok</v>
      </c>
      <c r="F49" s="239" t="str">
        <f>IF('DFP-Com'!O47-'DFP-CASH'!R49=0,"ok",'DFP-Com'!O47-'DFP-CASH'!R49)</f>
        <v>ok</v>
      </c>
      <c r="G49" s="239" t="str">
        <f>IF('DFP-Com'!P47-'DFP-CASH'!S49=0,"ok",'DFP-Com'!P47-'DFP-CASH'!S49)</f>
        <v>ok</v>
      </c>
      <c r="H49" s="239" t="str">
        <f>IF('DFP-Com'!Q47-'DFP-CASH'!T49=0,"ok",'DFP-Com'!Q47-'DFP-CASH'!T49)</f>
        <v>ok</v>
      </c>
      <c r="I49" s="239" t="str">
        <f>IF('DFP-Com'!R47-'DFP-CASH'!U49=0,"ok",'DFP-Com'!R47-'DFP-CASH'!U49)</f>
        <v>ok</v>
      </c>
    </row>
    <row r="50" spans="1:9">
      <c r="A50" s="206" t="s">
        <v>119</v>
      </c>
      <c r="B50" s="239" t="str">
        <f>IF('DFP-Com'!K48-'DFP-CASH'!K50=0,"ok",'DFP-Com'!K48-'DFP-CASH'!K50)</f>
        <v>ok</v>
      </c>
      <c r="C50" s="239" t="str">
        <f>IF('DFP-Com'!L48-'DFP-CASH'!L50=0,"ok",'DFP-Com'!L48-'DFP-CASH'!L50)</f>
        <v>ok</v>
      </c>
      <c r="D50" s="239" t="str">
        <f>IF('DFP-Com'!M48-'DFP-CASH'!M50=0,"ok",'DFP-Com'!M48-'DFP-CASH'!M50)</f>
        <v>ok</v>
      </c>
      <c r="E50" s="239" t="str">
        <f>IF('DFP-Com'!N48-'DFP-CASH'!Q50=0,"ok",'DFP-Com'!N48-'DFP-CASH'!Q50)</f>
        <v>ok</v>
      </c>
      <c r="F50" s="239" t="str">
        <f>IF('DFP-Com'!O48-'DFP-CASH'!R50=0,"ok",'DFP-Com'!O48-'DFP-CASH'!R50)</f>
        <v>ok</v>
      </c>
      <c r="G50" s="239" t="str">
        <f>IF('DFP-Com'!P48-'DFP-CASH'!S50=0,"ok",'DFP-Com'!P48-'DFP-CASH'!S50)</f>
        <v>ok</v>
      </c>
      <c r="H50" s="239" t="str">
        <f>IF('DFP-Com'!Q48-'DFP-CASH'!T50=0,"ok",'DFP-Com'!Q48-'DFP-CASH'!T50)</f>
        <v>ok</v>
      </c>
      <c r="I50" s="239" t="str">
        <f>IF('DFP-Com'!R48-'DFP-CASH'!U50=0,"ok",'DFP-Com'!R48-'DFP-CASH'!U50)</f>
        <v>ok</v>
      </c>
    </row>
    <row r="51" spans="1:9">
      <c r="A51" s="206" t="s">
        <v>120</v>
      </c>
      <c r="B51" s="239">
        <f>IF('DFP-Com'!K49-'DFP-CASH'!K51=0,"ok",'DFP-Com'!K49-'DFP-CASH'!K51)</f>
        <v>-2.0000000018626451E-2</v>
      </c>
      <c r="C51" s="239" t="str">
        <f>IF('DFP-Com'!L49-'DFP-CASH'!L51=0,"ok",'DFP-Com'!L49-'DFP-CASH'!L51)</f>
        <v>ok</v>
      </c>
      <c r="D51" s="239" t="str">
        <f>IF('DFP-Com'!M49-'DFP-CASH'!M51=0,"ok",'DFP-Com'!M49-'DFP-CASH'!M51)</f>
        <v>ok</v>
      </c>
      <c r="E51" s="239" t="str">
        <f>IF('DFP-Com'!N49-'DFP-CASH'!Q51=0,"ok",'DFP-Com'!N49-'DFP-CASH'!Q51)</f>
        <v>ok</v>
      </c>
      <c r="F51" s="239" t="str">
        <f>IF('DFP-Com'!O49-'DFP-CASH'!R51=0,"ok",'DFP-Com'!O49-'DFP-CASH'!R51)</f>
        <v>ok</v>
      </c>
      <c r="G51" s="239" t="str">
        <f>IF('DFP-Com'!P49-'DFP-CASH'!S51=0,"ok",'DFP-Com'!P49-'DFP-CASH'!S51)</f>
        <v>ok</v>
      </c>
      <c r="H51" s="239" t="str">
        <f>IF('DFP-Com'!Q49-'DFP-CASH'!T51=0,"ok",'DFP-Com'!Q49-'DFP-CASH'!T51)</f>
        <v>ok</v>
      </c>
      <c r="I51" s="239" t="str">
        <f>IF('DFP-Com'!R49-'DFP-CASH'!U51=0,"ok",'DFP-Com'!R49-'DFP-CASH'!U51)</f>
        <v>ok</v>
      </c>
    </row>
    <row r="52" spans="1:9">
      <c r="A52" s="64" t="s">
        <v>81</v>
      </c>
      <c r="B52" s="239">
        <f>IF('DFP-Com'!K50-'DFP-CASH'!K52=0,"ok",'DFP-Com'!K50-'DFP-CASH'!K52)</f>
        <v>-1.9999999785795808E-2</v>
      </c>
      <c r="C52" s="239" t="str">
        <f>IF('DFP-Com'!L50-'DFP-CASH'!L52=0,"ok",'DFP-Com'!L50-'DFP-CASH'!L52)</f>
        <v>ok</v>
      </c>
      <c r="D52" s="239">
        <f>IF('DFP-Com'!M50-'DFP-CASH'!M52=0,"ok",'DFP-Com'!M50-'DFP-CASH'!M52)</f>
        <v>1.9999999785795808E-2</v>
      </c>
      <c r="E52" s="239" t="str">
        <f>IF('DFP-Com'!N50-'DFP-CASH'!Q52=0,"ok",'DFP-Com'!N50-'DFP-CASH'!Q52)</f>
        <v>ok</v>
      </c>
      <c r="F52" s="239" t="str">
        <f>IF('DFP-Com'!O50-'DFP-CASH'!R52=0,"ok",'DFP-Com'!O50-'DFP-CASH'!R52)</f>
        <v>ok</v>
      </c>
      <c r="G52" s="239" t="str">
        <f>IF('DFP-Com'!P50-'DFP-CASH'!S52=0,"ok",'DFP-Com'!P50-'DFP-CASH'!S52)</f>
        <v>ok</v>
      </c>
      <c r="H52" s="239" t="str">
        <f>IF('DFP-Com'!Q50-'DFP-CASH'!T52=0,"ok",'DFP-Com'!Q50-'DFP-CASH'!T52)</f>
        <v>ok</v>
      </c>
      <c r="I52" s="239" t="str">
        <f>IF('DFP-Com'!R50-'DFP-CASH'!U52=0,"ok",'DFP-Com'!R50-'DFP-CASH'!U52)</f>
        <v>ok</v>
      </c>
    </row>
    <row r="53" spans="1:9">
      <c r="A53" s="51"/>
      <c r="B53" s="239" t="str">
        <f>IF('DFP-Com'!K51-'DFP-CASH'!K53=0,"ok",'DFP-Com'!K51-'DFP-CASH'!K53)</f>
        <v>ok</v>
      </c>
      <c r="C53" s="239" t="str">
        <f>IF('DFP-Com'!L51-'DFP-CASH'!L53=0,"ok",'DFP-Com'!L51-'DFP-CASH'!L53)</f>
        <v>ok</v>
      </c>
      <c r="D53" s="239" t="str">
        <f>IF('DFP-Com'!M51-'DFP-CASH'!M53=0,"ok",'DFP-Com'!M51-'DFP-CASH'!M53)</f>
        <v>ok</v>
      </c>
      <c r="E53" s="239" t="str">
        <f>IF('DFP-Com'!N51-'DFP-CASH'!Q53=0,"ok",'DFP-Com'!N51-'DFP-CASH'!Q53)</f>
        <v>ok</v>
      </c>
      <c r="F53" s="239" t="str">
        <f>IF('DFP-Com'!O51-'DFP-CASH'!R53=0,"ok",'DFP-Com'!O51-'DFP-CASH'!R53)</f>
        <v>ok</v>
      </c>
      <c r="G53" s="239" t="str">
        <f>IF('DFP-Com'!P51-'DFP-CASH'!S53=0,"ok",'DFP-Com'!P51-'DFP-CASH'!S53)</f>
        <v>ok</v>
      </c>
      <c r="H53" s="239" t="str">
        <f>IF('DFP-Com'!Q51-'DFP-CASH'!T53=0,"ok",'DFP-Com'!Q51-'DFP-CASH'!T53)</f>
        <v>ok</v>
      </c>
      <c r="I53" s="239" t="str">
        <f>IF('DFP-Com'!R51-'DFP-CASH'!U53=0,"ok",'DFP-Com'!R51-'DFP-CASH'!U53)</f>
        <v>ok</v>
      </c>
    </row>
    <row r="54" spans="1:9" ht="16.5">
      <c r="A54" s="218" t="s">
        <v>113</v>
      </c>
    </row>
  </sheetData>
  <mergeCells count="1">
    <mergeCell ref="E15:G1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BD79"/>
  <sheetViews>
    <sheetView showGridLines="0" zoomScale="115" zoomScaleNormal="115" zoomScalePageLayoutView="115" workbookViewId="0">
      <pane ySplit="3" topLeftCell="A4" activePane="bottomLeft" state="frozen"/>
      <selection pane="bottomLeft" activeCell="C31" sqref="C31"/>
    </sheetView>
  </sheetViews>
  <sheetFormatPr baseColWidth="10" defaultColWidth="8.85546875" defaultRowHeight="15"/>
  <cols>
    <col min="1" max="1" width="8.85546875" style="283"/>
    <col min="2" max="2" width="30.42578125" style="283" customWidth="1"/>
    <col min="3" max="3" width="51.42578125" style="283" customWidth="1"/>
    <col min="4" max="4" width="14" style="283" customWidth="1"/>
    <col min="5" max="5" width="13.140625" style="283" customWidth="1"/>
    <col min="6" max="6" width="12.42578125" style="283" customWidth="1"/>
    <col min="7" max="7" width="10.42578125" style="283" customWidth="1"/>
    <col min="8" max="8" width="10.42578125" style="300" customWidth="1"/>
    <col min="9" max="21" width="10.42578125" style="283" customWidth="1"/>
    <col min="22" max="23" width="14" style="283" customWidth="1"/>
    <col min="24" max="24" width="11" style="283" customWidth="1"/>
    <col min="25" max="34" width="10.42578125" style="283" customWidth="1"/>
    <col min="35" max="35" width="12.42578125" style="283" customWidth="1"/>
    <col min="36" max="37" width="10.42578125" style="283" customWidth="1"/>
    <col min="38" max="38" width="12.42578125" style="283" customWidth="1"/>
    <col min="39" max="39" width="8.85546875" style="283"/>
    <col min="40" max="41" width="11.42578125" style="283" customWidth="1"/>
    <col min="42" max="42" width="12.140625" style="283" customWidth="1"/>
    <col min="43" max="44" width="11.42578125" style="283" customWidth="1"/>
    <col min="45" max="45" width="12.42578125" style="283" customWidth="1"/>
    <col min="46" max="54" width="11.42578125" style="283" customWidth="1"/>
    <col min="55" max="55" width="8.85546875" style="283"/>
    <col min="56" max="56" width="11.42578125" style="283" customWidth="1"/>
    <col min="57" max="16384" width="8.85546875" style="283"/>
  </cols>
  <sheetData>
    <row r="1" spans="1:56">
      <c r="D1" s="223">
        <f>SUM(D2:D55)</f>
        <v>23584570</v>
      </c>
      <c r="F1" s="283" t="s">
        <v>145</v>
      </c>
      <c r="U1" s="283" t="s">
        <v>159</v>
      </c>
      <c r="X1" s="227" t="s">
        <v>187</v>
      </c>
      <c r="Y1" s="227"/>
      <c r="Z1" s="227"/>
      <c r="AA1" s="227"/>
      <c r="AB1" s="227"/>
      <c r="AC1" s="227"/>
      <c r="AD1" s="227"/>
      <c r="AE1" s="227"/>
      <c r="AF1" s="227"/>
      <c r="AG1" s="227"/>
      <c r="AH1" s="227"/>
      <c r="AI1" s="227"/>
      <c r="AJ1" s="227"/>
      <c r="AK1" s="227"/>
      <c r="AL1" s="227"/>
      <c r="AM1" s="228"/>
      <c r="AN1" s="227" t="s">
        <v>188</v>
      </c>
      <c r="AO1" s="227"/>
      <c r="AP1" s="227"/>
      <c r="AQ1" s="227"/>
      <c r="AR1" s="227"/>
      <c r="AS1" s="227"/>
      <c r="AT1" s="227"/>
      <c r="AU1" s="227"/>
      <c r="AV1" s="227"/>
      <c r="AW1" s="227"/>
      <c r="AX1" s="227"/>
      <c r="AY1" s="227"/>
      <c r="AZ1" s="227"/>
      <c r="BA1" s="227"/>
      <c r="BB1" s="227"/>
    </row>
    <row r="2" spans="1:56">
      <c r="A2" s="283" t="s">
        <v>121</v>
      </c>
      <c r="C2" s="283" t="s">
        <v>141</v>
      </c>
      <c r="D2" s="283" t="s">
        <v>143</v>
      </c>
      <c r="F2" s="221">
        <v>42552</v>
      </c>
      <c r="G2" s="221">
        <v>42644</v>
      </c>
      <c r="H2" s="301">
        <v>42736</v>
      </c>
      <c r="I2" s="221">
        <v>42826</v>
      </c>
      <c r="J2" s="221">
        <v>42917</v>
      </c>
      <c r="K2" s="221">
        <v>43009</v>
      </c>
      <c r="L2" s="221">
        <v>43101</v>
      </c>
      <c r="M2" s="221">
        <v>43191</v>
      </c>
      <c r="N2" s="221">
        <v>43282</v>
      </c>
      <c r="O2" s="221">
        <v>43374</v>
      </c>
      <c r="P2" s="221">
        <v>43466</v>
      </c>
      <c r="Q2" s="221">
        <v>43556</v>
      </c>
      <c r="R2" s="221">
        <v>43647</v>
      </c>
      <c r="S2" s="221">
        <v>43739</v>
      </c>
      <c r="T2" s="221">
        <v>43831</v>
      </c>
      <c r="X2" s="229">
        <v>42552</v>
      </c>
      <c r="Y2" s="229">
        <v>42644</v>
      </c>
      <c r="Z2" s="229">
        <v>42736</v>
      </c>
      <c r="AA2" s="229">
        <v>42826</v>
      </c>
      <c r="AB2" s="229">
        <v>42917</v>
      </c>
      <c r="AC2" s="229">
        <v>43009</v>
      </c>
      <c r="AD2" s="229">
        <v>43101</v>
      </c>
      <c r="AE2" s="229">
        <v>43191</v>
      </c>
      <c r="AF2" s="229">
        <v>43282</v>
      </c>
      <c r="AG2" s="229">
        <v>43374</v>
      </c>
      <c r="AH2" s="229">
        <v>43466</v>
      </c>
      <c r="AI2" s="229">
        <v>43556</v>
      </c>
      <c r="AJ2" s="229">
        <v>43647</v>
      </c>
      <c r="AK2" s="229">
        <v>43739</v>
      </c>
      <c r="AL2" s="229">
        <v>43831</v>
      </c>
      <c r="AM2" s="228"/>
      <c r="AN2" s="229">
        <v>42552</v>
      </c>
      <c r="AO2" s="229">
        <v>42644</v>
      </c>
      <c r="AP2" s="229">
        <v>42736</v>
      </c>
      <c r="AQ2" s="229">
        <v>42826</v>
      </c>
      <c r="AR2" s="229">
        <v>42917</v>
      </c>
      <c r="AS2" s="229">
        <v>43009</v>
      </c>
      <c r="AT2" s="229">
        <v>43101</v>
      </c>
      <c r="AU2" s="229">
        <v>43191</v>
      </c>
      <c r="AV2" s="229">
        <v>43282</v>
      </c>
      <c r="AW2" s="229">
        <v>43374</v>
      </c>
      <c r="AX2" s="229">
        <v>43466</v>
      </c>
      <c r="AY2" s="229">
        <v>43556</v>
      </c>
      <c r="AZ2" s="229">
        <v>43647</v>
      </c>
      <c r="BA2" s="229">
        <v>43739</v>
      </c>
      <c r="BB2" s="229">
        <v>43831</v>
      </c>
      <c r="BD2" s="283" t="s">
        <v>195</v>
      </c>
    </row>
    <row r="3" spans="1:56">
      <c r="A3" s="283" t="s">
        <v>121</v>
      </c>
      <c r="C3" s="283" t="s">
        <v>141</v>
      </c>
      <c r="E3" s="283" t="s">
        <v>144</v>
      </c>
      <c r="F3" s="283" t="s">
        <v>142</v>
      </c>
      <c r="G3" s="283" t="s">
        <v>146</v>
      </c>
      <c r="H3" s="300" t="s">
        <v>147</v>
      </c>
      <c r="I3" s="283" t="s">
        <v>148</v>
      </c>
      <c r="J3" s="283" t="s">
        <v>149</v>
      </c>
      <c r="K3" s="283" t="s">
        <v>150</v>
      </c>
      <c r="L3" s="283" t="s">
        <v>151</v>
      </c>
      <c r="M3" s="283" t="s">
        <v>152</v>
      </c>
      <c r="N3" s="283" t="s">
        <v>153</v>
      </c>
      <c r="O3" s="283" t="s">
        <v>154</v>
      </c>
      <c r="P3" s="283" t="s">
        <v>155</v>
      </c>
      <c r="Q3" s="283" t="s">
        <v>156</v>
      </c>
      <c r="R3" s="283" t="s">
        <v>157</v>
      </c>
      <c r="S3" s="283" t="s">
        <v>158</v>
      </c>
      <c r="T3" s="283" t="s">
        <v>160</v>
      </c>
      <c r="X3" s="227" t="s">
        <v>142</v>
      </c>
      <c r="Y3" s="227" t="s">
        <v>146</v>
      </c>
      <c r="Z3" s="227" t="s">
        <v>147</v>
      </c>
      <c r="AA3" s="227" t="s">
        <v>148</v>
      </c>
      <c r="AB3" s="227" t="s">
        <v>149</v>
      </c>
      <c r="AC3" s="227" t="s">
        <v>150</v>
      </c>
      <c r="AD3" s="227" t="s">
        <v>151</v>
      </c>
      <c r="AE3" s="227" t="s">
        <v>152</v>
      </c>
      <c r="AF3" s="227" t="s">
        <v>153</v>
      </c>
      <c r="AG3" s="227" t="s">
        <v>154</v>
      </c>
      <c r="AH3" s="227" t="s">
        <v>155</v>
      </c>
      <c r="AI3" s="227" t="s">
        <v>156</v>
      </c>
      <c r="AJ3" s="227" t="s">
        <v>157</v>
      </c>
      <c r="AK3" s="227" t="s">
        <v>158</v>
      </c>
      <c r="AL3" s="227" t="s">
        <v>160</v>
      </c>
      <c r="AM3" s="228"/>
      <c r="AN3" s="227" t="s">
        <v>142</v>
      </c>
      <c r="AO3" s="227" t="s">
        <v>146</v>
      </c>
      <c r="AP3" s="227" t="s">
        <v>147</v>
      </c>
      <c r="AQ3" s="227" t="s">
        <v>148</v>
      </c>
      <c r="AR3" s="227" t="s">
        <v>149</v>
      </c>
      <c r="AS3" s="227" t="s">
        <v>150</v>
      </c>
      <c r="AT3" s="227" t="s">
        <v>151</v>
      </c>
      <c r="AU3" s="227" t="s">
        <v>152</v>
      </c>
      <c r="AV3" s="227" t="s">
        <v>153</v>
      </c>
      <c r="AW3" s="227" t="s">
        <v>154</v>
      </c>
      <c r="AX3" s="227" t="s">
        <v>155</v>
      </c>
      <c r="AY3" s="227" t="s">
        <v>156</v>
      </c>
      <c r="AZ3" s="227" t="s">
        <v>157</v>
      </c>
      <c r="BA3" s="227" t="s">
        <v>158</v>
      </c>
      <c r="BB3" s="227" t="s">
        <v>160</v>
      </c>
    </row>
    <row r="4" spans="1:56">
      <c r="A4" s="283" t="s">
        <v>122</v>
      </c>
      <c r="B4" s="232" t="str">
        <f>VLOOKUP(A4,'DFP-Com'!$A$16:$B$50,2,1)</f>
        <v xml:space="preserve">     1.1.a  Education Project Implementation Contract</v>
      </c>
      <c r="C4" s="283" t="s">
        <v>225</v>
      </c>
      <c r="D4" s="311">
        <v>8500000</v>
      </c>
      <c r="E4" s="283" t="s">
        <v>161</v>
      </c>
      <c r="H4" s="302"/>
      <c r="I4" s="222">
        <v>0.03</v>
      </c>
      <c r="J4" s="222">
        <v>0.05</v>
      </c>
      <c r="K4" s="222">
        <v>0.05</v>
      </c>
      <c r="L4" s="222">
        <v>0.05</v>
      </c>
      <c r="M4" s="222">
        <v>0.1</v>
      </c>
      <c r="N4" s="222">
        <v>0.1</v>
      </c>
      <c r="O4" s="222">
        <v>0.1</v>
      </c>
      <c r="P4" s="222">
        <v>0.1</v>
      </c>
      <c r="Q4" s="222">
        <v>0.1</v>
      </c>
      <c r="R4" s="222">
        <v>0.1</v>
      </c>
      <c r="S4" s="222">
        <v>0.1</v>
      </c>
      <c r="T4" s="222">
        <v>0.12</v>
      </c>
      <c r="U4" s="286">
        <f t="shared" ref="U4:U38" si="0">SUM(F4:T4)</f>
        <v>0.99999999999999989</v>
      </c>
      <c r="X4" s="288">
        <f t="shared" ref="X4:AL20" si="1">F4*$D4</f>
        <v>0</v>
      </c>
      <c r="Y4" s="288">
        <f t="shared" si="1"/>
        <v>0</v>
      </c>
      <c r="Z4" s="288">
        <f t="shared" si="1"/>
        <v>0</v>
      </c>
      <c r="AA4" s="288">
        <f t="shared" si="1"/>
        <v>255000</v>
      </c>
      <c r="AB4" s="288">
        <f t="shared" si="1"/>
        <v>425000</v>
      </c>
      <c r="AC4" s="288">
        <f t="shared" si="1"/>
        <v>425000</v>
      </c>
      <c r="AD4" s="288">
        <f t="shared" si="1"/>
        <v>425000</v>
      </c>
      <c r="AE4" s="288">
        <f t="shared" si="1"/>
        <v>850000</v>
      </c>
      <c r="AF4" s="288">
        <f t="shared" si="1"/>
        <v>850000</v>
      </c>
      <c r="AG4" s="288">
        <f t="shared" si="1"/>
        <v>850000</v>
      </c>
      <c r="AH4" s="288">
        <f t="shared" si="1"/>
        <v>850000</v>
      </c>
      <c r="AI4" s="288">
        <f t="shared" si="1"/>
        <v>850000</v>
      </c>
      <c r="AJ4" s="288">
        <f t="shared" si="1"/>
        <v>850000</v>
      </c>
      <c r="AK4" s="288">
        <f t="shared" si="1"/>
        <v>850000</v>
      </c>
      <c r="AL4" s="288">
        <f t="shared" si="1"/>
        <v>1020000</v>
      </c>
      <c r="AM4" s="228"/>
      <c r="AN4" s="288">
        <f t="shared" ref="AN4:BB19" si="2">IF(AN$3=$E4,$D4,0)</f>
        <v>0</v>
      </c>
      <c r="AO4" s="288">
        <f t="shared" si="2"/>
        <v>0</v>
      </c>
      <c r="AP4" s="288">
        <f t="shared" si="2"/>
        <v>8500000</v>
      </c>
      <c r="AQ4" s="288">
        <f t="shared" si="2"/>
        <v>0</v>
      </c>
      <c r="AR4" s="288">
        <f t="shared" si="2"/>
        <v>0</v>
      </c>
      <c r="AS4" s="288">
        <f t="shared" si="2"/>
        <v>0</v>
      </c>
      <c r="AT4" s="288">
        <f t="shared" si="2"/>
        <v>0</v>
      </c>
      <c r="AU4" s="288">
        <f t="shared" si="2"/>
        <v>0</v>
      </c>
      <c r="AV4" s="288">
        <f t="shared" si="2"/>
        <v>0</v>
      </c>
      <c r="AW4" s="288">
        <f t="shared" si="2"/>
        <v>0</v>
      </c>
      <c r="AX4" s="288">
        <f t="shared" si="2"/>
        <v>0</v>
      </c>
      <c r="AY4" s="288">
        <f t="shared" si="2"/>
        <v>0</v>
      </c>
      <c r="AZ4" s="288">
        <f t="shared" si="2"/>
        <v>0</v>
      </c>
      <c r="BA4" s="288">
        <f t="shared" si="2"/>
        <v>0</v>
      </c>
      <c r="BB4" s="288">
        <f t="shared" si="2"/>
        <v>0</v>
      </c>
      <c r="BD4" s="287">
        <f t="shared" ref="BD4:BD27" si="3">SUM(X4:AL4)-SUM(AN4:BB4)</f>
        <v>0</v>
      </c>
    </row>
    <row r="5" spans="1:56">
      <c r="A5" s="283" t="s">
        <v>122</v>
      </c>
      <c r="B5" s="232" t="str">
        <f>VLOOKUP(A5,'DFP-Com'!$A$16:$B$50,2,1)</f>
        <v xml:space="preserve">     1.1.a  Education Project Implementation Contract</v>
      </c>
      <c r="C5" s="283" t="s">
        <v>164</v>
      </c>
      <c r="D5" s="310">
        <v>200000</v>
      </c>
      <c r="E5" s="283" t="s">
        <v>175</v>
      </c>
      <c r="L5" s="286">
        <v>0.25</v>
      </c>
      <c r="M5" s="286">
        <v>0.25</v>
      </c>
      <c r="N5" s="286">
        <v>0.25</v>
      </c>
      <c r="O5" s="286">
        <v>0.25</v>
      </c>
      <c r="U5" s="286">
        <f t="shared" si="0"/>
        <v>1</v>
      </c>
      <c r="X5" s="288">
        <f t="shared" si="1"/>
        <v>0</v>
      </c>
      <c r="Y5" s="288">
        <f t="shared" si="1"/>
        <v>0</v>
      </c>
      <c r="Z5" s="288">
        <f t="shared" si="1"/>
        <v>0</v>
      </c>
      <c r="AA5" s="288">
        <f t="shared" si="1"/>
        <v>0</v>
      </c>
      <c r="AB5" s="288">
        <f t="shared" si="1"/>
        <v>0</v>
      </c>
      <c r="AC5" s="288">
        <f t="shared" si="1"/>
        <v>0</v>
      </c>
      <c r="AD5" s="288">
        <f t="shared" si="1"/>
        <v>50000</v>
      </c>
      <c r="AE5" s="288">
        <f t="shared" si="1"/>
        <v>50000</v>
      </c>
      <c r="AF5" s="288">
        <f t="shared" si="1"/>
        <v>50000</v>
      </c>
      <c r="AG5" s="288">
        <f t="shared" si="1"/>
        <v>50000</v>
      </c>
      <c r="AH5" s="288">
        <f t="shared" si="1"/>
        <v>0</v>
      </c>
      <c r="AI5" s="288">
        <f t="shared" si="1"/>
        <v>0</v>
      </c>
      <c r="AJ5" s="288">
        <f t="shared" si="1"/>
        <v>0</v>
      </c>
      <c r="AK5" s="288">
        <f t="shared" si="1"/>
        <v>0</v>
      </c>
      <c r="AL5" s="288">
        <f t="shared" si="1"/>
        <v>0</v>
      </c>
      <c r="AM5" s="228"/>
      <c r="AN5" s="288">
        <f t="shared" si="2"/>
        <v>0</v>
      </c>
      <c r="AO5" s="288">
        <f t="shared" si="2"/>
        <v>0</v>
      </c>
      <c r="AP5" s="288">
        <f t="shared" si="2"/>
        <v>0</v>
      </c>
      <c r="AQ5" s="288">
        <f t="shared" si="2"/>
        <v>0</v>
      </c>
      <c r="AR5" s="288">
        <f t="shared" si="2"/>
        <v>0</v>
      </c>
      <c r="AS5" s="288">
        <f t="shared" si="2"/>
        <v>0</v>
      </c>
      <c r="AT5" s="288">
        <f t="shared" si="2"/>
        <v>200000</v>
      </c>
      <c r="AU5" s="288">
        <f t="shared" si="2"/>
        <v>0</v>
      </c>
      <c r="AV5" s="288">
        <f t="shared" si="2"/>
        <v>0</v>
      </c>
      <c r="AW5" s="288">
        <f t="shared" si="2"/>
        <v>0</v>
      </c>
      <c r="AX5" s="288">
        <f t="shared" si="2"/>
        <v>0</v>
      </c>
      <c r="AY5" s="288">
        <f t="shared" si="2"/>
        <v>0</v>
      </c>
      <c r="AZ5" s="288">
        <f t="shared" si="2"/>
        <v>0</v>
      </c>
      <c r="BA5" s="288">
        <f t="shared" si="2"/>
        <v>0</v>
      </c>
      <c r="BB5" s="288">
        <f t="shared" si="2"/>
        <v>0</v>
      </c>
      <c r="BD5" s="287">
        <f t="shared" si="3"/>
        <v>0</v>
      </c>
    </row>
    <row r="6" spans="1:56">
      <c r="A6" s="283" t="s">
        <v>123</v>
      </c>
      <c r="B6" s="232" t="str">
        <f>VLOOKUP(A6,'DFP-Com'!$A$16:$B$50,2,1)</f>
        <v xml:space="preserve">     1.1.b  Grants to Universities for Teacher Training (Diplomados)</v>
      </c>
      <c r="C6" s="283" t="s">
        <v>162</v>
      </c>
      <c r="D6" s="223">
        <v>3000000</v>
      </c>
      <c r="E6" s="283" t="s">
        <v>163</v>
      </c>
      <c r="H6" s="302"/>
      <c r="I6" s="222"/>
      <c r="J6" s="222"/>
      <c r="K6" s="222"/>
      <c r="L6" s="222">
        <v>0.125</v>
      </c>
      <c r="M6" s="222">
        <v>0.125</v>
      </c>
      <c r="N6" s="222">
        <v>0.125</v>
      </c>
      <c r="O6" s="222">
        <v>0.125</v>
      </c>
      <c r="P6" s="222">
        <v>0.125</v>
      </c>
      <c r="Q6" s="222">
        <v>0.125</v>
      </c>
      <c r="R6" s="222">
        <v>0.125</v>
      </c>
      <c r="S6" s="222">
        <v>0.125</v>
      </c>
      <c r="T6" s="286"/>
      <c r="U6" s="286">
        <f t="shared" si="0"/>
        <v>1</v>
      </c>
      <c r="X6" s="288">
        <f t="shared" si="1"/>
        <v>0</v>
      </c>
      <c r="Y6" s="288">
        <f t="shared" si="1"/>
        <v>0</v>
      </c>
      <c r="Z6" s="288">
        <f t="shared" si="1"/>
        <v>0</v>
      </c>
      <c r="AA6" s="288">
        <f t="shared" si="1"/>
        <v>0</v>
      </c>
      <c r="AB6" s="288">
        <f t="shared" si="1"/>
        <v>0</v>
      </c>
      <c r="AC6" s="288">
        <f t="shared" si="1"/>
        <v>0</v>
      </c>
      <c r="AD6" s="288">
        <f t="shared" si="1"/>
        <v>375000</v>
      </c>
      <c r="AE6" s="288">
        <f t="shared" si="1"/>
        <v>375000</v>
      </c>
      <c r="AF6" s="288">
        <f t="shared" si="1"/>
        <v>375000</v>
      </c>
      <c r="AG6" s="288">
        <f t="shared" si="1"/>
        <v>375000</v>
      </c>
      <c r="AH6" s="288">
        <f t="shared" si="1"/>
        <v>375000</v>
      </c>
      <c r="AI6" s="288">
        <f t="shared" si="1"/>
        <v>375000</v>
      </c>
      <c r="AJ6" s="288">
        <f t="shared" si="1"/>
        <v>375000</v>
      </c>
      <c r="AK6" s="288">
        <f t="shared" si="1"/>
        <v>375000</v>
      </c>
      <c r="AL6" s="288">
        <f t="shared" si="1"/>
        <v>0</v>
      </c>
      <c r="AM6" s="228"/>
      <c r="AN6" s="288">
        <f t="shared" si="2"/>
        <v>0</v>
      </c>
      <c r="AO6" s="288">
        <f t="shared" si="2"/>
        <v>0</v>
      </c>
      <c r="AP6" s="288">
        <f t="shared" si="2"/>
        <v>0</v>
      </c>
      <c r="AQ6" s="288">
        <f t="shared" si="2"/>
        <v>0</v>
      </c>
      <c r="AR6" s="288">
        <f t="shared" si="2"/>
        <v>0</v>
      </c>
      <c r="AS6" s="288">
        <f t="shared" si="2"/>
        <v>3000000</v>
      </c>
      <c r="AT6" s="288">
        <f t="shared" si="2"/>
        <v>0</v>
      </c>
      <c r="AU6" s="288">
        <f t="shared" si="2"/>
        <v>0</v>
      </c>
      <c r="AV6" s="288">
        <f t="shared" si="2"/>
        <v>0</v>
      </c>
      <c r="AW6" s="288">
        <f t="shared" si="2"/>
        <v>0</v>
      </c>
      <c r="AX6" s="288">
        <f t="shared" si="2"/>
        <v>0</v>
      </c>
      <c r="AY6" s="288">
        <f t="shared" si="2"/>
        <v>0</v>
      </c>
      <c r="AZ6" s="288">
        <f t="shared" si="2"/>
        <v>0</v>
      </c>
      <c r="BA6" s="288">
        <f t="shared" si="2"/>
        <v>0</v>
      </c>
      <c r="BB6" s="288">
        <f t="shared" si="2"/>
        <v>0</v>
      </c>
      <c r="BD6" s="287">
        <f t="shared" si="3"/>
        <v>0</v>
      </c>
    </row>
    <row r="7" spans="1:56">
      <c r="A7" s="283" t="s">
        <v>125</v>
      </c>
      <c r="B7" s="232" t="str">
        <f>VLOOKUP(A7,'DFP-Com'!$A$16:$B$50,2,1)</f>
        <v xml:space="preserve">     1.2.a  TVET</v>
      </c>
      <c r="C7" s="234" t="s">
        <v>200</v>
      </c>
      <c r="D7" s="289">
        <v>4000000</v>
      </c>
      <c r="E7" s="283" t="s">
        <v>190</v>
      </c>
      <c r="J7" s="286">
        <v>0.05</v>
      </c>
      <c r="K7" s="286">
        <v>0.1</v>
      </c>
      <c r="L7" s="286">
        <v>0.1</v>
      </c>
      <c r="M7" s="286">
        <v>0.1</v>
      </c>
      <c r="N7" s="286">
        <v>0.1</v>
      </c>
      <c r="O7" s="286">
        <v>0.1</v>
      </c>
      <c r="P7" s="286">
        <v>0.1</v>
      </c>
      <c r="Q7" s="286">
        <v>0.1</v>
      </c>
      <c r="R7" s="286">
        <v>0.1</v>
      </c>
      <c r="S7" s="286">
        <v>0.1</v>
      </c>
      <c r="T7" s="286">
        <v>0.05</v>
      </c>
      <c r="U7" s="286">
        <f t="shared" si="0"/>
        <v>0.99999999999999989</v>
      </c>
      <c r="X7" s="288">
        <f t="shared" si="1"/>
        <v>0</v>
      </c>
      <c r="Y7" s="288">
        <f t="shared" si="1"/>
        <v>0</v>
      </c>
      <c r="Z7" s="288">
        <f t="shared" si="1"/>
        <v>0</v>
      </c>
      <c r="AA7" s="288">
        <f t="shared" si="1"/>
        <v>0</v>
      </c>
      <c r="AB7" s="288">
        <f t="shared" si="1"/>
        <v>200000</v>
      </c>
      <c r="AC7" s="288">
        <f t="shared" si="1"/>
        <v>400000</v>
      </c>
      <c r="AD7" s="288">
        <f t="shared" si="1"/>
        <v>400000</v>
      </c>
      <c r="AE7" s="288">
        <f t="shared" si="1"/>
        <v>400000</v>
      </c>
      <c r="AF7" s="288">
        <f t="shared" si="1"/>
        <v>400000</v>
      </c>
      <c r="AG7" s="288">
        <f t="shared" si="1"/>
        <v>400000</v>
      </c>
      <c r="AH7" s="288">
        <f t="shared" si="1"/>
        <v>400000</v>
      </c>
      <c r="AI7" s="288">
        <f t="shared" si="1"/>
        <v>400000</v>
      </c>
      <c r="AJ7" s="288">
        <f t="shared" si="1"/>
        <v>400000</v>
      </c>
      <c r="AK7" s="288">
        <f t="shared" si="1"/>
        <v>400000</v>
      </c>
      <c r="AL7" s="288">
        <f t="shared" si="1"/>
        <v>200000</v>
      </c>
      <c r="AM7" s="228"/>
      <c r="AN7" s="288">
        <f t="shared" si="2"/>
        <v>0</v>
      </c>
      <c r="AO7" s="288">
        <f t="shared" si="2"/>
        <v>0</v>
      </c>
      <c r="AP7" s="288">
        <f t="shared" si="2"/>
        <v>0</v>
      </c>
      <c r="AQ7" s="288">
        <f t="shared" si="2"/>
        <v>0</v>
      </c>
      <c r="AR7" s="288">
        <f t="shared" si="2"/>
        <v>4000000</v>
      </c>
      <c r="AS7" s="288">
        <f t="shared" si="2"/>
        <v>0</v>
      </c>
      <c r="AT7" s="288">
        <f t="shared" si="2"/>
        <v>0</v>
      </c>
      <c r="AU7" s="288">
        <f t="shared" si="2"/>
        <v>0</v>
      </c>
      <c r="AV7" s="288">
        <f t="shared" si="2"/>
        <v>0</v>
      </c>
      <c r="AW7" s="288">
        <f t="shared" si="2"/>
        <v>0</v>
      </c>
      <c r="AX7" s="288">
        <f t="shared" si="2"/>
        <v>0</v>
      </c>
      <c r="AY7" s="288">
        <f t="shared" si="2"/>
        <v>0</v>
      </c>
      <c r="AZ7" s="288">
        <f t="shared" si="2"/>
        <v>0</v>
      </c>
      <c r="BA7" s="288">
        <f t="shared" si="2"/>
        <v>0</v>
      </c>
      <c r="BB7" s="288">
        <f t="shared" si="2"/>
        <v>0</v>
      </c>
      <c r="BD7" s="287">
        <f t="shared" si="3"/>
        <v>0</v>
      </c>
    </row>
    <row r="8" spans="1:56">
      <c r="A8" s="283" t="s">
        <v>126</v>
      </c>
      <c r="B8" s="232" t="str">
        <f>VLOOKUP(A8,'DFP-Com'!$A$16:$B$50,2,1)</f>
        <v xml:space="preserve">     1.3.a  Education Project Implementation Contract</v>
      </c>
      <c r="C8" s="283" t="s">
        <v>224</v>
      </c>
      <c r="D8" s="311">
        <v>2500000</v>
      </c>
      <c r="E8" s="283" t="s">
        <v>161</v>
      </c>
      <c r="H8" s="302"/>
      <c r="I8" s="222">
        <v>0.03</v>
      </c>
      <c r="J8" s="222">
        <v>0.05</v>
      </c>
      <c r="K8" s="222">
        <v>0.05</v>
      </c>
      <c r="L8" s="222">
        <v>0.05</v>
      </c>
      <c r="M8" s="222">
        <v>0.1</v>
      </c>
      <c r="N8" s="222">
        <v>0.1</v>
      </c>
      <c r="O8" s="222">
        <v>0.1</v>
      </c>
      <c r="P8" s="222">
        <v>0.1</v>
      </c>
      <c r="Q8" s="222">
        <v>0.1</v>
      </c>
      <c r="R8" s="222">
        <v>0.1</v>
      </c>
      <c r="S8" s="222">
        <v>0.1</v>
      </c>
      <c r="T8" s="222">
        <v>0.12</v>
      </c>
      <c r="U8" s="286">
        <f t="shared" si="0"/>
        <v>0.99999999999999989</v>
      </c>
      <c r="X8" s="288">
        <f t="shared" si="1"/>
        <v>0</v>
      </c>
      <c r="Y8" s="288">
        <f t="shared" si="1"/>
        <v>0</v>
      </c>
      <c r="Z8" s="288">
        <f t="shared" si="1"/>
        <v>0</v>
      </c>
      <c r="AA8" s="288">
        <f t="shared" si="1"/>
        <v>75000</v>
      </c>
      <c r="AB8" s="288">
        <f t="shared" si="1"/>
        <v>125000</v>
      </c>
      <c r="AC8" s="288">
        <f t="shared" si="1"/>
        <v>125000</v>
      </c>
      <c r="AD8" s="288">
        <f t="shared" si="1"/>
        <v>125000</v>
      </c>
      <c r="AE8" s="288">
        <f t="shared" si="1"/>
        <v>250000</v>
      </c>
      <c r="AF8" s="288">
        <f t="shared" si="1"/>
        <v>250000</v>
      </c>
      <c r="AG8" s="288">
        <f t="shared" si="1"/>
        <v>250000</v>
      </c>
      <c r="AH8" s="288">
        <f t="shared" si="1"/>
        <v>250000</v>
      </c>
      <c r="AI8" s="288">
        <f t="shared" si="1"/>
        <v>250000</v>
      </c>
      <c r="AJ8" s="288">
        <f t="shared" si="1"/>
        <v>250000</v>
      </c>
      <c r="AK8" s="288">
        <f t="shared" si="1"/>
        <v>250000</v>
      </c>
      <c r="AL8" s="288">
        <f t="shared" si="1"/>
        <v>300000</v>
      </c>
      <c r="AM8" s="228"/>
      <c r="AN8" s="288">
        <f t="shared" si="2"/>
        <v>0</v>
      </c>
      <c r="AO8" s="288">
        <f t="shared" si="2"/>
        <v>0</v>
      </c>
      <c r="AP8" s="288">
        <f t="shared" si="2"/>
        <v>2500000</v>
      </c>
      <c r="AQ8" s="288">
        <f t="shared" si="2"/>
        <v>0</v>
      </c>
      <c r="AR8" s="288">
        <f t="shared" si="2"/>
        <v>0</v>
      </c>
      <c r="AS8" s="288">
        <f t="shared" si="2"/>
        <v>0</v>
      </c>
      <c r="AT8" s="288">
        <f t="shared" si="2"/>
        <v>0</v>
      </c>
      <c r="AU8" s="288">
        <f t="shared" si="2"/>
        <v>0</v>
      </c>
      <c r="AV8" s="288">
        <f t="shared" si="2"/>
        <v>0</v>
      </c>
      <c r="AW8" s="288">
        <f t="shared" si="2"/>
        <v>0</v>
      </c>
      <c r="AX8" s="288">
        <f t="shared" si="2"/>
        <v>0</v>
      </c>
      <c r="AY8" s="288">
        <f t="shared" si="2"/>
        <v>0</v>
      </c>
      <c r="AZ8" s="288">
        <f t="shared" si="2"/>
        <v>0</v>
      </c>
      <c r="BA8" s="288">
        <f t="shared" si="2"/>
        <v>0</v>
      </c>
      <c r="BB8" s="288">
        <f t="shared" si="2"/>
        <v>0</v>
      </c>
      <c r="BD8" s="287">
        <f t="shared" si="3"/>
        <v>0</v>
      </c>
    </row>
    <row r="9" spans="1:56">
      <c r="A9" s="283" t="s">
        <v>129</v>
      </c>
      <c r="B9" s="295" t="str">
        <f>VLOOKUP(A9,'DFP-Com'!$A$16:$B$50,2,1)</f>
        <v xml:space="preserve">     2.1.a  Tax and Customs</v>
      </c>
      <c r="C9" s="283" t="s">
        <v>206</v>
      </c>
      <c r="D9" s="223">
        <v>140000</v>
      </c>
      <c r="E9" s="283" t="s">
        <v>193</v>
      </c>
      <c r="G9" s="286"/>
      <c r="H9" s="303"/>
      <c r="I9" s="286">
        <v>0.25</v>
      </c>
      <c r="J9" s="286">
        <v>0.25</v>
      </c>
      <c r="K9" s="286">
        <v>0.25</v>
      </c>
      <c r="L9" s="286">
        <v>0.25</v>
      </c>
      <c r="M9" s="286"/>
      <c r="N9" s="286"/>
      <c r="O9" s="286"/>
      <c r="P9" s="286"/>
      <c r="Q9" s="286"/>
      <c r="U9" s="286">
        <f t="shared" si="0"/>
        <v>1</v>
      </c>
      <c r="X9" s="288">
        <f t="shared" si="1"/>
        <v>0</v>
      </c>
      <c r="Y9" s="288">
        <f t="shared" si="1"/>
        <v>0</v>
      </c>
      <c r="Z9" s="288">
        <f t="shared" si="1"/>
        <v>0</v>
      </c>
      <c r="AA9" s="288">
        <f t="shared" si="1"/>
        <v>35000</v>
      </c>
      <c r="AB9" s="288">
        <f t="shared" si="1"/>
        <v>35000</v>
      </c>
      <c r="AC9" s="288">
        <f t="shared" si="1"/>
        <v>35000</v>
      </c>
      <c r="AD9" s="288">
        <f t="shared" si="1"/>
        <v>35000</v>
      </c>
      <c r="AE9" s="288">
        <f t="shared" si="1"/>
        <v>0</v>
      </c>
      <c r="AF9" s="288">
        <f t="shared" si="1"/>
        <v>0</v>
      </c>
      <c r="AG9" s="288">
        <f t="shared" si="1"/>
        <v>0</v>
      </c>
      <c r="AH9" s="288">
        <f t="shared" si="1"/>
        <v>0</v>
      </c>
      <c r="AI9" s="288">
        <f t="shared" si="1"/>
        <v>0</v>
      </c>
      <c r="AJ9" s="288">
        <f t="shared" si="1"/>
        <v>0</v>
      </c>
      <c r="AK9" s="288">
        <f t="shared" si="1"/>
        <v>0</v>
      </c>
      <c r="AL9" s="288">
        <f t="shared" si="1"/>
        <v>0</v>
      </c>
      <c r="AM9" s="228"/>
      <c r="AN9" s="288">
        <f t="shared" si="2"/>
        <v>0</v>
      </c>
      <c r="AO9" s="288">
        <f t="shared" si="2"/>
        <v>0</v>
      </c>
      <c r="AP9" s="288">
        <f t="shared" si="2"/>
        <v>0</v>
      </c>
      <c r="AQ9" s="288">
        <f t="shared" si="2"/>
        <v>140000</v>
      </c>
      <c r="AR9" s="288">
        <f t="shared" si="2"/>
        <v>0</v>
      </c>
      <c r="AS9" s="288">
        <f t="shared" si="2"/>
        <v>0</v>
      </c>
      <c r="AT9" s="288">
        <f t="shared" si="2"/>
        <v>0</v>
      </c>
      <c r="AU9" s="288">
        <f t="shared" si="2"/>
        <v>0</v>
      </c>
      <c r="AV9" s="288">
        <f t="shared" si="2"/>
        <v>0</v>
      </c>
      <c r="AW9" s="288">
        <f t="shared" si="2"/>
        <v>0</v>
      </c>
      <c r="AX9" s="288">
        <f t="shared" si="2"/>
        <v>0</v>
      </c>
      <c r="AY9" s="288">
        <f t="shared" si="2"/>
        <v>0</v>
      </c>
      <c r="AZ9" s="288">
        <f t="shared" si="2"/>
        <v>0</v>
      </c>
      <c r="BA9" s="288">
        <f t="shared" si="2"/>
        <v>0</v>
      </c>
      <c r="BB9" s="288">
        <f t="shared" si="2"/>
        <v>0</v>
      </c>
      <c r="BD9" s="287">
        <f t="shared" si="3"/>
        <v>0</v>
      </c>
    </row>
    <row r="10" spans="1:56">
      <c r="A10" s="283" t="s">
        <v>129</v>
      </c>
      <c r="B10" s="295" t="str">
        <f>VLOOKUP(A10,'DFP-Com'!$A$16:$B$50,2,1)</f>
        <v xml:space="preserve">     2.1.a  Tax and Customs</v>
      </c>
      <c r="C10" s="283" t="s">
        <v>219</v>
      </c>
      <c r="D10" s="223">
        <v>140000</v>
      </c>
      <c r="E10" s="283" t="s">
        <v>175</v>
      </c>
      <c r="G10" s="286"/>
      <c r="H10" s="303"/>
      <c r="I10" s="286"/>
      <c r="J10" s="286"/>
      <c r="K10" s="286"/>
      <c r="L10" s="286">
        <v>0.25</v>
      </c>
      <c r="M10" s="286">
        <v>0.25</v>
      </c>
      <c r="N10" s="286">
        <v>0.25</v>
      </c>
      <c r="O10" s="286">
        <v>0.25</v>
      </c>
      <c r="P10" s="286"/>
      <c r="Q10" s="286"/>
      <c r="U10" s="286">
        <f t="shared" si="0"/>
        <v>1</v>
      </c>
      <c r="X10" s="288">
        <f t="shared" si="1"/>
        <v>0</v>
      </c>
      <c r="Y10" s="288">
        <f t="shared" si="1"/>
        <v>0</v>
      </c>
      <c r="Z10" s="288">
        <f t="shared" si="1"/>
        <v>0</v>
      </c>
      <c r="AA10" s="288">
        <f t="shared" si="1"/>
        <v>0</v>
      </c>
      <c r="AB10" s="288">
        <f t="shared" si="1"/>
        <v>0</v>
      </c>
      <c r="AC10" s="288">
        <f t="shared" si="1"/>
        <v>0</v>
      </c>
      <c r="AD10" s="288">
        <f t="shared" si="1"/>
        <v>35000</v>
      </c>
      <c r="AE10" s="288">
        <f t="shared" si="1"/>
        <v>35000</v>
      </c>
      <c r="AF10" s="288">
        <f t="shared" si="1"/>
        <v>35000</v>
      </c>
      <c r="AG10" s="288">
        <f t="shared" si="1"/>
        <v>35000</v>
      </c>
      <c r="AH10" s="288">
        <f t="shared" si="1"/>
        <v>0</v>
      </c>
      <c r="AI10" s="288">
        <f t="shared" si="1"/>
        <v>0</v>
      </c>
      <c r="AJ10" s="288">
        <f t="shared" si="1"/>
        <v>0</v>
      </c>
      <c r="AK10" s="288">
        <f t="shared" si="1"/>
        <v>0</v>
      </c>
      <c r="AL10" s="288">
        <f t="shared" si="1"/>
        <v>0</v>
      </c>
      <c r="AM10" s="228"/>
      <c r="AN10" s="288">
        <f t="shared" si="2"/>
        <v>0</v>
      </c>
      <c r="AO10" s="288">
        <f t="shared" si="2"/>
        <v>0</v>
      </c>
      <c r="AP10" s="288">
        <f t="shared" si="2"/>
        <v>0</v>
      </c>
      <c r="AQ10" s="288">
        <f t="shared" si="2"/>
        <v>0</v>
      </c>
      <c r="AR10" s="288">
        <f t="shared" si="2"/>
        <v>0</v>
      </c>
      <c r="AS10" s="288">
        <f t="shared" si="2"/>
        <v>0</v>
      </c>
      <c r="AT10" s="288">
        <f t="shared" si="2"/>
        <v>140000</v>
      </c>
      <c r="AU10" s="288">
        <f t="shared" si="2"/>
        <v>0</v>
      </c>
      <c r="AV10" s="288">
        <f t="shared" si="2"/>
        <v>0</v>
      </c>
      <c r="AW10" s="288">
        <f t="shared" si="2"/>
        <v>0</v>
      </c>
      <c r="AX10" s="288">
        <f t="shared" si="2"/>
        <v>0</v>
      </c>
      <c r="AY10" s="288">
        <f t="shared" si="2"/>
        <v>0</v>
      </c>
      <c r="AZ10" s="288">
        <f t="shared" si="2"/>
        <v>0</v>
      </c>
      <c r="BA10" s="288">
        <f t="shared" si="2"/>
        <v>0</v>
      </c>
      <c r="BB10" s="288">
        <f t="shared" si="2"/>
        <v>0</v>
      </c>
      <c r="BD10" s="287">
        <f t="shared" si="3"/>
        <v>0</v>
      </c>
    </row>
    <row r="11" spans="1:56">
      <c r="A11" s="283" t="s">
        <v>129</v>
      </c>
      <c r="B11" s="295" t="str">
        <f>VLOOKUP(A11,'DFP-Com'!$A$16:$B$50,2,1)</f>
        <v xml:space="preserve">     2.1.a  Tax and Customs</v>
      </c>
      <c r="C11" s="283" t="s">
        <v>204</v>
      </c>
      <c r="D11" s="223">
        <v>4000</v>
      </c>
      <c r="E11" s="283" t="s">
        <v>161</v>
      </c>
      <c r="G11" s="286"/>
      <c r="H11" s="303">
        <v>1</v>
      </c>
      <c r="I11" s="286"/>
      <c r="J11" s="286"/>
      <c r="K11" s="286"/>
      <c r="L11" s="286"/>
      <c r="M11" s="286"/>
      <c r="N11" s="286"/>
      <c r="U11" s="286">
        <f t="shared" si="0"/>
        <v>1</v>
      </c>
      <c r="X11" s="288">
        <f t="shared" si="1"/>
        <v>0</v>
      </c>
      <c r="Y11" s="288">
        <f t="shared" si="1"/>
        <v>0</v>
      </c>
      <c r="Z11" s="288">
        <f t="shared" si="1"/>
        <v>4000</v>
      </c>
      <c r="AA11" s="288">
        <f t="shared" si="1"/>
        <v>0</v>
      </c>
      <c r="AB11" s="288">
        <f t="shared" si="1"/>
        <v>0</v>
      </c>
      <c r="AC11" s="288">
        <f t="shared" si="1"/>
        <v>0</v>
      </c>
      <c r="AD11" s="288">
        <f t="shared" si="1"/>
        <v>0</v>
      </c>
      <c r="AE11" s="288">
        <f t="shared" si="1"/>
        <v>0</v>
      </c>
      <c r="AF11" s="288">
        <f t="shared" si="1"/>
        <v>0</v>
      </c>
      <c r="AG11" s="288">
        <f t="shared" si="1"/>
        <v>0</v>
      </c>
      <c r="AH11" s="288">
        <f t="shared" si="1"/>
        <v>0</v>
      </c>
      <c r="AI11" s="288">
        <f t="shared" si="1"/>
        <v>0</v>
      </c>
      <c r="AJ11" s="288">
        <f t="shared" si="1"/>
        <v>0</v>
      </c>
      <c r="AK11" s="288">
        <f t="shared" si="1"/>
        <v>0</v>
      </c>
      <c r="AL11" s="288">
        <f t="shared" si="1"/>
        <v>0</v>
      </c>
      <c r="AM11" s="228"/>
      <c r="AN11" s="288">
        <f t="shared" si="2"/>
        <v>0</v>
      </c>
      <c r="AO11" s="288">
        <f t="shared" si="2"/>
        <v>0</v>
      </c>
      <c r="AP11" s="288">
        <f t="shared" si="2"/>
        <v>4000</v>
      </c>
      <c r="AQ11" s="288">
        <f t="shared" si="2"/>
        <v>0</v>
      </c>
      <c r="AR11" s="288">
        <f t="shared" si="2"/>
        <v>0</v>
      </c>
      <c r="AS11" s="288">
        <f t="shared" si="2"/>
        <v>0</v>
      </c>
      <c r="AT11" s="288">
        <f t="shared" si="2"/>
        <v>0</v>
      </c>
      <c r="AU11" s="288">
        <f t="shared" si="2"/>
        <v>0</v>
      </c>
      <c r="AV11" s="288">
        <f t="shared" si="2"/>
        <v>0</v>
      </c>
      <c r="AW11" s="288">
        <f t="shared" si="2"/>
        <v>0</v>
      </c>
      <c r="AX11" s="288">
        <f t="shared" si="2"/>
        <v>0</v>
      </c>
      <c r="AY11" s="288">
        <f t="shared" si="2"/>
        <v>0</v>
      </c>
      <c r="AZ11" s="288">
        <f t="shared" si="2"/>
        <v>0</v>
      </c>
      <c r="BA11" s="288">
        <f t="shared" si="2"/>
        <v>0</v>
      </c>
      <c r="BB11" s="288">
        <f t="shared" si="2"/>
        <v>0</v>
      </c>
      <c r="BD11" s="287">
        <f t="shared" si="3"/>
        <v>0</v>
      </c>
    </row>
    <row r="12" spans="1:56">
      <c r="A12" s="283" t="s">
        <v>129</v>
      </c>
      <c r="B12" s="295" t="str">
        <f>VLOOKUP(A12,'DFP-Com'!$A$16:$B$50,2,1)</f>
        <v xml:space="preserve">     2.1.a  Tax and Customs</v>
      </c>
      <c r="C12" s="283" t="s">
        <v>205</v>
      </c>
      <c r="D12" s="223">
        <v>100000</v>
      </c>
      <c r="E12" s="283" t="s">
        <v>161</v>
      </c>
      <c r="G12" s="286"/>
      <c r="H12" s="303">
        <v>0.25</v>
      </c>
      <c r="I12" s="286">
        <v>0.25</v>
      </c>
      <c r="J12" s="286">
        <v>0.25</v>
      </c>
      <c r="K12" s="286">
        <v>0.25</v>
      </c>
      <c r="L12" s="286"/>
      <c r="M12" s="286"/>
      <c r="N12" s="286"/>
      <c r="U12" s="286">
        <f t="shared" si="0"/>
        <v>1</v>
      </c>
      <c r="X12" s="288">
        <f t="shared" si="1"/>
        <v>0</v>
      </c>
      <c r="Y12" s="288">
        <f t="shared" si="1"/>
        <v>0</v>
      </c>
      <c r="Z12" s="288">
        <f t="shared" si="1"/>
        <v>25000</v>
      </c>
      <c r="AA12" s="288">
        <f t="shared" si="1"/>
        <v>25000</v>
      </c>
      <c r="AB12" s="288">
        <f t="shared" si="1"/>
        <v>25000</v>
      </c>
      <c r="AC12" s="288">
        <f t="shared" si="1"/>
        <v>25000</v>
      </c>
      <c r="AD12" s="288">
        <f t="shared" si="1"/>
        <v>0</v>
      </c>
      <c r="AE12" s="288">
        <f t="shared" si="1"/>
        <v>0</v>
      </c>
      <c r="AF12" s="288">
        <f t="shared" si="1"/>
        <v>0</v>
      </c>
      <c r="AG12" s="288">
        <f t="shared" si="1"/>
        <v>0</v>
      </c>
      <c r="AH12" s="288">
        <f t="shared" si="1"/>
        <v>0</v>
      </c>
      <c r="AI12" s="288">
        <f t="shared" si="1"/>
        <v>0</v>
      </c>
      <c r="AJ12" s="288">
        <f t="shared" si="1"/>
        <v>0</v>
      </c>
      <c r="AK12" s="288">
        <f t="shared" si="1"/>
        <v>0</v>
      </c>
      <c r="AL12" s="288">
        <f t="shared" si="1"/>
        <v>0</v>
      </c>
      <c r="AM12" s="228"/>
      <c r="AN12" s="288">
        <f t="shared" si="2"/>
        <v>0</v>
      </c>
      <c r="AO12" s="288">
        <f t="shared" si="2"/>
        <v>0</v>
      </c>
      <c r="AP12" s="288">
        <f t="shared" si="2"/>
        <v>100000</v>
      </c>
      <c r="AQ12" s="288">
        <f t="shared" si="2"/>
        <v>0</v>
      </c>
      <c r="AR12" s="288">
        <f t="shared" si="2"/>
        <v>0</v>
      </c>
      <c r="AS12" s="288">
        <f t="shared" si="2"/>
        <v>0</v>
      </c>
      <c r="AT12" s="288">
        <f t="shared" si="2"/>
        <v>0</v>
      </c>
      <c r="AU12" s="288">
        <f t="shared" si="2"/>
        <v>0</v>
      </c>
      <c r="AV12" s="288">
        <f t="shared" si="2"/>
        <v>0</v>
      </c>
      <c r="AW12" s="288">
        <f t="shared" si="2"/>
        <v>0</v>
      </c>
      <c r="AX12" s="288">
        <f t="shared" si="2"/>
        <v>0</v>
      </c>
      <c r="AY12" s="288">
        <f t="shared" si="2"/>
        <v>0</v>
      </c>
      <c r="AZ12" s="288">
        <f t="shared" si="2"/>
        <v>0</v>
      </c>
      <c r="BA12" s="288">
        <f t="shared" si="2"/>
        <v>0</v>
      </c>
      <c r="BB12" s="288">
        <f t="shared" si="2"/>
        <v>0</v>
      </c>
      <c r="BD12" s="287">
        <f t="shared" si="3"/>
        <v>0</v>
      </c>
    </row>
    <row r="13" spans="1:56">
      <c r="A13" s="283" t="s">
        <v>129</v>
      </c>
      <c r="B13" s="295" t="str">
        <f>VLOOKUP(A13,'DFP-Com'!$A$16:$B$50,2,1)</f>
        <v xml:space="preserve">     2.1.a  Tax and Customs</v>
      </c>
      <c r="D13" s="223"/>
      <c r="G13" s="286"/>
      <c r="H13" s="303"/>
      <c r="I13" s="286"/>
      <c r="J13" s="286"/>
      <c r="K13" s="286"/>
      <c r="L13" s="286"/>
      <c r="M13" s="286"/>
      <c r="N13" s="286"/>
      <c r="O13" s="286"/>
      <c r="P13" s="286"/>
      <c r="Q13" s="286"/>
      <c r="U13" s="286">
        <f t="shared" si="0"/>
        <v>0</v>
      </c>
      <c r="X13" s="288">
        <f t="shared" si="1"/>
        <v>0</v>
      </c>
      <c r="Y13" s="288">
        <f t="shared" si="1"/>
        <v>0</v>
      </c>
      <c r="Z13" s="288">
        <f t="shared" si="1"/>
        <v>0</v>
      </c>
      <c r="AA13" s="288">
        <f t="shared" si="1"/>
        <v>0</v>
      </c>
      <c r="AB13" s="288">
        <f t="shared" si="1"/>
        <v>0</v>
      </c>
      <c r="AC13" s="288">
        <f t="shared" si="1"/>
        <v>0</v>
      </c>
      <c r="AD13" s="288">
        <f t="shared" si="1"/>
        <v>0</v>
      </c>
      <c r="AE13" s="288">
        <f t="shared" si="1"/>
        <v>0</v>
      </c>
      <c r="AF13" s="288">
        <f t="shared" si="1"/>
        <v>0</v>
      </c>
      <c r="AG13" s="288">
        <f t="shared" si="1"/>
        <v>0</v>
      </c>
      <c r="AH13" s="288">
        <f t="shared" si="1"/>
        <v>0</v>
      </c>
      <c r="AI13" s="288">
        <f t="shared" si="1"/>
        <v>0</v>
      </c>
      <c r="AJ13" s="288">
        <f t="shared" si="1"/>
        <v>0</v>
      </c>
      <c r="AK13" s="288">
        <f t="shared" si="1"/>
        <v>0</v>
      </c>
      <c r="AL13" s="288">
        <f t="shared" si="1"/>
        <v>0</v>
      </c>
      <c r="AM13" s="228"/>
      <c r="AN13" s="288">
        <f t="shared" si="2"/>
        <v>0</v>
      </c>
      <c r="AO13" s="288">
        <f t="shared" si="2"/>
        <v>0</v>
      </c>
      <c r="AP13" s="288">
        <f t="shared" si="2"/>
        <v>0</v>
      </c>
      <c r="AQ13" s="288">
        <f t="shared" si="2"/>
        <v>0</v>
      </c>
      <c r="AR13" s="288">
        <f t="shared" si="2"/>
        <v>0</v>
      </c>
      <c r="AS13" s="288">
        <f t="shared" si="2"/>
        <v>0</v>
      </c>
      <c r="AT13" s="288">
        <f t="shared" si="2"/>
        <v>0</v>
      </c>
      <c r="AU13" s="288">
        <f t="shared" si="2"/>
        <v>0</v>
      </c>
      <c r="AV13" s="288">
        <f t="shared" si="2"/>
        <v>0</v>
      </c>
      <c r="AW13" s="288">
        <f t="shared" si="2"/>
        <v>0</v>
      </c>
      <c r="AX13" s="288">
        <f t="shared" si="2"/>
        <v>0</v>
      </c>
      <c r="AY13" s="288">
        <f t="shared" si="2"/>
        <v>0</v>
      </c>
      <c r="AZ13" s="288">
        <f t="shared" si="2"/>
        <v>0</v>
      </c>
      <c r="BA13" s="288">
        <f t="shared" si="2"/>
        <v>0</v>
      </c>
      <c r="BB13" s="288">
        <f t="shared" si="2"/>
        <v>0</v>
      </c>
      <c r="BD13" s="287">
        <f t="shared" si="3"/>
        <v>0</v>
      </c>
    </row>
    <row r="14" spans="1:56">
      <c r="A14" s="283" t="s">
        <v>130</v>
      </c>
      <c r="B14" s="296" t="str">
        <f>VLOOKUP(A14,'DFP-Com'!$A$16:$B$50,2,1)</f>
        <v xml:space="preserve">     2.2.a  Advisors</v>
      </c>
      <c r="C14" s="283" t="s">
        <v>174</v>
      </c>
      <c r="D14" s="223">
        <v>150000</v>
      </c>
      <c r="E14" s="283" t="s">
        <v>161</v>
      </c>
      <c r="G14" s="286"/>
      <c r="H14" s="303">
        <v>0.25</v>
      </c>
      <c r="I14" s="286">
        <v>0.25</v>
      </c>
      <c r="J14" s="286">
        <v>0.25</v>
      </c>
      <c r="K14" s="286">
        <v>0.25</v>
      </c>
      <c r="U14" s="286">
        <f t="shared" si="0"/>
        <v>1</v>
      </c>
      <c r="X14" s="288">
        <f t="shared" si="1"/>
        <v>0</v>
      </c>
      <c r="Y14" s="288">
        <f t="shared" si="1"/>
        <v>0</v>
      </c>
      <c r="Z14" s="288">
        <f t="shared" si="1"/>
        <v>37500</v>
      </c>
      <c r="AA14" s="288">
        <f t="shared" si="1"/>
        <v>37500</v>
      </c>
      <c r="AB14" s="288">
        <f t="shared" si="1"/>
        <v>37500</v>
      </c>
      <c r="AC14" s="288">
        <f t="shared" si="1"/>
        <v>37500</v>
      </c>
      <c r="AD14" s="288">
        <f t="shared" si="1"/>
        <v>0</v>
      </c>
      <c r="AE14" s="288">
        <f t="shared" si="1"/>
        <v>0</v>
      </c>
      <c r="AF14" s="288">
        <f t="shared" si="1"/>
        <v>0</v>
      </c>
      <c r="AG14" s="288">
        <f t="shared" si="1"/>
        <v>0</v>
      </c>
      <c r="AH14" s="288">
        <f t="shared" si="1"/>
        <v>0</v>
      </c>
      <c r="AI14" s="288">
        <f t="shared" si="1"/>
        <v>0</v>
      </c>
      <c r="AJ14" s="288">
        <f t="shared" si="1"/>
        <v>0</v>
      </c>
      <c r="AK14" s="288">
        <f t="shared" si="1"/>
        <v>0</v>
      </c>
      <c r="AL14" s="288">
        <f t="shared" si="1"/>
        <v>0</v>
      </c>
      <c r="AM14" s="228"/>
      <c r="AN14" s="288">
        <f t="shared" si="2"/>
        <v>0</v>
      </c>
      <c r="AO14" s="288">
        <f t="shared" si="2"/>
        <v>0</v>
      </c>
      <c r="AP14" s="288">
        <f t="shared" si="2"/>
        <v>150000</v>
      </c>
      <c r="AQ14" s="288">
        <f t="shared" si="2"/>
        <v>0</v>
      </c>
      <c r="AR14" s="288">
        <f t="shared" si="2"/>
        <v>0</v>
      </c>
      <c r="AS14" s="288">
        <f t="shared" si="2"/>
        <v>0</v>
      </c>
      <c r="AT14" s="288">
        <f t="shared" si="2"/>
        <v>0</v>
      </c>
      <c r="AU14" s="288">
        <f t="shared" si="2"/>
        <v>0</v>
      </c>
      <c r="AV14" s="288">
        <f t="shared" si="2"/>
        <v>0</v>
      </c>
      <c r="AW14" s="288">
        <f t="shared" si="2"/>
        <v>0</v>
      </c>
      <c r="AX14" s="288">
        <f t="shared" si="2"/>
        <v>0</v>
      </c>
      <c r="AY14" s="288">
        <f t="shared" si="2"/>
        <v>0</v>
      </c>
      <c r="AZ14" s="288">
        <f t="shared" si="2"/>
        <v>0</v>
      </c>
      <c r="BA14" s="288">
        <f t="shared" si="2"/>
        <v>0</v>
      </c>
      <c r="BB14" s="288">
        <f t="shared" si="2"/>
        <v>0</v>
      </c>
      <c r="BD14" s="287">
        <f t="shared" si="3"/>
        <v>0</v>
      </c>
    </row>
    <row r="15" spans="1:56">
      <c r="A15" s="283" t="s">
        <v>130</v>
      </c>
      <c r="B15" s="296" t="str">
        <f>VLOOKUP(A15,'DFP-Com'!$A$16:$B$50,2,1)</f>
        <v xml:space="preserve">     2.2.a  Advisors</v>
      </c>
      <c r="C15" s="283" t="s">
        <v>192</v>
      </c>
      <c r="D15" s="223">
        <v>150000</v>
      </c>
      <c r="E15" s="283" t="s">
        <v>163</v>
      </c>
      <c r="K15" s="286">
        <v>0.25</v>
      </c>
      <c r="L15" s="286">
        <v>0.25</v>
      </c>
      <c r="M15" s="286">
        <v>0.25</v>
      </c>
      <c r="N15" s="286">
        <v>0.25</v>
      </c>
      <c r="U15" s="286">
        <f t="shared" si="0"/>
        <v>1</v>
      </c>
      <c r="X15" s="288">
        <f t="shared" si="1"/>
        <v>0</v>
      </c>
      <c r="Y15" s="288">
        <f t="shared" si="1"/>
        <v>0</v>
      </c>
      <c r="Z15" s="288">
        <f t="shared" si="1"/>
        <v>0</v>
      </c>
      <c r="AA15" s="288">
        <f t="shared" si="1"/>
        <v>0</v>
      </c>
      <c r="AB15" s="288">
        <f t="shared" si="1"/>
        <v>0</v>
      </c>
      <c r="AC15" s="288">
        <f t="shared" si="1"/>
        <v>37500</v>
      </c>
      <c r="AD15" s="288">
        <f t="shared" si="1"/>
        <v>37500</v>
      </c>
      <c r="AE15" s="288">
        <f t="shared" si="1"/>
        <v>37500</v>
      </c>
      <c r="AF15" s="288">
        <f t="shared" si="1"/>
        <v>37500</v>
      </c>
      <c r="AG15" s="288">
        <f t="shared" si="1"/>
        <v>0</v>
      </c>
      <c r="AH15" s="288">
        <f t="shared" si="1"/>
        <v>0</v>
      </c>
      <c r="AI15" s="288">
        <f t="shared" si="1"/>
        <v>0</v>
      </c>
      <c r="AJ15" s="288">
        <f t="shared" si="1"/>
        <v>0</v>
      </c>
      <c r="AK15" s="288">
        <f t="shared" si="1"/>
        <v>0</v>
      </c>
      <c r="AL15" s="288">
        <f t="shared" si="1"/>
        <v>0</v>
      </c>
      <c r="AM15" s="228"/>
      <c r="AN15" s="288">
        <f t="shared" si="2"/>
        <v>0</v>
      </c>
      <c r="AO15" s="288">
        <f t="shared" si="2"/>
        <v>0</v>
      </c>
      <c r="AP15" s="288">
        <f t="shared" si="2"/>
        <v>0</v>
      </c>
      <c r="AQ15" s="288">
        <f t="shared" si="2"/>
        <v>0</v>
      </c>
      <c r="AR15" s="288">
        <f t="shared" si="2"/>
        <v>0</v>
      </c>
      <c r="AS15" s="288">
        <f t="shared" si="2"/>
        <v>150000</v>
      </c>
      <c r="AT15" s="288">
        <f t="shared" si="2"/>
        <v>0</v>
      </c>
      <c r="AU15" s="288">
        <f t="shared" si="2"/>
        <v>0</v>
      </c>
      <c r="AV15" s="288">
        <f t="shared" si="2"/>
        <v>0</v>
      </c>
      <c r="AW15" s="288">
        <f t="shared" si="2"/>
        <v>0</v>
      </c>
      <c r="AX15" s="288">
        <f t="shared" si="2"/>
        <v>0</v>
      </c>
      <c r="AY15" s="288">
        <f t="shared" si="2"/>
        <v>0</v>
      </c>
      <c r="AZ15" s="288">
        <f t="shared" si="2"/>
        <v>0</v>
      </c>
      <c r="BA15" s="288">
        <f t="shared" si="2"/>
        <v>0</v>
      </c>
      <c r="BB15" s="288">
        <f t="shared" si="2"/>
        <v>0</v>
      </c>
      <c r="BD15" s="287">
        <f t="shared" si="3"/>
        <v>0</v>
      </c>
    </row>
    <row r="16" spans="1:56">
      <c r="A16" s="283" t="s">
        <v>130</v>
      </c>
      <c r="B16" s="296" t="str">
        <f>VLOOKUP(A16,'DFP-Com'!$A$16:$B$50,2,1)</f>
        <v xml:space="preserve">     2.2.a  Advisors</v>
      </c>
      <c r="C16" s="283" t="s">
        <v>166</v>
      </c>
      <c r="D16" s="223">
        <v>73500</v>
      </c>
      <c r="E16" s="283" t="s">
        <v>161</v>
      </c>
      <c r="F16" s="286"/>
      <c r="G16" s="286"/>
      <c r="H16" s="303">
        <v>0.16666666666666699</v>
      </c>
      <c r="I16" s="286">
        <v>0.25</v>
      </c>
      <c r="J16" s="286">
        <v>0.25</v>
      </c>
      <c r="K16" s="286">
        <v>0.25</v>
      </c>
      <c r="L16" s="286">
        <v>8.3333333333333329E-2</v>
      </c>
      <c r="M16" s="286"/>
      <c r="N16" s="286"/>
      <c r="O16" s="286"/>
      <c r="P16" s="286"/>
      <c r="Q16" s="286"/>
      <c r="U16" s="286">
        <f t="shared" si="0"/>
        <v>1.0000000000000002</v>
      </c>
      <c r="X16" s="238">
        <f t="shared" si="1"/>
        <v>0</v>
      </c>
      <c r="Y16" s="288">
        <f t="shared" si="1"/>
        <v>0</v>
      </c>
      <c r="Z16" s="288">
        <f t="shared" si="1"/>
        <v>12250.000000000024</v>
      </c>
      <c r="AA16" s="288">
        <f t="shared" si="1"/>
        <v>18375</v>
      </c>
      <c r="AB16" s="288">
        <f t="shared" si="1"/>
        <v>18375</v>
      </c>
      <c r="AC16" s="288">
        <f t="shared" si="1"/>
        <v>18375</v>
      </c>
      <c r="AD16" s="288">
        <f t="shared" si="1"/>
        <v>6125</v>
      </c>
      <c r="AE16" s="288">
        <f t="shared" si="1"/>
        <v>0</v>
      </c>
      <c r="AF16" s="288">
        <f t="shared" si="1"/>
        <v>0</v>
      </c>
      <c r="AG16" s="288">
        <f t="shared" si="1"/>
        <v>0</v>
      </c>
      <c r="AH16" s="288">
        <f t="shared" si="1"/>
        <v>0</v>
      </c>
      <c r="AI16" s="288">
        <f t="shared" si="1"/>
        <v>0</v>
      </c>
      <c r="AJ16" s="288">
        <f t="shared" si="1"/>
        <v>0</v>
      </c>
      <c r="AK16" s="288">
        <f t="shared" si="1"/>
        <v>0</v>
      </c>
      <c r="AL16" s="288">
        <f t="shared" si="1"/>
        <v>0</v>
      </c>
      <c r="AM16" s="228"/>
      <c r="AN16" s="288">
        <f t="shared" si="2"/>
        <v>0</v>
      </c>
      <c r="AO16" s="288">
        <f t="shared" si="2"/>
        <v>0</v>
      </c>
      <c r="AP16" s="288">
        <f t="shared" si="2"/>
        <v>73500</v>
      </c>
      <c r="AQ16" s="288">
        <f t="shared" si="2"/>
        <v>0</v>
      </c>
      <c r="AR16" s="288">
        <f t="shared" si="2"/>
        <v>0</v>
      </c>
      <c r="AS16" s="288">
        <f t="shared" si="2"/>
        <v>0</v>
      </c>
      <c r="AT16" s="288">
        <f t="shared" si="2"/>
        <v>0</v>
      </c>
      <c r="AU16" s="288">
        <f t="shared" si="2"/>
        <v>0</v>
      </c>
      <c r="AV16" s="288">
        <f t="shared" si="2"/>
        <v>0</v>
      </c>
      <c r="AW16" s="288">
        <f t="shared" si="2"/>
        <v>0</v>
      </c>
      <c r="AX16" s="288">
        <f t="shared" si="2"/>
        <v>0</v>
      </c>
      <c r="AY16" s="288">
        <f t="shared" si="2"/>
        <v>0</v>
      </c>
      <c r="AZ16" s="288">
        <f t="shared" si="2"/>
        <v>0</v>
      </c>
      <c r="BA16" s="288">
        <f t="shared" si="2"/>
        <v>0</v>
      </c>
      <c r="BB16" s="288">
        <f t="shared" si="2"/>
        <v>0</v>
      </c>
      <c r="BD16" s="287">
        <f t="shared" si="3"/>
        <v>0</v>
      </c>
    </row>
    <row r="17" spans="1:56">
      <c r="A17" s="283" t="s">
        <v>130</v>
      </c>
      <c r="B17" s="296" t="str">
        <f>VLOOKUP(A17,'DFP-Com'!$A$16:$B$50,2,1)</f>
        <v xml:space="preserve">     2.2.a  Advisors</v>
      </c>
      <c r="C17" s="283" t="s">
        <v>207</v>
      </c>
      <c r="D17" s="223">
        <f>12250*12</f>
        <v>147000</v>
      </c>
      <c r="E17" s="283" t="s">
        <v>163</v>
      </c>
      <c r="F17" s="286"/>
      <c r="G17" s="286"/>
      <c r="H17" s="303"/>
      <c r="I17" s="286"/>
      <c r="J17" s="286"/>
      <c r="K17" s="286">
        <v>0.16666666666666699</v>
      </c>
      <c r="L17" s="286">
        <v>0.25</v>
      </c>
      <c r="M17" s="286">
        <v>0.25</v>
      </c>
      <c r="N17" s="286">
        <v>0.25</v>
      </c>
      <c r="O17" s="286">
        <v>8.3333333333333329E-2</v>
      </c>
      <c r="P17" s="286"/>
      <c r="Q17" s="286"/>
      <c r="U17" s="286">
        <f t="shared" si="0"/>
        <v>1.0000000000000002</v>
      </c>
      <c r="X17" s="238">
        <f t="shared" si="1"/>
        <v>0</v>
      </c>
      <c r="Y17" s="288">
        <f t="shared" si="1"/>
        <v>0</v>
      </c>
      <c r="Z17" s="288">
        <f t="shared" si="1"/>
        <v>0</v>
      </c>
      <c r="AA17" s="288">
        <f t="shared" si="1"/>
        <v>0</v>
      </c>
      <c r="AB17" s="288">
        <f t="shared" si="1"/>
        <v>0</v>
      </c>
      <c r="AC17" s="288">
        <f t="shared" si="1"/>
        <v>24500.000000000047</v>
      </c>
      <c r="AD17" s="288">
        <f t="shared" si="1"/>
        <v>36750</v>
      </c>
      <c r="AE17" s="288">
        <f t="shared" si="1"/>
        <v>36750</v>
      </c>
      <c r="AF17" s="288">
        <f t="shared" si="1"/>
        <v>36750</v>
      </c>
      <c r="AG17" s="288">
        <f t="shared" si="1"/>
        <v>12250</v>
      </c>
      <c r="AH17" s="288">
        <f t="shared" si="1"/>
        <v>0</v>
      </c>
      <c r="AI17" s="288">
        <f t="shared" si="1"/>
        <v>0</v>
      </c>
      <c r="AJ17" s="288">
        <f t="shared" si="1"/>
        <v>0</v>
      </c>
      <c r="AK17" s="288">
        <f t="shared" si="1"/>
        <v>0</v>
      </c>
      <c r="AL17" s="288">
        <f t="shared" si="1"/>
        <v>0</v>
      </c>
      <c r="AM17" s="228"/>
      <c r="AN17" s="288">
        <f t="shared" si="2"/>
        <v>0</v>
      </c>
      <c r="AO17" s="288">
        <f t="shared" si="2"/>
        <v>0</v>
      </c>
      <c r="AP17" s="288">
        <f t="shared" si="2"/>
        <v>0</v>
      </c>
      <c r="AQ17" s="288">
        <f t="shared" si="2"/>
        <v>0</v>
      </c>
      <c r="AR17" s="288">
        <f t="shared" si="2"/>
        <v>0</v>
      </c>
      <c r="AS17" s="288">
        <f t="shared" si="2"/>
        <v>147000</v>
      </c>
      <c r="AT17" s="288">
        <f t="shared" si="2"/>
        <v>0</v>
      </c>
      <c r="AU17" s="288">
        <f t="shared" si="2"/>
        <v>0</v>
      </c>
      <c r="AV17" s="288">
        <f t="shared" si="2"/>
        <v>0</v>
      </c>
      <c r="AW17" s="288">
        <f t="shared" si="2"/>
        <v>0</v>
      </c>
      <c r="AX17" s="288">
        <f t="shared" si="2"/>
        <v>0</v>
      </c>
      <c r="AY17" s="288">
        <f t="shared" si="2"/>
        <v>0</v>
      </c>
      <c r="AZ17" s="288">
        <f t="shared" si="2"/>
        <v>0</v>
      </c>
      <c r="BA17" s="288">
        <f t="shared" si="2"/>
        <v>0</v>
      </c>
      <c r="BB17" s="288">
        <f t="shared" si="2"/>
        <v>0</v>
      </c>
      <c r="BD17" s="287">
        <f t="shared" si="3"/>
        <v>0</v>
      </c>
    </row>
    <row r="18" spans="1:56">
      <c r="A18" s="283" t="s">
        <v>130</v>
      </c>
      <c r="B18" s="296" t="str">
        <f>VLOOKUP(A18,'DFP-Com'!$A$16:$B$50,2,1)</f>
        <v xml:space="preserve">     2.2.a  Advisors</v>
      </c>
      <c r="C18" s="283" t="s">
        <v>208</v>
      </c>
      <c r="D18" s="223">
        <f>12250*12</f>
        <v>147000</v>
      </c>
      <c r="E18" s="283" t="s">
        <v>209</v>
      </c>
      <c r="F18" s="286"/>
      <c r="G18" s="286"/>
      <c r="H18" s="303"/>
      <c r="I18" s="286"/>
      <c r="J18" s="286"/>
      <c r="K18" s="286"/>
      <c r="L18" s="286"/>
      <c r="M18" s="286"/>
      <c r="N18" s="286"/>
      <c r="O18" s="286">
        <v>0.16666666666666699</v>
      </c>
      <c r="P18" s="286">
        <v>0.25</v>
      </c>
      <c r="Q18" s="286">
        <v>0.25</v>
      </c>
      <c r="R18" s="286">
        <v>0.25</v>
      </c>
      <c r="S18" s="286">
        <v>8.3333333333333329E-2</v>
      </c>
      <c r="U18" s="286">
        <f t="shared" si="0"/>
        <v>1.0000000000000002</v>
      </c>
      <c r="X18" s="238">
        <f t="shared" si="1"/>
        <v>0</v>
      </c>
      <c r="Y18" s="288">
        <f t="shared" si="1"/>
        <v>0</v>
      </c>
      <c r="Z18" s="288">
        <f t="shared" si="1"/>
        <v>0</v>
      </c>
      <c r="AA18" s="288">
        <f t="shared" si="1"/>
        <v>0</v>
      </c>
      <c r="AB18" s="288">
        <f t="shared" si="1"/>
        <v>0</v>
      </c>
      <c r="AC18" s="288">
        <f t="shared" si="1"/>
        <v>0</v>
      </c>
      <c r="AD18" s="288">
        <f t="shared" si="1"/>
        <v>0</v>
      </c>
      <c r="AE18" s="288">
        <f t="shared" si="1"/>
        <v>0</v>
      </c>
      <c r="AF18" s="288">
        <f t="shared" si="1"/>
        <v>0</v>
      </c>
      <c r="AG18" s="288">
        <f t="shared" si="1"/>
        <v>24500.000000000047</v>
      </c>
      <c r="AH18" s="288">
        <f t="shared" si="1"/>
        <v>36750</v>
      </c>
      <c r="AI18" s="288">
        <f t="shared" si="1"/>
        <v>36750</v>
      </c>
      <c r="AJ18" s="288">
        <f t="shared" si="1"/>
        <v>36750</v>
      </c>
      <c r="AK18" s="288">
        <f t="shared" si="1"/>
        <v>12250</v>
      </c>
      <c r="AL18" s="288">
        <f t="shared" si="1"/>
        <v>0</v>
      </c>
      <c r="AM18" s="228"/>
      <c r="AN18" s="288">
        <f t="shared" si="2"/>
        <v>0</v>
      </c>
      <c r="AO18" s="288">
        <f t="shared" si="2"/>
        <v>0</v>
      </c>
      <c r="AP18" s="288">
        <f t="shared" si="2"/>
        <v>0</v>
      </c>
      <c r="AQ18" s="288">
        <f t="shared" si="2"/>
        <v>0</v>
      </c>
      <c r="AR18" s="288">
        <f t="shared" si="2"/>
        <v>0</v>
      </c>
      <c r="AS18" s="288">
        <f t="shared" si="2"/>
        <v>0</v>
      </c>
      <c r="AT18" s="288">
        <f t="shared" si="2"/>
        <v>0</v>
      </c>
      <c r="AU18" s="288">
        <f t="shared" si="2"/>
        <v>147000</v>
      </c>
      <c r="AV18" s="288">
        <f t="shared" si="2"/>
        <v>0</v>
      </c>
      <c r="AW18" s="288">
        <f t="shared" si="2"/>
        <v>0</v>
      </c>
      <c r="AX18" s="288">
        <f t="shared" si="2"/>
        <v>0</v>
      </c>
      <c r="AY18" s="288">
        <f t="shared" si="2"/>
        <v>0</v>
      </c>
      <c r="AZ18" s="288">
        <f t="shared" si="2"/>
        <v>0</v>
      </c>
      <c r="BA18" s="288">
        <f t="shared" si="2"/>
        <v>0</v>
      </c>
      <c r="BB18" s="288">
        <f t="shared" si="2"/>
        <v>0</v>
      </c>
      <c r="BD18" s="287">
        <f t="shared" si="3"/>
        <v>0</v>
      </c>
    </row>
    <row r="19" spans="1:56">
      <c r="A19" s="283" t="s">
        <v>130</v>
      </c>
      <c r="B19" s="296" t="str">
        <f>VLOOKUP(A19,'DFP-Com'!$A$16:$B$50,2,1)</f>
        <v xml:space="preserve">     2.2.a  Advisors</v>
      </c>
      <c r="C19" s="283" t="s">
        <v>167</v>
      </c>
      <c r="D19" s="223">
        <v>61250</v>
      </c>
      <c r="E19" s="283" t="s">
        <v>189</v>
      </c>
      <c r="F19" s="286"/>
      <c r="G19" s="286">
        <v>0.2</v>
      </c>
      <c r="H19" s="303">
        <v>0.6</v>
      </c>
      <c r="I19" s="286">
        <v>0.2</v>
      </c>
      <c r="J19" s="286"/>
      <c r="K19" s="286"/>
      <c r="L19" s="286"/>
      <c r="M19" s="286"/>
      <c r="N19" s="286"/>
      <c r="O19" s="286"/>
      <c r="P19" s="286"/>
      <c r="Q19" s="286"/>
      <c r="U19" s="286">
        <f t="shared" si="0"/>
        <v>1</v>
      </c>
      <c r="X19" s="288">
        <f t="shared" si="1"/>
        <v>0</v>
      </c>
      <c r="Y19" s="288">
        <f t="shared" si="1"/>
        <v>12250</v>
      </c>
      <c r="Z19" s="288">
        <f t="shared" si="1"/>
        <v>36750</v>
      </c>
      <c r="AA19" s="288">
        <f t="shared" si="1"/>
        <v>12250</v>
      </c>
      <c r="AB19" s="288">
        <f t="shared" si="1"/>
        <v>0</v>
      </c>
      <c r="AC19" s="288">
        <f t="shared" si="1"/>
        <v>0</v>
      </c>
      <c r="AD19" s="288">
        <f t="shared" si="1"/>
        <v>0</v>
      </c>
      <c r="AE19" s="288">
        <f t="shared" si="1"/>
        <v>0</v>
      </c>
      <c r="AF19" s="288">
        <f t="shared" si="1"/>
        <v>0</v>
      </c>
      <c r="AG19" s="288">
        <f t="shared" si="1"/>
        <v>0</v>
      </c>
      <c r="AH19" s="288">
        <f t="shared" si="1"/>
        <v>0</v>
      </c>
      <c r="AI19" s="288">
        <f t="shared" si="1"/>
        <v>0</v>
      </c>
      <c r="AJ19" s="288">
        <f t="shared" si="1"/>
        <v>0</v>
      </c>
      <c r="AK19" s="288">
        <f t="shared" si="1"/>
        <v>0</v>
      </c>
      <c r="AL19" s="288">
        <f t="shared" si="1"/>
        <v>0</v>
      </c>
      <c r="AM19" s="228"/>
      <c r="AN19" s="288">
        <f t="shared" si="2"/>
        <v>0</v>
      </c>
      <c r="AO19" s="288">
        <f t="shared" si="2"/>
        <v>61250</v>
      </c>
      <c r="AP19" s="288">
        <f t="shared" si="2"/>
        <v>0</v>
      </c>
      <c r="AQ19" s="288">
        <f t="shared" si="2"/>
        <v>0</v>
      </c>
      <c r="AR19" s="288">
        <f t="shared" si="2"/>
        <v>0</v>
      </c>
      <c r="AS19" s="288">
        <f t="shared" si="2"/>
        <v>0</v>
      </c>
      <c r="AT19" s="288">
        <f t="shared" si="2"/>
        <v>0</v>
      </c>
      <c r="AU19" s="288">
        <f t="shared" si="2"/>
        <v>0</v>
      </c>
      <c r="AV19" s="288">
        <f t="shared" si="2"/>
        <v>0</v>
      </c>
      <c r="AW19" s="288">
        <f t="shared" si="2"/>
        <v>0</v>
      </c>
      <c r="AX19" s="288">
        <f t="shared" si="2"/>
        <v>0</v>
      </c>
      <c r="AY19" s="288">
        <f t="shared" si="2"/>
        <v>0</v>
      </c>
      <c r="AZ19" s="288">
        <f t="shared" si="2"/>
        <v>0</v>
      </c>
      <c r="BA19" s="288">
        <f t="shared" si="2"/>
        <v>0</v>
      </c>
      <c r="BB19" s="288">
        <f t="shared" si="2"/>
        <v>0</v>
      </c>
      <c r="BD19" s="287">
        <f t="shared" si="3"/>
        <v>0</v>
      </c>
    </row>
    <row r="20" spans="1:56">
      <c r="A20" s="283" t="s">
        <v>131</v>
      </c>
      <c r="B20" s="296" t="str">
        <f>VLOOKUP(A20,'DFP-Com'!$A$16:$B$50,2,1)</f>
        <v xml:space="preserve">     2.2.b  Feasiblity Studies/  Transaction Advisory Services</v>
      </c>
      <c r="C20" s="283" t="s">
        <v>168</v>
      </c>
      <c r="D20" s="223">
        <v>500000</v>
      </c>
      <c r="E20" s="283" t="s">
        <v>161</v>
      </c>
      <c r="F20" s="286"/>
      <c r="G20" s="286"/>
      <c r="H20" s="303">
        <v>0.25</v>
      </c>
      <c r="I20" s="286">
        <v>0.25</v>
      </c>
      <c r="J20" s="286">
        <v>0.25</v>
      </c>
      <c r="K20" s="286">
        <v>0.25</v>
      </c>
      <c r="L20" s="286"/>
      <c r="M20" s="286"/>
      <c r="N20" s="286"/>
      <c r="U20" s="286">
        <f t="shared" si="0"/>
        <v>1</v>
      </c>
      <c r="X20" s="288">
        <f t="shared" si="1"/>
        <v>0</v>
      </c>
      <c r="Y20" s="288">
        <f t="shared" si="1"/>
        <v>0</v>
      </c>
      <c r="Z20" s="288">
        <f t="shared" si="1"/>
        <v>125000</v>
      </c>
      <c r="AA20" s="288">
        <f t="shared" si="1"/>
        <v>125000</v>
      </c>
      <c r="AB20" s="288">
        <f t="shared" si="1"/>
        <v>125000</v>
      </c>
      <c r="AC20" s="288">
        <f t="shared" si="1"/>
        <v>125000</v>
      </c>
      <c r="AD20" s="288">
        <f t="shared" si="1"/>
        <v>0</v>
      </c>
      <c r="AE20" s="288">
        <f t="shared" si="1"/>
        <v>0</v>
      </c>
      <c r="AF20" s="288">
        <f t="shared" si="1"/>
        <v>0</v>
      </c>
      <c r="AG20" s="288">
        <f t="shared" si="1"/>
        <v>0</v>
      </c>
      <c r="AH20" s="288">
        <f t="shared" si="1"/>
        <v>0</v>
      </c>
      <c r="AI20" s="288">
        <f t="shared" si="1"/>
        <v>0</v>
      </c>
      <c r="AJ20" s="288">
        <f t="shared" si="1"/>
        <v>0</v>
      </c>
      <c r="AK20" s="288">
        <f t="shared" si="1"/>
        <v>0</v>
      </c>
      <c r="AL20" s="288">
        <f t="shared" si="1"/>
        <v>0</v>
      </c>
      <c r="AM20" s="228"/>
      <c r="AN20" s="288">
        <f t="shared" ref="AN20:BB35" si="4">IF(AN$3=$E20,$D20,0)</f>
        <v>0</v>
      </c>
      <c r="AO20" s="288">
        <f t="shared" si="4"/>
        <v>0</v>
      </c>
      <c r="AP20" s="288">
        <f t="shared" si="4"/>
        <v>500000</v>
      </c>
      <c r="AQ20" s="288">
        <f t="shared" si="4"/>
        <v>0</v>
      </c>
      <c r="AR20" s="288">
        <f t="shared" si="4"/>
        <v>0</v>
      </c>
      <c r="AS20" s="288">
        <f t="shared" si="4"/>
        <v>0</v>
      </c>
      <c r="AT20" s="288">
        <f t="shared" si="4"/>
        <v>0</v>
      </c>
      <c r="AU20" s="288">
        <f t="shared" si="4"/>
        <v>0</v>
      </c>
      <c r="AV20" s="288">
        <f t="shared" si="4"/>
        <v>0</v>
      </c>
      <c r="AW20" s="288">
        <f t="shared" si="4"/>
        <v>0</v>
      </c>
      <c r="AX20" s="288">
        <f t="shared" si="4"/>
        <v>0</v>
      </c>
      <c r="AY20" s="288">
        <f t="shared" si="4"/>
        <v>0</v>
      </c>
      <c r="AZ20" s="288">
        <f t="shared" si="4"/>
        <v>0</v>
      </c>
      <c r="BA20" s="288">
        <f t="shared" si="4"/>
        <v>0</v>
      </c>
      <c r="BB20" s="288">
        <f t="shared" si="4"/>
        <v>0</v>
      </c>
      <c r="BD20" s="287">
        <f t="shared" si="3"/>
        <v>0</v>
      </c>
    </row>
    <row r="21" spans="1:56">
      <c r="A21" s="283" t="s">
        <v>131</v>
      </c>
      <c r="B21" s="296" t="str">
        <f>VLOOKUP(A21,'DFP-Com'!$A$16:$B$50,2,1)</f>
        <v xml:space="preserve">     2.2.b  Feasiblity Studies/  Transaction Advisory Services</v>
      </c>
      <c r="C21" s="283" t="s">
        <v>169</v>
      </c>
      <c r="D21" s="223">
        <v>200000</v>
      </c>
      <c r="E21" s="283" t="s">
        <v>161</v>
      </c>
      <c r="F21" s="286"/>
      <c r="G21" s="286"/>
      <c r="H21" s="303"/>
      <c r="I21" s="286"/>
      <c r="J21" s="286">
        <v>0.25</v>
      </c>
      <c r="K21" s="286">
        <v>0.25</v>
      </c>
      <c r="L21" s="286">
        <v>0.25</v>
      </c>
      <c r="M21" s="286">
        <v>0.25</v>
      </c>
      <c r="U21" s="286">
        <f t="shared" si="0"/>
        <v>1</v>
      </c>
      <c r="X21" s="288">
        <f t="shared" ref="X21:AL37" si="5">F21*$D21</f>
        <v>0</v>
      </c>
      <c r="Y21" s="288">
        <f t="shared" si="5"/>
        <v>0</v>
      </c>
      <c r="Z21" s="288">
        <f t="shared" si="5"/>
        <v>0</v>
      </c>
      <c r="AA21" s="288">
        <f t="shared" si="5"/>
        <v>0</v>
      </c>
      <c r="AB21" s="288">
        <f t="shared" si="5"/>
        <v>50000</v>
      </c>
      <c r="AC21" s="288">
        <f t="shared" si="5"/>
        <v>50000</v>
      </c>
      <c r="AD21" s="288">
        <f t="shared" si="5"/>
        <v>50000</v>
      </c>
      <c r="AE21" s="288">
        <f t="shared" si="5"/>
        <v>50000</v>
      </c>
      <c r="AF21" s="288">
        <f t="shared" si="5"/>
        <v>0</v>
      </c>
      <c r="AG21" s="288">
        <f t="shared" si="5"/>
        <v>0</v>
      </c>
      <c r="AH21" s="288">
        <f t="shared" si="5"/>
        <v>0</v>
      </c>
      <c r="AI21" s="288">
        <f t="shared" si="5"/>
        <v>0</v>
      </c>
      <c r="AJ21" s="288">
        <f t="shared" si="5"/>
        <v>0</v>
      </c>
      <c r="AK21" s="288">
        <f t="shared" si="5"/>
        <v>0</v>
      </c>
      <c r="AL21" s="288">
        <f t="shared" si="5"/>
        <v>0</v>
      </c>
      <c r="AM21" s="228"/>
      <c r="AN21" s="288">
        <f t="shared" si="4"/>
        <v>0</v>
      </c>
      <c r="AO21" s="288">
        <f t="shared" si="4"/>
        <v>0</v>
      </c>
      <c r="AP21" s="288">
        <f t="shared" si="4"/>
        <v>200000</v>
      </c>
      <c r="AQ21" s="288">
        <f t="shared" si="4"/>
        <v>0</v>
      </c>
      <c r="AR21" s="288">
        <f t="shared" si="4"/>
        <v>0</v>
      </c>
      <c r="AS21" s="288">
        <f t="shared" si="4"/>
        <v>0</v>
      </c>
      <c r="AT21" s="288">
        <f t="shared" si="4"/>
        <v>0</v>
      </c>
      <c r="AU21" s="288">
        <f t="shared" si="4"/>
        <v>0</v>
      </c>
      <c r="AV21" s="288">
        <f t="shared" si="4"/>
        <v>0</v>
      </c>
      <c r="AW21" s="288">
        <f t="shared" si="4"/>
        <v>0</v>
      </c>
      <c r="AX21" s="288">
        <f t="shared" si="4"/>
        <v>0</v>
      </c>
      <c r="AY21" s="288">
        <f t="shared" si="4"/>
        <v>0</v>
      </c>
      <c r="AZ21" s="288">
        <f t="shared" si="4"/>
        <v>0</v>
      </c>
      <c r="BA21" s="288">
        <f t="shared" si="4"/>
        <v>0</v>
      </c>
      <c r="BB21" s="288">
        <f t="shared" si="4"/>
        <v>0</v>
      </c>
      <c r="BD21" s="287">
        <f t="shared" si="3"/>
        <v>0</v>
      </c>
    </row>
    <row r="22" spans="1:56">
      <c r="A22" s="283" t="s">
        <v>131</v>
      </c>
      <c r="B22" s="296" t="str">
        <f>VLOOKUP(A22,'DFP-Com'!$A$16:$B$50,2,1)</f>
        <v xml:space="preserve">     2.2.b  Feasiblity Studies/  Transaction Advisory Services</v>
      </c>
      <c r="C22" s="283" t="s">
        <v>170</v>
      </c>
      <c r="D22" s="223">
        <v>350000</v>
      </c>
      <c r="U22" s="286">
        <f t="shared" si="0"/>
        <v>0</v>
      </c>
      <c r="X22" s="288">
        <f t="shared" si="5"/>
        <v>0</v>
      </c>
      <c r="Y22" s="288">
        <f t="shared" si="5"/>
        <v>0</v>
      </c>
      <c r="Z22" s="288">
        <f t="shared" si="5"/>
        <v>0</v>
      </c>
      <c r="AA22" s="288">
        <f t="shared" si="5"/>
        <v>0</v>
      </c>
      <c r="AB22" s="288">
        <f t="shared" si="5"/>
        <v>0</v>
      </c>
      <c r="AC22" s="288">
        <f t="shared" si="5"/>
        <v>0</v>
      </c>
      <c r="AD22" s="288">
        <f t="shared" si="5"/>
        <v>0</v>
      </c>
      <c r="AE22" s="288">
        <f t="shared" si="5"/>
        <v>0</v>
      </c>
      <c r="AF22" s="288">
        <f t="shared" si="5"/>
        <v>0</v>
      </c>
      <c r="AG22" s="288">
        <f t="shared" si="5"/>
        <v>0</v>
      </c>
      <c r="AH22" s="288">
        <f t="shared" si="5"/>
        <v>0</v>
      </c>
      <c r="AI22" s="288">
        <f t="shared" si="5"/>
        <v>0</v>
      </c>
      <c r="AJ22" s="288">
        <f t="shared" si="5"/>
        <v>0</v>
      </c>
      <c r="AK22" s="288">
        <f t="shared" si="5"/>
        <v>0</v>
      </c>
      <c r="AL22" s="288">
        <f t="shared" si="5"/>
        <v>0</v>
      </c>
      <c r="AM22" s="228"/>
      <c r="AN22" s="288">
        <f t="shared" si="4"/>
        <v>0</v>
      </c>
      <c r="AO22" s="288">
        <f t="shared" si="4"/>
        <v>0</v>
      </c>
      <c r="AP22" s="288">
        <f t="shared" si="4"/>
        <v>0</v>
      </c>
      <c r="AQ22" s="288">
        <f t="shared" si="4"/>
        <v>0</v>
      </c>
      <c r="AR22" s="288">
        <f t="shared" si="4"/>
        <v>0</v>
      </c>
      <c r="AS22" s="288">
        <f t="shared" si="4"/>
        <v>0</v>
      </c>
      <c r="AT22" s="288">
        <f t="shared" si="4"/>
        <v>0</v>
      </c>
      <c r="AU22" s="288">
        <f t="shared" si="4"/>
        <v>0</v>
      </c>
      <c r="AV22" s="288">
        <f t="shared" si="4"/>
        <v>0</v>
      </c>
      <c r="AW22" s="288">
        <f t="shared" si="4"/>
        <v>0</v>
      </c>
      <c r="AX22" s="288">
        <f t="shared" si="4"/>
        <v>0</v>
      </c>
      <c r="AY22" s="288">
        <f t="shared" si="4"/>
        <v>0</v>
      </c>
      <c r="AZ22" s="288">
        <f t="shared" si="4"/>
        <v>0</v>
      </c>
      <c r="BA22" s="288">
        <f t="shared" si="4"/>
        <v>0</v>
      </c>
      <c r="BB22" s="288">
        <f t="shared" si="4"/>
        <v>0</v>
      </c>
      <c r="BD22" s="287">
        <f t="shared" si="3"/>
        <v>0</v>
      </c>
    </row>
    <row r="23" spans="1:56">
      <c r="A23" s="283" t="s">
        <v>131</v>
      </c>
      <c r="B23" s="296" t="str">
        <f>VLOOKUP(A23,'DFP-Com'!$A$16:$B$50,2,1)</f>
        <v xml:space="preserve">     2.2.b  Feasiblity Studies/  Transaction Advisory Services</v>
      </c>
      <c r="C23" s="283" t="s">
        <v>171</v>
      </c>
      <c r="D23" s="223">
        <v>200000</v>
      </c>
      <c r="E23" s="283" t="s">
        <v>193</v>
      </c>
      <c r="I23" s="286">
        <v>0.25</v>
      </c>
      <c r="J23" s="286">
        <v>0.25</v>
      </c>
      <c r="K23" s="286">
        <v>0.25</v>
      </c>
      <c r="L23" s="286">
        <v>0.25</v>
      </c>
      <c r="U23" s="286">
        <f t="shared" si="0"/>
        <v>1</v>
      </c>
      <c r="X23" s="288">
        <f t="shared" si="5"/>
        <v>0</v>
      </c>
      <c r="Y23" s="288">
        <f t="shared" si="5"/>
        <v>0</v>
      </c>
      <c r="Z23" s="288">
        <f t="shared" si="5"/>
        <v>0</v>
      </c>
      <c r="AA23" s="288">
        <f t="shared" si="5"/>
        <v>50000</v>
      </c>
      <c r="AB23" s="288">
        <f t="shared" si="5"/>
        <v>50000</v>
      </c>
      <c r="AC23" s="288">
        <f t="shared" si="5"/>
        <v>50000</v>
      </c>
      <c r="AD23" s="288">
        <f t="shared" si="5"/>
        <v>50000</v>
      </c>
      <c r="AE23" s="288">
        <f t="shared" si="5"/>
        <v>0</v>
      </c>
      <c r="AF23" s="288">
        <f t="shared" si="5"/>
        <v>0</v>
      </c>
      <c r="AG23" s="288">
        <f t="shared" si="5"/>
        <v>0</v>
      </c>
      <c r="AH23" s="288">
        <f t="shared" si="5"/>
        <v>0</v>
      </c>
      <c r="AI23" s="288">
        <f t="shared" si="5"/>
        <v>0</v>
      </c>
      <c r="AJ23" s="288">
        <f t="shared" si="5"/>
        <v>0</v>
      </c>
      <c r="AK23" s="288">
        <f t="shared" si="5"/>
        <v>0</v>
      </c>
      <c r="AL23" s="288">
        <f t="shared" si="5"/>
        <v>0</v>
      </c>
      <c r="AM23" s="228"/>
      <c r="AN23" s="288">
        <f t="shared" si="4"/>
        <v>0</v>
      </c>
      <c r="AO23" s="288">
        <f t="shared" si="4"/>
        <v>0</v>
      </c>
      <c r="AP23" s="288">
        <f t="shared" si="4"/>
        <v>0</v>
      </c>
      <c r="AQ23" s="288">
        <f t="shared" si="4"/>
        <v>200000</v>
      </c>
      <c r="AR23" s="288">
        <f t="shared" si="4"/>
        <v>0</v>
      </c>
      <c r="AS23" s="288">
        <f t="shared" si="4"/>
        <v>0</v>
      </c>
      <c r="AT23" s="288">
        <f t="shared" si="4"/>
        <v>0</v>
      </c>
      <c r="AU23" s="288">
        <f t="shared" si="4"/>
        <v>0</v>
      </c>
      <c r="AV23" s="288">
        <f t="shared" si="4"/>
        <v>0</v>
      </c>
      <c r="AW23" s="288">
        <f t="shared" si="4"/>
        <v>0</v>
      </c>
      <c r="AX23" s="288">
        <f t="shared" si="4"/>
        <v>0</v>
      </c>
      <c r="AY23" s="288">
        <f t="shared" si="4"/>
        <v>0</v>
      </c>
      <c r="AZ23" s="288">
        <f t="shared" si="4"/>
        <v>0</v>
      </c>
      <c r="BA23" s="288">
        <f t="shared" si="4"/>
        <v>0</v>
      </c>
      <c r="BB23" s="288">
        <f t="shared" si="4"/>
        <v>0</v>
      </c>
      <c r="BD23" s="287">
        <f t="shared" si="3"/>
        <v>0</v>
      </c>
    </row>
    <row r="24" spans="1:56">
      <c r="A24" s="283" t="s">
        <v>131</v>
      </c>
      <c r="B24" s="296" t="str">
        <f>VLOOKUP(A24,'DFP-Com'!$A$16:$B$50,2,1)</f>
        <v xml:space="preserve">     2.2.b  Feasiblity Studies/  Transaction Advisory Services</v>
      </c>
      <c r="C24" s="283" t="s">
        <v>172</v>
      </c>
      <c r="D24" s="223">
        <v>350000</v>
      </c>
      <c r="E24" s="283" t="s">
        <v>193</v>
      </c>
      <c r="H24" s="303"/>
      <c r="I24" s="286">
        <v>0.25</v>
      </c>
      <c r="J24" s="286">
        <v>0.25</v>
      </c>
      <c r="K24" s="286">
        <v>0.25</v>
      </c>
      <c r="L24" s="286">
        <v>0.25</v>
      </c>
      <c r="U24" s="286">
        <f t="shared" si="0"/>
        <v>1</v>
      </c>
      <c r="X24" s="288">
        <f t="shared" si="5"/>
        <v>0</v>
      </c>
      <c r="Y24" s="288">
        <f t="shared" si="5"/>
        <v>0</v>
      </c>
      <c r="Z24" s="288">
        <f t="shared" si="5"/>
        <v>0</v>
      </c>
      <c r="AA24" s="288">
        <f t="shared" si="5"/>
        <v>87500</v>
      </c>
      <c r="AB24" s="288">
        <f t="shared" si="5"/>
        <v>87500</v>
      </c>
      <c r="AC24" s="288">
        <f t="shared" si="5"/>
        <v>87500</v>
      </c>
      <c r="AD24" s="288">
        <f t="shared" si="5"/>
        <v>87500</v>
      </c>
      <c r="AE24" s="288">
        <f t="shared" si="5"/>
        <v>0</v>
      </c>
      <c r="AF24" s="288">
        <f t="shared" si="5"/>
        <v>0</v>
      </c>
      <c r="AG24" s="288">
        <f t="shared" si="5"/>
        <v>0</v>
      </c>
      <c r="AH24" s="288">
        <f t="shared" si="5"/>
        <v>0</v>
      </c>
      <c r="AI24" s="288">
        <f t="shared" si="5"/>
        <v>0</v>
      </c>
      <c r="AJ24" s="288">
        <f t="shared" si="5"/>
        <v>0</v>
      </c>
      <c r="AK24" s="288">
        <f t="shared" si="5"/>
        <v>0</v>
      </c>
      <c r="AL24" s="288">
        <f t="shared" si="5"/>
        <v>0</v>
      </c>
      <c r="AM24" s="228"/>
      <c r="AN24" s="288">
        <f t="shared" si="4"/>
        <v>0</v>
      </c>
      <c r="AO24" s="288">
        <f t="shared" si="4"/>
        <v>0</v>
      </c>
      <c r="AP24" s="288">
        <f t="shared" si="4"/>
        <v>0</v>
      </c>
      <c r="AQ24" s="288">
        <f t="shared" si="4"/>
        <v>350000</v>
      </c>
      <c r="AR24" s="288">
        <f t="shared" si="4"/>
        <v>0</v>
      </c>
      <c r="AS24" s="288">
        <f t="shared" si="4"/>
        <v>0</v>
      </c>
      <c r="AT24" s="288">
        <f t="shared" si="4"/>
        <v>0</v>
      </c>
      <c r="AU24" s="288">
        <f t="shared" si="4"/>
        <v>0</v>
      </c>
      <c r="AV24" s="288">
        <f t="shared" si="4"/>
        <v>0</v>
      </c>
      <c r="AW24" s="288">
        <f t="shared" si="4"/>
        <v>0</v>
      </c>
      <c r="AX24" s="288">
        <f t="shared" si="4"/>
        <v>0</v>
      </c>
      <c r="AY24" s="288">
        <f t="shared" si="4"/>
        <v>0</v>
      </c>
      <c r="AZ24" s="288">
        <f t="shared" si="4"/>
        <v>0</v>
      </c>
      <c r="BA24" s="288">
        <f t="shared" si="4"/>
        <v>0</v>
      </c>
      <c r="BB24" s="288">
        <f t="shared" si="4"/>
        <v>0</v>
      </c>
      <c r="BD24" s="287">
        <f t="shared" si="3"/>
        <v>0</v>
      </c>
    </row>
    <row r="25" spans="1:56">
      <c r="A25" s="283" t="s">
        <v>131</v>
      </c>
      <c r="B25" s="296" t="str">
        <f>VLOOKUP(A25,'DFP-Com'!$A$16:$B$50,2,1)</f>
        <v xml:space="preserve">     2.2.b  Feasiblity Studies/  Transaction Advisory Services</v>
      </c>
      <c r="C25" s="283" t="s">
        <v>173</v>
      </c>
      <c r="D25" s="223">
        <v>50000</v>
      </c>
      <c r="E25" s="283" t="s">
        <v>190</v>
      </c>
      <c r="J25" s="286">
        <v>0.25</v>
      </c>
      <c r="K25" s="286">
        <v>0.25</v>
      </c>
      <c r="L25" s="286">
        <v>0.25</v>
      </c>
      <c r="M25" s="286">
        <v>0.25</v>
      </c>
      <c r="U25" s="286">
        <f t="shared" si="0"/>
        <v>1</v>
      </c>
      <c r="X25" s="288">
        <f t="shared" si="5"/>
        <v>0</v>
      </c>
      <c r="Y25" s="288">
        <f t="shared" si="5"/>
        <v>0</v>
      </c>
      <c r="Z25" s="288">
        <f t="shared" si="5"/>
        <v>0</v>
      </c>
      <c r="AA25" s="288">
        <f t="shared" si="5"/>
        <v>0</v>
      </c>
      <c r="AB25" s="288">
        <f t="shared" si="5"/>
        <v>12500</v>
      </c>
      <c r="AC25" s="288">
        <f t="shared" si="5"/>
        <v>12500</v>
      </c>
      <c r="AD25" s="288">
        <f t="shared" si="5"/>
        <v>12500</v>
      </c>
      <c r="AE25" s="288">
        <f t="shared" si="5"/>
        <v>12500</v>
      </c>
      <c r="AF25" s="288">
        <f t="shared" si="5"/>
        <v>0</v>
      </c>
      <c r="AG25" s="288">
        <f t="shared" si="5"/>
        <v>0</v>
      </c>
      <c r="AH25" s="288">
        <f t="shared" si="5"/>
        <v>0</v>
      </c>
      <c r="AI25" s="288">
        <f t="shared" si="5"/>
        <v>0</v>
      </c>
      <c r="AJ25" s="288">
        <f t="shared" si="5"/>
        <v>0</v>
      </c>
      <c r="AK25" s="288">
        <f t="shared" si="5"/>
        <v>0</v>
      </c>
      <c r="AL25" s="288">
        <f t="shared" si="5"/>
        <v>0</v>
      </c>
      <c r="AM25" s="228"/>
      <c r="AN25" s="288">
        <f t="shared" si="4"/>
        <v>0</v>
      </c>
      <c r="AO25" s="288">
        <f t="shared" si="4"/>
        <v>0</v>
      </c>
      <c r="AP25" s="288">
        <f t="shared" si="4"/>
        <v>0</v>
      </c>
      <c r="AQ25" s="288">
        <f t="shared" si="4"/>
        <v>0</v>
      </c>
      <c r="AR25" s="288">
        <f t="shared" si="4"/>
        <v>50000</v>
      </c>
      <c r="AS25" s="288">
        <f t="shared" si="4"/>
        <v>0</v>
      </c>
      <c r="AT25" s="288">
        <f t="shared" si="4"/>
        <v>0</v>
      </c>
      <c r="AU25" s="288">
        <f t="shared" si="4"/>
        <v>0</v>
      </c>
      <c r="AV25" s="288">
        <f t="shared" si="4"/>
        <v>0</v>
      </c>
      <c r="AW25" s="288">
        <f t="shared" si="4"/>
        <v>0</v>
      </c>
      <c r="AX25" s="288">
        <f t="shared" si="4"/>
        <v>0</v>
      </c>
      <c r="AY25" s="288">
        <f t="shared" si="4"/>
        <v>0</v>
      </c>
      <c r="AZ25" s="288">
        <f t="shared" si="4"/>
        <v>0</v>
      </c>
      <c r="BA25" s="288">
        <f t="shared" si="4"/>
        <v>0</v>
      </c>
      <c r="BB25" s="288">
        <f t="shared" si="4"/>
        <v>0</v>
      </c>
      <c r="BD25" s="287">
        <f t="shared" si="3"/>
        <v>0</v>
      </c>
    </row>
    <row r="26" spans="1:56">
      <c r="A26" s="283" t="s">
        <v>133</v>
      </c>
      <c r="B26" s="243" t="str">
        <f>VLOOKUP(A26,'DFP-Com'!$A$16:$B$50,2,1)</f>
        <v xml:space="preserve">     3.1.a  Student Assessment</v>
      </c>
      <c r="C26" s="234" t="s">
        <v>201</v>
      </c>
      <c r="D26" s="289">
        <v>100000</v>
      </c>
      <c r="E26" s="283" t="s">
        <v>193</v>
      </c>
      <c r="H26" s="303"/>
      <c r="I26" s="286">
        <v>0.25</v>
      </c>
      <c r="J26" s="286">
        <v>0.25</v>
      </c>
      <c r="K26" s="286">
        <v>0.25</v>
      </c>
      <c r="L26" s="286">
        <v>0.25</v>
      </c>
      <c r="U26" s="286">
        <f t="shared" si="0"/>
        <v>1</v>
      </c>
      <c r="X26" s="288">
        <f t="shared" si="5"/>
        <v>0</v>
      </c>
      <c r="Y26" s="288">
        <f t="shared" si="5"/>
        <v>0</v>
      </c>
      <c r="Z26" s="288">
        <f t="shared" si="5"/>
        <v>0</v>
      </c>
      <c r="AA26" s="288">
        <f t="shared" si="5"/>
        <v>25000</v>
      </c>
      <c r="AB26" s="288">
        <f t="shared" si="5"/>
        <v>25000</v>
      </c>
      <c r="AC26" s="288">
        <f t="shared" si="5"/>
        <v>25000</v>
      </c>
      <c r="AD26" s="288">
        <f t="shared" si="5"/>
        <v>25000</v>
      </c>
      <c r="AE26" s="288">
        <f t="shared" si="5"/>
        <v>0</v>
      </c>
      <c r="AF26" s="288">
        <f t="shared" si="5"/>
        <v>0</v>
      </c>
      <c r="AG26" s="288">
        <f t="shared" si="5"/>
        <v>0</v>
      </c>
      <c r="AH26" s="288">
        <f t="shared" si="5"/>
        <v>0</v>
      </c>
      <c r="AI26" s="288">
        <f t="shared" si="5"/>
        <v>0</v>
      </c>
      <c r="AJ26" s="288">
        <f t="shared" si="5"/>
        <v>0</v>
      </c>
      <c r="AK26" s="288">
        <f t="shared" si="5"/>
        <v>0</v>
      </c>
      <c r="AL26" s="288">
        <f t="shared" si="5"/>
        <v>0</v>
      </c>
      <c r="AM26" s="228"/>
      <c r="AN26" s="288">
        <f t="shared" si="4"/>
        <v>0</v>
      </c>
      <c r="AO26" s="288">
        <f t="shared" si="4"/>
        <v>0</v>
      </c>
      <c r="AP26" s="288">
        <f t="shared" si="4"/>
        <v>0</v>
      </c>
      <c r="AQ26" s="288">
        <f t="shared" si="4"/>
        <v>100000</v>
      </c>
      <c r="AR26" s="288">
        <f t="shared" si="4"/>
        <v>0</v>
      </c>
      <c r="AS26" s="288">
        <f t="shared" si="4"/>
        <v>0</v>
      </c>
      <c r="AT26" s="288">
        <f t="shared" si="4"/>
        <v>0</v>
      </c>
      <c r="AU26" s="288">
        <f t="shared" si="4"/>
        <v>0</v>
      </c>
      <c r="AV26" s="288">
        <f t="shared" si="4"/>
        <v>0</v>
      </c>
      <c r="AW26" s="288">
        <f t="shared" si="4"/>
        <v>0</v>
      </c>
      <c r="AX26" s="288">
        <f t="shared" si="4"/>
        <v>0</v>
      </c>
      <c r="AY26" s="288">
        <f t="shared" si="4"/>
        <v>0</v>
      </c>
      <c r="AZ26" s="288">
        <f t="shared" si="4"/>
        <v>0</v>
      </c>
      <c r="BA26" s="288">
        <f t="shared" si="4"/>
        <v>0</v>
      </c>
      <c r="BB26" s="288">
        <f t="shared" si="4"/>
        <v>0</v>
      </c>
      <c r="BD26" s="287">
        <f t="shared" si="3"/>
        <v>0</v>
      </c>
    </row>
    <row r="27" spans="1:56">
      <c r="A27" s="283" t="s">
        <v>133</v>
      </c>
      <c r="B27" s="243" t="str">
        <f>VLOOKUP(A27,'DFP-Com'!$A$16:$B$50,2,1)</f>
        <v xml:space="preserve">     3.1.a  Student Assessment</v>
      </c>
      <c r="C27" s="234" t="s">
        <v>201</v>
      </c>
      <c r="D27" s="289">
        <v>500000</v>
      </c>
      <c r="E27" s="283" t="s">
        <v>221</v>
      </c>
      <c r="Q27" s="286">
        <v>0.25</v>
      </c>
      <c r="R27" s="286">
        <v>0.25</v>
      </c>
      <c r="S27" s="286">
        <v>0.25</v>
      </c>
      <c r="T27" s="286">
        <v>0.25</v>
      </c>
      <c r="U27" s="286">
        <f t="shared" si="0"/>
        <v>1</v>
      </c>
      <c r="X27" s="288">
        <f t="shared" si="5"/>
        <v>0</v>
      </c>
      <c r="Y27" s="288">
        <f t="shared" si="5"/>
        <v>0</v>
      </c>
      <c r="Z27" s="288">
        <f t="shared" si="5"/>
        <v>0</v>
      </c>
      <c r="AA27" s="288">
        <f t="shared" si="5"/>
        <v>0</v>
      </c>
      <c r="AB27" s="288">
        <f t="shared" si="5"/>
        <v>0</v>
      </c>
      <c r="AC27" s="288">
        <f t="shared" si="5"/>
        <v>0</v>
      </c>
      <c r="AD27" s="288">
        <f t="shared" si="5"/>
        <v>0</v>
      </c>
      <c r="AE27" s="288">
        <f t="shared" si="5"/>
        <v>0</v>
      </c>
      <c r="AF27" s="288">
        <f t="shared" si="5"/>
        <v>0</v>
      </c>
      <c r="AG27" s="288">
        <f t="shared" si="5"/>
        <v>0</v>
      </c>
      <c r="AH27" s="288">
        <f t="shared" si="5"/>
        <v>0</v>
      </c>
      <c r="AI27" s="288">
        <f t="shared" si="5"/>
        <v>125000</v>
      </c>
      <c r="AJ27" s="288">
        <f t="shared" si="5"/>
        <v>125000</v>
      </c>
      <c r="AK27" s="288">
        <f t="shared" si="5"/>
        <v>125000</v>
      </c>
      <c r="AL27" s="288">
        <f t="shared" si="5"/>
        <v>125000</v>
      </c>
      <c r="AM27" s="228"/>
      <c r="AN27" s="288">
        <f t="shared" si="4"/>
        <v>0</v>
      </c>
      <c r="AO27" s="288">
        <f t="shared" si="4"/>
        <v>0</v>
      </c>
      <c r="AP27" s="288">
        <f t="shared" si="4"/>
        <v>0</v>
      </c>
      <c r="AQ27" s="288">
        <f t="shared" si="4"/>
        <v>0</v>
      </c>
      <c r="AR27" s="288">
        <f t="shared" si="4"/>
        <v>0</v>
      </c>
      <c r="AS27" s="288">
        <f t="shared" si="4"/>
        <v>0</v>
      </c>
      <c r="AT27" s="288">
        <f t="shared" si="4"/>
        <v>0</v>
      </c>
      <c r="AU27" s="288">
        <f t="shared" si="4"/>
        <v>0</v>
      </c>
      <c r="AV27" s="288">
        <f t="shared" si="4"/>
        <v>0</v>
      </c>
      <c r="AW27" s="288">
        <f t="shared" si="4"/>
        <v>0</v>
      </c>
      <c r="AX27" s="288">
        <f t="shared" si="4"/>
        <v>0</v>
      </c>
      <c r="AY27" s="288">
        <f t="shared" si="4"/>
        <v>500000</v>
      </c>
      <c r="AZ27" s="288">
        <f t="shared" si="4"/>
        <v>0</v>
      </c>
      <c r="BA27" s="288">
        <f t="shared" si="4"/>
        <v>0</v>
      </c>
      <c r="BB27" s="288">
        <f t="shared" si="4"/>
        <v>0</v>
      </c>
      <c r="BD27" s="287">
        <f t="shared" si="3"/>
        <v>0</v>
      </c>
    </row>
    <row r="28" spans="1:56">
      <c r="A28" s="283" t="s">
        <v>133</v>
      </c>
      <c r="B28" s="243" t="str">
        <f>VLOOKUP(A28,'DFP-Com'!$A$16:$B$50,2,1)</f>
        <v xml:space="preserve">     3.1.a  Student Assessment</v>
      </c>
      <c r="C28" s="283" t="s">
        <v>211</v>
      </c>
      <c r="D28" s="223">
        <v>7200</v>
      </c>
      <c r="E28" s="283" t="s">
        <v>193</v>
      </c>
      <c r="H28" s="303"/>
      <c r="I28" s="286">
        <v>0.3</v>
      </c>
      <c r="J28" s="286">
        <v>0.7</v>
      </c>
      <c r="K28" s="286"/>
      <c r="Q28" s="286"/>
      <c r="R28" s="286"/>
      <c r="S28" s="286"/>
      <c r="T28" s="286"/>
      <c r="U28" s="286">
        <f t="shared" si="0"/>
        <v>1</v>
      </c>
      <c r="X28" s="288">
        <f t="shared" si="5"/>
        <v>0</v>
      </c>
      <c r="Y28" s="288">
        <f t="shared" si="5"/>
        <v>0</v>
      </c>
      <c r="Z28" s="288">
        <f t="shared" si="5"/>
        <v>0</v>
      </c>
      <c r="AA28" s="288">
        <f t="shared" si="5"/>
        <v>2160</v>
      </c>
      <c r="AB28" s="288">
        <f t="shared" si="5"/>
        <v>5040</v>
      </c>
      <c r="AC28" s="288">
        <f t="shared" si="5"/>
        <v>0</v>
      </c>
      <c r="AD28" s="288">
        <f t="shared" si="5"/>
        <v>0</v>
      </c>
      <c r="AE28" s="288">
        <f t="shared" si="5"/>
        <v>0</v>
      </c>
      <c r="AF28" s="288">
        <f t="shared" si="5"/>
        <v>0</v>
      </c>
      <c r="AG28" s="288">
        <f t="shared" si="5"/>
        <v>0</v>
      </c>
      <c r="AH28" s="288">
        <f t="shared" si="5"/>
        <v>0</v>
      </c>
      <c r="AI28" s="288">
        <f t="shared" si="5"/>
        <v>0</v>
      </c>
      <c r="AJ28" s="288">
        <f t="shared" si="5"/>
        <v>0</v>
      </c>
      <c r="AK28" s="288">
        <f t="shared" si="5"/>
        <v>0</v>
      </c>
      <c r="AL28" s="288">
        <f t="shared" si="5"/>
        <v>0</v>
      </c>
      <c r="AM28" s="228"/>
      <c r="AN28" s="288">
        <f t="shared" si="4"/>
        <v>0</v>
      </c>
      <c r="AO28" s="288">
        <f t="shared" si="4"/>
        <v>0</v>
      </c>
      <c r="AP28" s="288">
        <f t="shared" si="4"/>
        <v>0</v>
      </c>
      <c r="AQ28" s="288">
        <f t="shared" si="4"/>
        <v>7200</v>
      </c>
      <c r="AR28" s="288">
        <f t="shared" si="4"/>
        <v>0</v>
      </c>
      <c r="AS28" s="288">
        <f t="shared" si="4"/>
        <v>0</v>
      </c>
      <c r="AT28" s="288">
        <f t="shared" si="4"/>
        <v>0</v>
      </c>
      <c r="AU28" s="288">
        <f t="shared" si="4"/>
        <v>0</v>
      </c>
      <c r="AV28" s="288">
        <f t="shared" si="4"/>
        <v>0</v>
      </c>
      <c r="AW28" s="288">
        <f t="shared" si="4"/>
        <v>0</v>
      </c>
      <c r="AX28" s="288">
        <f t="shared" si="4"/>
        <v>0</v>
      </c>
      <c r="AY28" s="288">
        <f t="shared" si="4"/>
        <v>0</v>
      </c>
      <c r="AZ28" s="288">
        <f t="shared" si="4"/>
        <v>0</v>
      </c>
      <c r="BA28" s="288">
        <f t="shared" si="4"/>
        <v>0</v>
      </c>
      <c r="BB28" s="288">
        <f t="shared" si="4"/>
        <v>0</v>
      </c>
      <c r="BD28" s="287"/>
    </row>
    <row r="29" spans="1:56">
      <c r="A29" s="283" t="s">
        <v>133</v>
      </c>
      <c r="B29" s="243" t="str">
        <f>VLOOKUP(A29,'DFP-Com'!$A$16:$B$50,2,1)</f>
        <v xml:space="preserve">     3.1.a  Student Assessment</v>
      </c>
      <c r="C29" s="283" t="s">
        <v>212</v>
      </c>
      <c r="D29" s="223">
        <v>19200</v>
      </c>
      <c r="E29" s="283" t="s">
        <v>193</v>
      </c>
      <c r="H29" s="303"/>
      <c r="I29" s="286">
        <v>0.3</v>
      </c>
      <c r="J29" s="286">
        <v>0.7</v>
      </c>
      <c r="K29" s="286"/>
      <c r="Q29" s="286"/>
      <c r="R29" s="286"/>
      <c r="S29" s="286"/>
      <c r="T29" s="286"/>
      <c r="U29" s="286">
        <f t="shared" si="0"/>
        <v>1</v>
      </c>
      <c r="X29" s="288">
        <f t="shared" si="5"/>
        <v>0</v>
      </c>
      <c r="Y29" s="288">
        <f t="shared" si="5"/>
        <v>0</v>
      </c>
      <c r="Z29" s="288">
        <f t="shared" si="5"/>
        <v>0</v>
      </c>
      <c r="AA29" s="288">
        <f t="shared" si="5"/>
        <v>5760</v>
      </c>
      <c r="AB29" s="288">
        <f t="shared" si="5"/>
        <v>13440</v>
      </c>
      <c r="AC29" s="288">
        <f t="shared" si="5"/>
        <v>0</v>
      </c>
      <c r="AD29" s="288">
        <f t="shared" si="5"/>
        <v>0</v>
      </c>
      <c r="AE29" s="288">
        <f t="shared" si="5"/>
        <v>0</v>
      </c>
      <c r="AF29" s="288">
        <f t="shared" si="5"/>
        <v>0</v>
      </c>
      <c r="AG29" s="288">
        <f t="shared" si="5"/>
        <v>0</v>
      </c>
      <c r="AH29" s="288">
        <f t="shared" si="5"/>
        <v>0</v>
      </c>
      <c r="AI29" s="288">
        <f t="shared" si="5"/>
        <v>0</v>
      </c>
      <c r="AJ29" s="288">
        <f t="shared" si="5"/>
        <v>0</v>
      </c>
      <c r="AK29" s="288">
        <f t="shared" si="5"/>
        <v>0</v>
      </c>
      <c r="AL29" s="288">
        <f t="shared" si="5"/>
        <v>0</v>
      </c>
      <c r="AM29" s="228"/>
      <c r="AN29" s="288">
        <f t="shared" si="4"/>
        <v>0</v>
      </c>
      <c r="AO29" s="288">
        <f t="shared" si="4"/>
        <v>0</v>
      </c>
      <c r="AP29" s="288">
        <f t="shared" si="4"/>
        <v>0</v>
      </c>
      <c r="AQ29" s="288">
        <f t="shared" si="4"/>
        <v>19200</v>
      </c>
      <c r="AR29" s="288">
        <f t="shared" si="4"/>
        <v>0</v>
      </c>
      <c r="AS29" s="288">
        <f t="shared" si="4"/>
        <v>0</v>
      </c>
      <c r="AT29" s="288">
        <f t="shared" si="4"/>
        <v>0</v>
      </c>
      <c r="AU29" s="288">
        <f t="shared" si="4"/>
        <v>0</v>
      </c>
      <c r="AV29" s="288">
        <f t="shared" si="4"/>
        <v>0</v>
      </c>
      <c r="AW29" s="288">
        <f t="shared" si="4"/>
        <v>0</v>
      </c>
      <c r="AX29" s="288">
        <f t="shared" si="4"/>
        <v>0</v>
      </c>
      <c r="AY29" s="288">
        <f t="shared" si="4"/>
        <v>0</v>
      </c>
      <c r="AZ29" s="288">
        <f t="shared" si="4"/>
        <v>0</v>
      </c>
      <c r="BA29" s="288">
        <f t="shared" si="4"/>
        <v>0</v>
      </c>
      <c r="BB29" s="288">
        <f t="shared" si="4"/>
        <v>0</v>
      </c>
      <c r="BD29" s="287"/>
    </row>
    <row r="30" spans="1:56">
      <c r="A30" s="283" t="s">
        <v>133</v>
      </c>
      <c r="B30" s="243" t="str">
        <f>VLOOKUP(A30,'DFP-Com'!$A$16:$B$50,2,1)</f>
        <v xml:space="preserve">     3.1.a  Student Assessment</v>
      </c>
      <c r="C30" s="283" t="s">
        <v>213</v>
      </c>
      <c r="D30" s="223">
        <v>8000</v>
      </c>
      <c r="E30" s="283" t="s">
        <v>161</v>
      </c>
      <c r="H30" s="303">
        <v>0.5</v>
      </c>
      <c r="I30" s="286">
        <v>0.5</v>
      </c>
      <c r="Q30" s="286"/>
      <c r="R30" s="286"/>
      <c r="S30" s="286"/>
      <c r="T30" s="286"/>
      <c r="U30" s="286">
        <f t="shared" si="0"/>
        <v>1</v>
      </c>
      <c r="X30" s="288">
        <f t="shared" si="5"/>
        <v>0</v>
      </c>
      <c r="Y30" s="288">
        <f t="shared" si="5"/>
        <v>0</v>
      </c>
      <c r="Z30" s="288">
        <f t="shared" si="5"/>
        <v>4000</v>
      </c>
      <c r="AA30" s="288">
        <f t="shared" si="5"/>
        <v>4000</v>
      </c>
      <c r="AB30" s="288">
        <f t="shared" si="5"/>
        <v>0</v>
      </c>
      <c r="AC30" s="288">
        <f t="shared" si="5"/>
        <v>0</v>
      </c>
      <c r="AD30" s="288">
        <f t="shared" si="5"/>
        <v>0</v>
      </c>
      <c r="AE30" s="288">
        <f t="shared" si="5"/>
        <v>0</v>
      </c>
      <c r="AF30" s="288">
        <f t="shared" si="5"/>
        <v>0</v>
      </c>
      <c r="AG30" s="288">
        <f t="shared" si="5"/>
        <v>0</v>
      </c>
      <c r="AH30" s="288">
        <f t="shared" si="5"/>
        <v>0</v>
      </c>
      <c r="AI30" s="288">
        <f t="shared" si="5"/>
        <v>0</v>
      </c>
      <c r="AJ30" s="288">
        <f t="shared" si="5"/>
        <v>0</v>
      </c>
      <c r="AK30" s="288">
        <f t="shared" si="5"/>
        <v>0</v>
      </c>
      <c r="AL30" s="288">
        <f t="shared" si="5"/>
        <v>0</v>
      </c>
      <c r="AM30" s="228"/>
      <c r="AN30" s="288">
        <f t="shared" si="4"/>
        <v>0</v>
      </c>
      <c r="AO30" s="288">
        <f t="shared" si="4"/>
        <v>0</v>
      </c>
      <c r="AP30" s="288">
        <f t="shared" si="4"/>
        <v>8000</v>
      </c>
      <c r="AQ30" s="288">
        <f t="shared" si="4"/>
        <v>0</v>
      </c>
      <c r="AR30" s="288">
        <f t="shared" si="4"/>
        <v>0</v>
      </c>
      <c r="AS30" s="288">
        <f t="shared" si="4"/>
        <v>0</v>
      </c>
      <c r="AT30" s="288">
        <f t="shared" si="4"/>
        <v>0</v>
      </c>
      <c r="AU30" s="288">
        <f t="shared" si="4"/>
        <v>0</v>
      </c>
      <c r="AV30" s="288">
        <f t="shared" si="4"/>
        <v>0</v>
      </c>
      <c r="AW30" s="288">
        <f t="shared" si="4"/>
        <v>0</v>
      </c>
      <c r="AX30" s="288">
        <f t="shared" si="4"/>
        <v>0</v>
      </c>
      <c r="AY30" s="288">
        <f t="shared" si="4"/>
        <v>0</v>
      </c>
      <c r="AZ30" s="288">
        <f t="shared" si="4"/>
        <v>0</v>
      </c>
      <c r="BA30" s="288">
        <f t="shared" si="4"/>
        <v>0</v>
      </c>
      <c r="BB30" s="288">
        <f t="shared" si="4"/>
        <v>0</v>
      </c>
      <c r="BD30" s="287"/>
    </row>
    <row r="31" spans="1:56">
      <c r="A31" s="283" t="s">
        <v>133</v>
      </c>
      <c r="B31" s="243" t="str">
        <f>VLOOKUP(A31,'DFP-Com'!$A$16:$B$50,2,1)</f>
        <v xml:space="preserve">     3.1.a  Student Assessment</v>
      </c>
      <c r="C31" s="283" t="s">
        <v>214</v>
      </c>
      <c r="D31" s="223">
        <v>72000</v>
      </c>
      <c r="E31" s="283" t="s">
        <v>161</v>
      </c>
      <c r="H31" s="303">
        <v>8.3333333333333301E-2</v>
      </c>
      <c r="I31" s="286">
        <v>8.3333333333333301E-2</v>
      </c>
      <c r="J31" s="286">
        <v>8.3333333333333301E-2</v>
      </c>
      <c r="K31" s="286">
        <v>8.3333333333333301E-2</v>
      </c>
      <c r="L31" s="286">
        <v>8.3333333333333301E-2</v>
      </c>
      <c r="M31" s="286">
        <v>8.3333333333333301E-2</v>
      </c>
      <c r="N31" s="286">
        <v>8.3333333333333301E-2</v>
      </c>
      <c r="O31" s="286">
        <v>8.3333333333333301E-2</v>
      </c>
      <c r="P31" s="286">
        <v>8.3333333333333301E-2</v>
      </c>
      <c r="Q31" s="286">
        <v>8.3333333333333301E-2</v>
      </c>
      <c r="R31" s="286">
        <v>8.3333333333333301E-2</v>
      </c>
      <c r="S31" s="286">
        <v>8.3333333333333301E-2</v>
      </c>
      <c r="T31" s="286"/>
      <c r="U31" s="286">
        <f t="shared" si="0"/>
        <v>0.99999999999999944</v>
      </c>
      <c r="X31" s="288">
        <f t="shared" si="5"/>
        <v>0</v>
      </c>
      <c r="Y31" s="288">
        <f t="shared" si="5"/>
        <v>0</v>
      </c>
      <c r="Z31" s="288">
        <f t="shared" si="5"/>
        <v>5999.9999999999973</v>
      </c>
      <c r="AA31" s="288">
        <f t="shared" si="5"/>
        <v>5999.9999999999973</v>
      </c>
      <c r="AB31" s="288">
        <f t="shared" si="5"/>
        <v>5999.9999999999973</v>
      </c>
      <c r="AC31" s="288">
        <f t="shared" si="5"/>
        <v>5999.9999999999973</v>
      </c>
      <c r="AD31" s="288">
        <f t="shared" si="5"/>
        <v>5999.9999999999973</v>
      </c>
      <c r="AE31" s="288">
        <f t="shared" si="5"/>
        <v>5999.9999999999973</v>
      </c>
      <c r="AF31" s="288">
        <f t="shared" si="5"/>
        <v>5999.9999999999973</v>
      </c>
      <c r="AG31" s="288">
        <f t="shared" si="5"/>
        <v>5999.9999999999973</v>
      </c>
      <c r="AH31" s="288">
        <f t="shared" si="5"/>
        <v>5999.9999999999973</v>
      </c>
      <c r="AI31" s="288">
        <f t="shared" si="5"/>
        <v>5999.9999999999973</v>
      </c>
      <c r="AJ31" s="288">
        <f t="shared" si="5"/>
        <v>5999.9999999999973</v>
      </c>
      <c r="AK31" s="288">
        <f t="shared" si="5"/>
        <v>5999.9999999999973</v>
      </c>
      <c r="AL31" s="288">
        <f t="shared" si="5"/>
        <v>0</v>
      </c>
      <c r="AM31" s="228"/>
      <c r="AN31" s="288">
        <f t="shared" si="4"/>
        <v>0</v>
      </c>
      <c r="AO31" s="288">
        <f t="shared" si="4"/>
        <v>0</v>
      </c>
      <c r="AP31" s="288">
        <f t="shared" si="4"/>
        <v>72000</v>
      </c>
      <c r="AQ31" s="288">
        <f t="shared" si="4"/>
        <v>0</v>
      </c>
      <c r="AR31" s="288">
        <f t="shared" si="4"/>
        <v>0</v>
      </c>
      <c r="AS31" s="288">
        <f t="shared" si="4"/>
        <v>0</v>
      </c>
      <c r="AT31" s="288">
        <f t="shared" si="4"/>
        <v>0</v>
      </c>
      <c r="AU31" s="288">
        <f t="shared" si="4"/>
        <v>0</v>
      </c>
      <c r="AV31" s="288">
        <f t="shared" si="4"/>
        <v>0</v>
      </c>
      <c r="AW31" s="288">
        <f t="shared" si="4"/>
        <v>0</v>
      </c>
      <c r="AX31" s="288">
        <f t="shared" si="4"/>
        <v>0</v>
      </c>
      <c r="AY31" s="288">
        <f t="shared" si="4"/>
        <v>0</v>
      </c>
      <c r="AZ31" s="288">
        <f t="shared" si="4"/>
        <v>0</v>
      </c>
      <c r="BA31" s="288">
        <f t="shared" si="4"/>
        <v>0</v>
      </c>
      <c r="BB31" s="288">
        <f t="shared" si="4"/>
        <v>0</v>
      </c>
      <c r="BD31" s="287"/>
    </row>
    <row r="32" spans="1:56">
      <c r="A32" s="283" t="s">
        <v>134</v>
      </c>
      <c r="B32" s="243" t="str">
        <f>VLOOKUP(A32,'DFP-Com'!$A$16:$B$50,2,1)</f>
        <v xml:space="preserve">     3.1.b  Teacher Evaluations</v>
      </c>
      <c r="C32" s="234" t="s">
        <v>201</v>
      </c>
      <c r="D32" s="223">
        <v>100000</v>
      </c>
      <c r="E32" s="283" t="s">
        <v>193</v>
      </c>
      <c r="I32" s="286">
        <v>0.25</v>
      </c>
      <c r="J32" s="286">
        <v>0.25</v>
      </c>
      <c r="K32" s="286">
        <v>0.25</v>
      </c>
      <c r="L32" s="286">
        <v>0.25</v>
      </c>
      <c r="U32" s="286">
        <f t="shared" si="0"/>
        <v>1</v>
      </c>
      <c r="X32" s="288">
        <f t="shared" si="5"/>
        <v>0</v>
      </c>
      <c r="Y32" s="288">
        <f t="shared" si="5"/>
        <v>0</v>
      </c>
      <c r="Z32" s="288">
        <f t="shared" si="5"/>
        <v>0</v>
      </c>
      <c r="AA32" s="288">
        <f t="shared" si="5"/>
        <v>25000</v>
      </c>
      <c r="AB32" s="288">
        <f t="shared" si="5"/>
        <v>25000</v>
      </c>
      <c r="AC32" s="288">
        <f t="shared" si="5"/>
        <v>25000</v>
      </c>
      <c r="AD32" s="288">
        <f t="shared" si="5"/>
        <v>25000</v>
      </c>
      <c r="AE32" s="288">
        <f t="shared" si="5"/>
        <v>0</v>
      </c>
      <c r="AF32" s="288">
        <f t="shared" si="5"/>
        <v>0</v>
      </c>
      <c r="AG32" s="288">
        <f t="shared" si="5"/>
        <v>0</v>
      </c>
      <c r="AH32" s="288">
        <f t="shared" si="5"/>
        <v>0</v>
      </c>
      <c r="AI32" s="288">
        <f t="shared" si="5"/>
        <v>0</v>
      </c>
      <c r="AJ32" s="288">
        <f t="shared" si="5"/>
        <v>0</v>
      </c>
      <c r="AK32" s="288">
        <f t="shared" si="5"/>
        <v>0</v>
      </c>
      <c r="AL32" s="288">
        <f t="shared" si="5"/>
        <v>0</v>
      </c>
      <c r="AM32" s="228"/>
      <c r="AN32" s="288">
        <f t="shared" si="4"/>
        <v>0</v>
      </c>
      <c r="AO32" s="288">
        <f t="shared" si="4"/>
        <v>0</v>
      </c>
      <c r="AP32" s="288">
        <f t="shared" si="4"/>
        <v>0</v>
      </c>
      <c r="AQ32" s="288">
        <f t="shared" si="4"/>
        <v>100000</v>
      </c>
      <c r="AR32" s="288">
        <f t="shared" si="4"/>
        <v>0</v>
      </c>
      <c r="AS32" s="288">
        <f t="shared" si="4"/>
        <v>0</v>
      </c>
      <c r="AT32" s="288">
        <f t="shared" si="4"/>
        <v>0</v>
      </c>
      <c r="AU32" s="288">
        <f t="shared" si="4"/>
        <v>0</v>
      </c>
      <c r="AV32" s="288">
        <f t="shared" si="4"/>
        <v>0</v>
      </c>
      <c r="AW32" s="288">
        <f t="shared" si="4"/>
        <v>0</v>
      </c>
      <c r="AX32" s="288">
        <f t="shared" si="4"/>
        <v>0</v>
      </c>
      <c r="AY32" s="288">
        <f t="shared" si="4"/>
        <v>0</v>
      </c>
      <c r="AZ32" s="288">
        <f t="shared" si="4"/>
        <v>0</v>
      </c>
      <c r="BA32" s="288">
        <f t="shared" si="4"/>
        <v>0</v>
      </c>
      <c r="BB32" s="288">
        <f t="shared" si="4"/>
        <v>0</v>
      </c>
      <c r="BD32" s="287">
        <f t="shared" ref="BD32:BD38" si="6">SUM(X32:AL32)-SUM(AN32:BB32)</f>
        <v>0</v>
      </c>
    </row>
    <row r="33" spans="1:56">
      <c r="A33" s="283" t="s">
        <v>134</v>
      </c>
      <c r="B33" s="243" t="str">
        <f>VLOOKUP(A33,'DFP-Com'!$A$16:$B$50,2,1)</f>
        <v xml:space="preserve">     3.1.b  Teacher Evaluations</v>
      </c>
      <c r="C33" s="234" t="s">
        <v>201</v>
      </c>
      <c r="D33" s="223">
        <v>200000</v>
      </c>
      <c r="E33" s="283" t="s">
        <v>202</v>
      </c>
      <c r="Q33" s="286">
        <v>0.25</v>
      </c>
      <c r="R33" s="286">
        <v>0.25</v>
      </c>
      <c r="S33" s="286">
        <v>0.25</v>
      </c>
      <c r="T33" s="286">
        <v>0.25</v>
      </c>
      <c r="U33" s="286">
        <f t="shared" si="0"/>
        <v>1</v>
      </c>
      <c r="X33" s="288">
        <f t="shared" si="5"/>
        <v>0</v>
      </c>
      <c r="Y33" s="288">
        <f t="shared" si="5"/>
        <v>0</v>
      </c>
      <c r="Z33" s="288">
        <f t="shared" si="5"/>
        <v>0</v>
      </c>
      <c r="AA33" s="288">
        <f t="shared" si="5"/>
        <v>0</v>
      </c>
      <c r="AB33" s="288">
        <f t="shared" si="5"/>
        <v>0</v>
      </c>
      <c r="AC33" s="288">
        <f t="shared" si="5"/>
        <v>0</v>
      </c>
      <c r="AD33" s="288">
        <f t="shared" si="5"/>
        <v>0</v>
      </c>
      <c r="AE33" s="288">
        <f t="shared" si="5"/>
        <v>0</v>
      </c>
      <c r="AF33" s="288">
        <f t="shared" si="5"/>
        <v>0</v>
      </c>
      <c r="AG33" s="288">
        <f t="shared" si="5"/>
        <v>0</v>
      </c>
      <c r="AH33" s="288">
        <f t="shared" si="5"/>
        <v>0</v>
      </c>
      <c r="AI33" s="288">
        <f t="shared" si="5"/>
        <v>50000</v>
      </c>
      <c r="AJ33" s="288">
        <f t="shared" si="5"/>
        <v>50000</v>
      </c>
      <c r="AK33" s="288">
        <f t="shared" si="5"/>
        <v>50000</v>
      </c>
      <c r="AL33" s="288">
        <f t="shared" si="5"/>
        <v>50000</v>
      </c>
      <c r="AM33" s="228"/>
      <c r="AN33" s="288">
        <f t="shared" si="4"/>
        <v>0</v>
      </c>
      <c r="AO33" s="288">
        <f t="shared" si="4"/>
        <v>0</v>
      </c>
      <c r="AP33" s="288">
        <f t="shared" si="4"/>
        <v>0</v>
      </c>
      <c r="AQ33" s="288">
        <f t="shared" si="4"/>
        <v>0</v>
      </c>
      <c r="AR33" s="288">
        <f t="shared" si="4"/>
        <v>0</v>
      </c>
      <c r="AS33" s="288">
        <f t="shared" si="4"/>
        <v>0</v>
      </c>
      <c r="AT33" s="288">
        <f t="shared" si="4"/>
        <v>0</v>
      </c>
      <c r="AU33" s="288">
        <f t="shared" si="4"/>
        <v>0</v>
      </c>
      <c r="AV33" s="288">
        <f t="shared" si="4"/>
        <v>0</v>
      </c>
      <c r="AW33" s="288">
        <f t="shared" si="4"/>
        <v>0</v>
      </c>
      <c r="AX33" s="288">
        <f t="shared" si="4"/>
        <v>0</v>
      </c>
      <c r="AY33" s="288">
        <f t="shared" si="4"/>
        <v>0</v>
      </c>
      <c r="AZ33" s="288">
        <f t="shared" si="4"/>
        <v>0</v>
      </c>
      <c r="BA33" s="288">
        <f t="shared" si="4"/>
        <v>0</v>
      </c>
      <c r="BB33" s="288">
        <f t="shared" si="4"/>
        <v>200000</v>
      </c>
      <c r="BD33" s="287">
        <f t="shared" si="6"/>
        <v>0</v>
      </c>
    </row>
    <row r="34" spans="1:56">
      <c r="A34" s="283" t="s">
        <v>135</v>
      </c>
      <c r="B34" s="243" t="str">
        <f>VLOOKUP(A34,'DFP-Com'!$A$16:$B$50,2,1)</f>
        <v xml:space="preserve">     3.1.c  Voc Ed Tracer Studies</v>
      </c>
      <c r="C34" s="234" t="s">
        <v>201</v>
      </c>
      <c r="D34" s="223">
        <v>100000</v>
      </c>
      <c r="E34" s="283" t="s">
        <v>175</v>
      </c>
      <c r="L34" s="286">
        <v>0.25</v>
      </c>
      <c r="M34" s="286">
        <v>0.25</v>
      </c>
      <c r="N34" s="286">
        <v>0.25</v>
      </c>
      <c r="O34" s="286">
        <v>0.25</v>
      </c>
      <c r="U34" s="286">
        <f t="shared" si="0"/>
        <v>1</v>
      </c>
      <c r="X34" s="288">
        <f t="shared" si="5"/>
        <v>0</v>
      </c>
      <c r="Y34" s="288">
        <f t="shared" si="5"/>
        <v>0</v>
      </c>
      <c r="Z34" s="288">
        <f t="shared" si="5"/>
        <v>0</v>
      </c>
      <c r="AA34" s="288">
        <f t="shared" si="5"/>
        <v>0</v>
      </c>
      <c r="AB34" s="288">
        <f t="shared" si="5"/>
        <v>0</v>
      </c>
      <c r="AC34" s="288">
        <f t="shared" si="5"/>
        <v>0</v>
      </c>
      <c r="AD34" s="288">
        <f t="shared" si="5"/>
        <v>25000</v>
      </c>
      <c r="AE34" s="288">
        <f t="shared" si="5"/>
        <v>25000</v>
      </c>
      <c r="AF34" s="288">
        <f t="shared" si="5"/>
        <v>25000</v>
      </c>
      <c r="AG34" s="288">
        <f t="shared" si="5"/>
        <v>25000</v>
      </c>
      <c r="AH34" s="288">
        <f t="shared" si="5"/>
        <v>0</v>
      </c>
      <c r="AI34" s="288">
        <f t="shared" si="5"/>
        <v>0</v>
      </c>
      <c r="AJ34" s="288">
        <f t="shared" si="5"/>
        <v>0</v>
      </c>
      <c r="AK34" s="288">
        <f t="shared" si="5"/>
        <v>0</v>
      </c>
      <c r="AL34" s="288">
        <f t="shared" si="5"/>
        <v>0</v>
      </c>
      <c r="AM34" s="228"/>
      <c r="AN34" s="288">
        <f t="shared" si="4"/>
        <v>0</v>
      </c>
      <c r="AO34" s="288">
        <f t="shared" si="4"/>
        <v>0</v>
      </c>
      <c r="AP34" s="288">
        <f t="shared" si="4"/>
        <v>0</v>
      </c>
      <c r="AQ34" s="288">
        <f t="shared" si="4"/>
        <v>0</v>
      </c>
      <c r="AR34" s="288">
        <f t="shared" si="4"/>
        <v>0</v>
      </c>
      <c r="AS34" s="288">
        <f t="shared" si="4"/>
        <v>0</v>
      </c>
      <c r="AT34" s="288">
        <f t="shared" si="4"/>
        <v>100000</v>
      </c>
      <c r="AU34" s="288">
        <f t="shared" si="4"/>
        <v>0</v>
      </c>
      <c r="AV34" s="288">
        <f t="shared" si="4"/>
        <v>0</v>
      </c>
      <c r="AW34" s="288">
        <f t="shared" si="4"/>
        <v>0</v>
      </c>
      <c r="AX34" s="288">
        <f t="shared" si="4"/>
        <v>0</v>
      </c>
      <c r="AY34" s="288">
        <f t="shared" si="4"/>
        <v>0</v>
      </c>
      <c r="AZ34" s="288">
        <f t="shared" si="4"/>
        <v>0</v>
      </c>
      <c r="BA34" s="288">
        <f t="shared" si="4"/>
        <v>0</v>
      </c>
      <c r="BB34" s="288">
        <f t="shared" si="4"/>
        <v>0</v>
      </c>
      <c r="BD34" s="287">
        <f t="shared" si="6"/>
        <v>0</v>
      </c>
    </row>
    <row r="35" spans="1:56">
      <c r="A35" s="283" t="s">
        <v>135</v>
      </c>
      <c r="B35" s="243" t="str">
        <f>VLOOKUP(A35,'DFP-Com'!$A$16:$B$50,2,1)</f>
        <v xml:space="preserve">     3.1.c  Voc Ed Tracer Studies</v>
      </c>
      <c r="C35" s="234" t="s">
        <v>201</v>
      </c>
      <c r="D35" s="223">
        <v>200000</v>
      </c>
      <c r="E35" s="283" t="s">
        <v>202</v>
      </c>
      <c r="Q35" s="286">
        <v>0.25</v>
      </c>
      <c r="R35" s="286">
        <v>0.25</v>
      </c>
      <c r="S35" s="286">
        <v>0.25</v>
      </c>
      <c r="T35" s="286">
        <v>0.25</v>
      </c>
      <c r="U35" s="286">
        <f t="shared" si="0"/>
        <v>1</v>
      </c>
      <c r="X35" s="288">
        <f t="shared" si="5"/>
        <v>0</v>
      </c>
      <c r="Y35" s="288">
        <f t="shared" si="5"/>
        <v>0</v>
      </c>
      <c r="Z35" s="288">
        <f t="shared" si="5"/>
        <v>0</v>
      </c>
      <c r="AA35" s="288">
        <f t="shared" si="5"/>
        <v>0</v>
      </c>
      <c r="AB35" s="288">
        <f t="shared" si="5"/>
        <v>0</v>
      </c>
      <c r="AC35" s="288">
        <f t="shared" si="5"/>
        <v>0</v>
      </c>
      <c r="AD35" s="288">
        <f t="shared" si="5"/>
        <v>0</v>
      </c>
      <c r="AE35" s="288">
        <f t="shared" si="5"/>
        <v>0</v>
      </c>
      <c r="AF35" s="288">
        <f t="shared" si="5"/>
        <v>0</v>
      </c>
      <c r="AG35" s="288">
        <f t="shared" si="5"/>
        <v>0</v>
      </c>
      <c r="AH35" s="288">
        <f t="shared" si="5"/>
        <v>0</v>
      </c>
      <c r="AI35" s="288">
        <f t="shared" si="5"/>
        <v>50000</v>
      </c>
      <c r="AJ35" s="288">
        <f t="shared" si="5"/>
        <v>50000</v>
      </c>
      <c r="AK35" s="288">
        <f t="shared" si="5"/>
        <v>50000</v>
      </c>
      <c r="AL35" s="288">
        <f t="shared" si="5"/>
        <v>50000</v>
      </c>
      <c r="AM35" s="228"/>
      <c r="AN35" s="288">
        <f t="shared" si="4"/>
        <v>0</v>
      </c>
      <c r="AO35" s="288">
        <f t="shared" si="4"/>
        <v>0</v>
      </c>
      <c r="AP35" s="288">
        <f t="shared" si="4"/>
        <v>0</v>
      </c>
      <c r="AQ35" s="288">
        <f t="shared" si="4"/>
        <v>0</v>
      </c>
      <c r="AR35" s="288">
        <f t="shared" si="4"/>
        <v>0</v>
      </c>
      <c r="AS35" s="288">
        <f t="shared" si="4"/>
        <v>0</v>
      </c>
      <c r="AT35" s="288">
        <f t="shared" si="4"/>
        <v>0</v>
      </c>
      <c r="AU35" s="288">
        <f t="shared" si="4"/>
        <v>0</v>
      </c>
      <c r="AV35" s="288">
        <f t="shared" si="4"/>
        <v>0</v>
      </c>
      <c r="AW35" s="288">
        <f t="shared" si="4"/>
        <v>0</v>
      </c>
      <c r="AX35" s="288">
        <f t="shared" si="4"/>
        <v>0</v>
      </c>
      <c r="AY35" s="288">
        <f t="shared" si="4"/>
        <v>0</v>
      </c>
      <c r="AZ35" s="288">
        <f t="shared" si="4"/>
        <v>0</v>
      </c>
      <c r="BA35" s="288">
        <f t="shared" si="4"/>
        <v>0</v>
      </c>
      <c r="BB35" s="288">
        <f t="shared" si="4"/>
        <v>200000</v>
      </c>
      <c r="BD35" s="287">
        <f t="shared" si="6"/>
        <v>0</v>
      </c>
    </row>
    <row r="36" spans="1:56">
      <c r="A36" s="283" t="s">
        <v>136</v>
      </c>
      <c r="B36" s="243" t="str">
        <f>VLOOKUP(A36,'DFP-Com'!$A$16:$B$50,2,1)</f>
        <v xml:space="preserve">     3.1 d Other</v>
      </c>
      <c r="C36" s="234" t="s">
        <v>201</v>
      </c>
      <c r="D36" s="223">
        <v>200000</v>
      </c>
      <c r="E36" s="283" t="s">
        <v>202</v>
      </c>
      <c r="Q36" s="286">
        <v>0.25</v>
      </c>
      <c r="R36" s="286">
        <v>0.25</v>
      </c>
      <c r="S36" s="286">
        <v>0.25</v>
      </c>
      <c r="T36" s="286">
        <v>0.25</v>
      </c>
      <c r="U36" s="286">
        <f t="shared" si="0"/>
        <v>1</v>
      </c>
      <c r="X36" s="288">
        <f t="shared" si="5"/>
        <v>0</v>
      </c>
      <c r="Y36" s="288">
        <f t="shared" si="5"/>
        <v>0</v>
      </c>
      <c r="Z36" s="288">
        <f t="shared" si="5"/>
        <v>0</v>
      </c>
      <c r="AA36" s="288">
        <f t="shared" si="5"/>
        <v>0</v>
      </c>
      <c r="AB36" s="288">
        <f t="shared" si="5"/>
        <v>0</v>
      </c>
      <c r="AC36" s="288">
        <f t="shared" si="5"/>
        <v>0</v>
      </c>
      <c r="AD36" s="288">
        <f t="shared" si="5"/>
        <v>0</v>
      </c>
      <c r="AE36" s="288">
        <f t="shared" si="5"/>
        <v>0</v>
      </c>
      <c r="AF36" s="288">
        <f t="shared" si="5"/>
        <v>0</v>
      </c>
      <c r="AG36" s="288">
        <f t="shared" si="5"/>
        <v>0</v>
      </c>
      <c r="AH36" s="288">
        <f t="shared" si="5"/>
        <v>0</v>
      </c>
      <c r="AI36" s="288">
        <f t="shared" si="5"/>
        <v>50000</v>
      </c>
      <c r="AJ36" s="288">
        <f t="shared" si="5"/>
        <v>50000</v>
      </c>
      <c r="AK36" s="288">
        <f t="shared" si="5"/>
        <v>50000</v>
      </c>
      <c r="AL36" s="288">
        <f t="shared" si="5"/>
        <v>50000</v>
      </c>
      <c r="AM36" s="228"/>
      <c r="AN36" s="288">
        <f t="shared" ref="AN36:BB38" si="7">IF(AN$3=$E36,$D36,0)</f>
        <v>0</v>
      </c>
      <c r="AO36" s="288">
        <f t="shared" si="7"/>
        <v>0</v>
      </c>
      <c r="AP36" s="288">
        <f t="shared" si="7"/>
        <v>0</v>
      </c>
      <c r="AQ36" s="288">
        <f t="shared" si="7"/>
        <v>0</v>
      </c>
      <c r="AR36" s="288">
        <f t="shared" si="7"/>
        <v>0</v>
      </c>
      <c r="AS36" s="288">
        <f t="shared" si="7"/>
        <v>0</v>
      </c>
      <c r="AT36" s="288">
        <f t="shared" si="7"/>
        <v>0</v>
      </c>
      <c r="AU36" s="288">
        <f t="shared" si="7"/>
        <v>0</v>
      </c>
      <c r="AV36" s="288">
        <f t="shared" si="7"/>
        <v>0</v>
      </c>
      <c r="AW36" s="288">
        <f t="shared" si="7"/>
        <v>0</v>
      </c>
      <c r="AX36" s="288">
        <f t="shared" si="7"/>
        <v>0</v>
      </c>
      <c r="AY36" s="288">
        <f t="shared" si="7"/>
        <v>0</v>
      </c>
      <c r="AZ36" s="288">
        <f t="shared" si="7"/>
        <v>0</v>
      </c>
      <c r="BA36" s="288">
        <f t="shared" si="7"/>
        <v>0</v>
      </c>
      <c r="BB36" s="288">
        <f t="shared" si="7"/>
        <v>200000</v>
      </c>
      <c r="BD36" s="287">
        <f t="shared" si="6"/>
        <v>0</v>
      </c>
    </row>
    <row r="37" spans="1:56">
      <c r="A37" s="283" t="s">
        <v>139</v>
      </c>
      <c r="B37" s="243" t="str">
        <f>VLOOKUP(A37,'DFP-Com'!$A$16:$B$50,2,1)</f>
        <v xml:space="preserve">     4.1.c  Audit</v>
      </c>
      <c r="C37" s="234" t="s">
        <v>177</v>
      </c>
      <c r="D37" s="309">
        <v>90000</v>
      </c>
      <c r="E37" s="283" t="s">
        <v>190</v>
      </c>
      <c r="K37" s="226"/>
      <c r="L37" s="226">
        <f>1/6</f>
        <v>0.16666666666666666</v>
      </c>
      <c r="M37" s="226">
        <f>1/6</f>
        <v>0.16666666666666666</v>
      </c>
      <c r="P37" s="226">
        <f>1/6</f>
        <v>0.16666666666666666</v>
      </c>
      <c r="Q37" s="226">
        <f>1/6</f>
        <v>0.16666666666666666</v>
      </c>
      <c r="T37" s="226">
        <f>1/3</f>
        <v>0.33333333333333331</v>
      </c>
      <c r="U37" s="286">
        <f t="shared" si="0"/>
        <v>1</v>
      </c>
      <c r="X37" s="288">
        <f t="shared" si="5"/>
        <v>0</v>
      </c>
      <c r="Y37" s="288">
        <f t="shared" si="5"/>
        <v>0</v>
      </c>
      <c r="Z37" s="288">
        <f t="shared" si="5"/>
        <v>0</v>
      </c>
      <c r="AA37" s="288">
        <f t="shared" si="5"/>
        <v>0</v>
      </c>
      <c r="AB37" s="288">
        <f t="shared" si="5"/>
        <v>0</v>
      </c>
      <c r="AC37" s="288">
        <f t="shared" si="5"/>
        <v>0</v>
      </c>
      <c r="AD37" s="288">
        <f t="shared" si="5"/>
        <v>15000</v>
      </c>
      <c r="AE37" s="288">
        <f t="shared" si="5"/>
        <v>15000</v>
      </c>
      <c r="AF37" s="288">
        <f t="shared" si="5"/>
        <v>0</v>
      </c>
      <c r="AG37" s="288">
        <f t="shared" si="5"/>
        <v>0</v>
      </c>
      <c r="AH37" s="288">
        <f t="shared" si="5"/>
        <v>15000</v>
      </c>
      <c r="AI37" s="288">
        <f t="shared" si="5"/>
        <v>15000</v>
      </c>
      <c r="AJ37" s="288">
        <f t="shared" si="5"/>
        <v>0</v>
      </c>
      <c r="AK37" s="288">
        <f t="shared" si="5"/>
        <v>0</v>
      </c>
      <c r="AL37" s="288">
        <f t="shared" si="5"/>
        <v>30000</v>
      </c>
      <c r="AM37" s="228"/>
      <c r="AN37" s="288">
        <f t="shared" si="7"/>
        <v>0</v>
      </c>
      <c r="AO37" s="288">
        <f t="shared" si="7"/>
        <v>0</v>
      </c>
      <c r="AP37" s="288">
        <f t="shared" si="7"/>
        <v>0</v>
      </c>
      <c r="AQ37" s="288">
        <f t="shared" si="7"/>
        <v>0</v>
      </c>
      <c r="AR37" s="288">
        <f t="shared" si="7"/>
        <v>90000</v>
      </c>
      <c r="AS37" s="288">
        <f t="shared" si="7"/>
        <v>0</v>
      </c>
      <c r="AT37" s="288">
        <f t="shared" si="7"/>
        <v>0</v>
      </c>
      <c r="AU37" s="288">
        <f t="shared" si="7"/>
        <v>0</v>
      </c>
      <c r="AV37" s="288">
        <f t="shared" si="7"/>
        <v>0</v>
      </c>
      <c r="AW37" s="288">
        <f t="shared" si="7"/>
        <v>0</v>
      </c>
      <c r="AX37" s="288">
        <f t="shared" si="7"/>
        <v>0</v>
      </c>
      <c r="AY37" s="288">
        <f t="shared" si="7"/>
        <v>0</v>
      </c>
      <c r="AZ37" s="288">
        <f t="shared" si="7"/>
        <v>0</v>
      </c>
      <c r="BA37" s="288">
        <f t="shared" si="7"/>
        <v>0</v>
      </c>
      <c r="BB37" s="288">
        <f t="shared" si="7"/>
        <v>0</v>
      </c>
      <c r="BD37" s="287">
        <f t="shared" si="6"/>
        <v>0</v>
      </c>
    </row>
    <row r="38" spans="1:56">
      <c r="A38" s="283" t="s">
        <v>140</v>
      </c>
      <c r="B38" s="243" t="str">
        <f>VLOOKUP(A38,'DFP-Com'!$A$16:$B$50,2,1)</f>
        <v xml:space="preserve">     4.1.d  Other</v>
      </c>
      <c r="C38" s="234" t="s">
        <v>178</v>
      </c>
      <c r="D38" s="299">
        <v>11500</v>
      </c>
      <c r="E38" s="283" t="s">
        <v>189</v>
      </c>
      <c r="G38" s="298">
        <v>0.67</v>
      </c>
      <c r="H38" s="304">
        <v>0.33</v>
      </c>
      <c r="U38" s="286">
        <f t="shared" si="0"/>
        <v>1</v>
      </c>
      <c r="X38" s="288">
        <f t="shared" ref="X38:AL38" si="8">F38*$D38</f>
        <v>0</v>
      </c>
      <c r="Y38" s="288">
        <f t="shared" si="8"/>
        <v>7705.0000000000009</v>
      </c>
      <c r="Z38" s="288">
        <f t="shared" si="8"/>
        <v>3795</v>
      </c>
      <c r="AA38" s="288">
        <f t="shared" si="8"/>
        <v>0</v>
      </c>
      <c r="AB38" s="288">
        <f t="shared" si="8"/>
        <v>0</v>
      </c>
      <c r="AC38" s="288">
        <f t="shared" si="8"/>
        <v>0</v>
      </c>
      <c r="AD38" s="288">
        <f t="shared" si="8"/>
        <v>0</v>
      </c>
      <c r="AE38" s="288">
        <f t="shared" si="8"/>
        <v>0</v>
      </c>
      <c r="AF38" s="288">
        <f t="shared" si="8"/>
        <v>0</v>
      </c>
      <c r="AG38" s="288">
        <f t="shared" si="8"/>
        <v>0</v>
      </c>
      <c r="AH38" s="288">
        <f t="shared" si="8"/>
        <v>0</v>
      </c>
      <c r="AI38" s="288">
        <f t="shared" si="8"/>
        <v>0</v>
      </c>
      <c r="AJ38" s="288">
        <f t="shared" si="8"/>
        <v>0</v>
      </c>
      <c r="AK38" s="288">
        <f t="shared" si="8"/>
        <v>0</v>
      </c>
      <c r="AL38" s="288">
        <f t="shared" si="8"/>
        <v>0</v>
      </c>
      <c r="AM38" s="228"/>
      <c r="AN38" s="288">
        <f t="shared" si="7"/>
        <v>0</v>
      </c>
      <c r="AO38" s="288">
        <f t="shared" si="7"/>
        <v>11500</v>
      </c>
      <c r="AP38" s="288">
        <f t="shared" si="7"/>
        <v>0</v>
      </c>
      <c r="AQ38" s="288">
        <f t="shared" si="7"/>
        <v>0</v>
      </c>
      <c r="AR38" s="288">
        <f t="shared" si="7"/>
        <v>0</v>
      </c>
      <c r="AS38" s="288">
        <f t="shared" si="7"/>
        <v>0</v>
      </c>
      <c r="AT38" s="288">
        <f t="shared" si="7"/>
        <v>0</v>
      </c>
      <c r="AU38" s="288">
        <f t="shared" si="7"/>
        <v>0</v>
      </c>
      <c r="AV38" s="288">
        <f t="shared" si="7"/>
        <v>0</v>
      </c>
      <c r="AW38" s="288">
        <f t="shared" si="7"/>
        <v>0</v>
      </c>
      <c r="AX38" s="288">
        <f t="shared" si="7"/>
        <v>0</v>
      </c>
      <c r="AY38" s="288">
        <f t="shared" si="7"/>
        <v>0</v>
      </c>
      <c r="AZ38" s="288">
        <f t="shared" si="7"/>
        <v>0</v>
      </c>
      <c r="BA38" s="288">
        <f t="shared" si="7"/>
        <v>0</v>
      </c>
      <c r="BB38" s="288">
        <f t="shared" si="7"/>
        <v>0</v>
      </c>
      <c r="BD38" s="287">
        <f t="shared" si="6"/>
        <v>0</v>
      </c>
    </row>
    <row r="39" spans="1:56">
      <c r="B39" s="243"/>
      <c r="C39" s="234"/>
      <c r="D39" s="223"/>
      <c r="Q39" s="286"/>
      <c r="R39" s="286"/>
      <c r="S39" s="286"/>
      <c r="T39" s="286"/>
      <c r="U39" s="286"/>
      <c r="X39" s="288"/>
      <c r="Y39" s="288"/>
      <c r="Z39" s="288"/>
      <c r="AA39" s="288"/>
      <c r="AB39" s="288"/>
      <c r="AC39" s="288"/>
      <c r="AD39" s="288"/>
      <c r="AE39" s="288"/>
      <c r="AF39" s="288"/>
      <c r="AG39" s="288"/>
      <c r="AH39" s="288"/>
      <c r="AI39" s="288"/>
      <c r="AJ39" s="288"/>
      <c r="AK39" s="288"/>
      <c r="AL39" s="288"/>
      <c r="AM39" s="228"/>
      <c r="AN39" s="288"/>
      <c r="AO39" s="288"/>
      <c r="AP39" s="288"/>
      <c r="AQ39" s="288"/>
      <c r="AR39" s="288"/>
      <c r="AS39" s="288"/>
      <c r="AT39" s="288"/>
      <c r="AU39" s="288"/>
      <c r="AV39" s="288"/>
      <c r="AW39" s="288"/>
      <c r="AX39" s="288"/>
      <c r="AY39" s="288"/>
      <c r="AZ39" s="288"/>
      <c r="BA39" s="288"/>
      <c r="BB39" s="288"/>
      <c r="BD39" s="287"/>
    </row>
    <row r="40" spans="1:56">
      <c r="B40" s="225" t="e">
        <f>VLOOKUP(A40,'DFP-Com'!$A$16:$B$50,2,1)</f>
        <v>#N/A</v>
      </c>
      <c r="C40" s="283" t="s">
        <v>194</v>
      </c>
      <c r="D40" s="223"/>
      <c r="X40" s="288">
        <f t="shared" ref="X40:AL40" si="9">F40*$D40</f>
        <v>0</v>
      </c>
      <c r="Y40" s="288">
        <f t="shared" si="9"/>
        <v>0</v>
      </c>
      <c r="Z40" s="288">
        <f t="shared" si="9"/>
        <v>0</v>
      </c>
      <c r="AA40" s="288">
        <f t="shared" si="9"/>
        <v>0</v>
      </c>
      <c r="AB40" s="288">
        <f t="shared" si="9"/>
        <v>0</v>
      </c>
      <c r="AC40" s="288">
        <f t="shared" si="9"/>
        <v>0</v>
      </c>
      <c r="AD40" s="288">
        <f t="shared" si="9"/>
        <v>0</v>
      </c>
      <c r="AE40" s="288">
        <f t="shared" si="9"/>
        <v>0</v>
      </c>
      <c r="AF40" s="288">
        <f t="shared" si="9"/>
        <v>0</v>
      </c>
      <c r="AG40" s="288">
        <f t="shared" si="9"/>
        <v>0</v>
      </c>
      <c r="AH40" s="288">
        <f t="shared" si="9"/>
        <v>0</v>
      </c>
      <c r="AI40" s="288">
        <f t="shared" si="9"/>
        <v>0</v>
      </c>
      <c r="AJ40" s="288">
        <f t="shared" si="9"/>
        <v>0</v>
      </c>
      <c r="AK40" s="288">
        <f t="shared" si="9"/>
        <v>0</v>
      </c>
      <c r="AL40" s="288">
        <f t="shared" si="9"/>
        <v>0</v>
      </c>
      <c r="AM40" s="228"/>
      <c r="AN40" s="288">
        <f t="shared" ref="AN40:BB40" si="10">IF(AN$3=$E40,$D40,0)</f>
        <v>0</v>
      </c>
      <c r="AO40" s="288">
        <f t="shared" si="10"/>
        <v>0</v>
      </c>
      <c r="AP40" s="288">
        <f t="shared" si="10"/>
        <v>0</v>
      </c>
      <c r="AQ40" s="288">
        <f t="shared" si="10"/>
        <v>0</v>
      </c>
      <c r="AR40" s="288">
        <f t="shared" si="10"/>
        <v>0</v>
      </c>
      <c r="AS40" s="288">
        <f t="shared" si="10"/>
        <v>0</v>
      </c>
      <c r="AT40" s="288">
        <f t="shared" si="10"/>
        <v>0</v>
      </c>
      <c r="AU40" s="288">
        <f t="shared" si="10"/>
        <v>0</v>
      </c>
      <c r="AV40" s="288">
        <f t="shared" si="10"/>
        <v>0</v>
      </c>
      <c r="AW40" s="288">
        <f t="shared" si="10"/>
        <v>0</v>
      </c>
      <c r="AX40" s="288">
        <f t="shared" si="10"/>
        <v>0</v>
      </c>
      <c r="AY40" s="288">
        <f t="shared" si="10"/>
        <v>0</v>
      </c>
      <c r="AZ40" s="288">
        <f t="shared" si="10"/>
        <v>0</v>
      </c>
      <c r="BA40" s="288">
        <f t="shared" si="10"/>
        <v>0</v>
      </c>
      <c r="BB40" s="288">
        <f t="shared" si="10"/>
        <v>0</v>
      </c>
      <c r="BD40" s="287">
        <f t="shared" ref="BD40:BD55" si="11">SUM(X40:AL40)-SUM(AN40:BB40)</f>
        <v>0</v>
      </c>
    </row>
    <row r="41" spans="1:56">
      <c r="D41" s="283" t="s">
        <v>159</v>
      </c>
      <c r="F41" s="283" t="s">
        <v>142</v>
      </c>
      <c r="G41" s="283" t="s">
        <v>146</v>
      </c>
      <c r="H41" s="300" t="s">
        <v>147</v>
      </c>
      <c r="I41" s="283" t="s">
        <v>148</v>
      </c>
      <c r="J41" s="283" t="s">
        <v>149</v>
      </c>
      <c r="K41" s="283" t="s">
        <v>150</v>
      </c>
      <c r="L41" s="283" t="s">
        <v>151</v>
      </c>
      <c r="M41" s="283" t="s">
        <v>152</v>
      </c>
      <c r="N41" s="283" t="s">
        <v>153</v>
      </c>
      <c r="O41" s="283" t="s">
        <v>154</v>
      </c>
      <c r="P41" s="283" t="s">
        <v>155</v>
      </c>
      <c r="Q41" s="283" t="s">
        <v>156</v>
      </c>
      <c r="R41" s="283" t="s">
        <v>157</v>
      </c>
      <c r="S41" s="283" t="s">
        <v>158</v>
      </c>
      <c r="T41" s="283" t="s">
        <v>160</v>
      </c>
      <c r="U41" s="283" t="s">
        <v>159</v>
      </c>
      <c r="X41" s="288"/>
      <c r="Y41" s="288"/>
      <c r="Z41" s="288"/>
      <c r="AA41" s="288"/>
      <c r="AB41" s="288"/>
      <c r="AC41" s="288"/>
      <c r="AD41" s="288"/>
      <c r="AE41" s="288"/>
      <c r="AF41" s="288"/>
      <c r="AG41" s="288"/>
      <c r="AH41" s="288"/>
      <c r="AI41" s="288"/>
      <c r="AJ41" s="288"/>
      <c r="AK41" s="288"/>
      <c r="AL41" s="288"/>
      <c r="AM41" s="228"/>
      <c r="AN41" s="228"/>
      <c r="AO41" s="228"/>
      <c r="AP41" s="228"/>
      <c r="AQ41" s="228"/>
      <c r="AR41" s="228"/>
      <c r="AS41" s="228"/>
      <c r="AT41" s="228"/>
      <c r="AU41" s="228"/>
      <c r="AV41" s="228"/>
      <c r="AW41" s="228"/>
      <c r="AX41" s="228"/>
      <c r="AY41" s="228"/>
      <c r="AZ41" s="228"/>
      <c r="BA41" s="228"/>
      <c r="BB41" s="228"/>
      <c r="BD41" s="287">
        <f t="shared" si="11"/>
        <v>0</v>
      </c>
    </row>
    <row r="42" spans="1:56">
      <c r="A42" s="224" t="s">
        <v>186</v>
      </c>
      <c r="B42" s="224"/>
      <c r="D42" s="223"/>
      <c r="X42" s="238"/>
      <c r="Y42" s="288"/>
      <c r="Z42" s="288"/>
      <c r="AA42" s="288"/>
      <c r="AB42" s="288"/>
      <c r="AC42" s="288"/>
      <c r="AD42" s="288"/>
      <c r="AE42" s="288"/>
      <c r="AF42" s="288"/>
      <c r="AG42" s="288"/>
      <c r="AH42" s="288"/>
      <c r="AI42" s="288"/>
      <c r="AJ42" s="288"/>
      <c r="AK42" s="288"/>
      <c r="AL42" s="288"/>
      <c r="AM42" s="228"/>
      <c r="AN42" s="227" t="s">
        <v>142</v>
      </c>
      <c r="AO42" s="227" t="s">
        <v>146</v>
      </c>
      <c r="AP42" s="227" t="s">
        <v>147</v>
      </c>
      <c r="AQ42" s="227" t="s">
        <v>148</v>
      </c>
      <c r="AR42" s="227" t="s">
        <v>142</v>
      </c>
      <c r="AS42" s="227" t="s">
        <v>146</v>
      </c>
      <c r="AT42" s="227" t="s">
        <v>147</v>
      </c>
      <c r="AU42" s="227" t="s">
        <v>148</v>
      </c>
      <c r="AV42" s="227" t="s">
        <v>142</v>
      </c>
      <c r="AW42" s="227" t="s">
        <v>146</v>
      </c>
      <c r="AX42" s="227" t="s">
        <v>147</v>
      </c>
      <c r="AY42" s="227" t="s">
        <v>148</v>
      </c>
      <c r="AZ42" s="227" t="s">
        <v>142</v>
      </c>
      <c r="BA42" s="227" t="s">
        <v>146</v>
      </c>
      <c r="BB42" s="227" t="s">
        <v>147</v>
      </c>
      <c r="BD42" s="287">
        <f t="shared" si="11"/>
        <v>0</v>
      </c>
    </row>
    <row r="43" spans="1:56">
      <c r="A43" s="283" t="s">
        <v>127</v>
      </c>
      <c r="B43" s="232" t="str">
        <f>VLOOKUP(A43,'DFP-Com'!$A$16:$B$50,2,1)</f>
        <v xml:space="preserve">     1.3.b  Education Project Coordination team*</v>
      </c>
      <c r="C43" s="283" t="s">
        <v>165</v>
      </c>
      <c r="D43" s="223">
        <f t="shared" ref="D43:D49" si="12">SUM(F43:T43)</f>
        <v>121400</v>
      </c>
      <c r="E43" s="283" t="s">
        <v>189</v>
      </c>
      <c r="G43" s="290">
        <v>4400</v>
      </c>
      <c r="H43" s="305">
        <v>9000</v>
      </c>
      <c r="I43" s="290">
        <v>9000</v>
      </c>
      <c r="J43" s="290">
        <v>9000</v>
      </c>
      <c r="K43" s="290">
        <v>9000</v>
      </c>
      <c r="L43" s="290">
        <v>9000</v>
      </c>
      <c r="M43" s="290">
        <v>9000</v>
      </c>
      <c r="N43" s="290">
        <v>9000</v>
      </c>
      <c r="O43" s="290">
        <v>9000</v>
      </c>
      <c r="P43" s="290">
        <v>9000</v>
      </c>
      <c r="Q43" s="290">
        <v>9000</v>
      </c>
      <c r="R43" s="290">
        <v>9000</v>
      </c>
      <c r="S43" s="290">
        <v>9000</v>
      </c>
      <c r="T43" s="290">
        <v>9000</v>
      </c>
      <c r="U43" s="290">
        <f>SUM(F43:T43)</f>
        <v>121400</v>
      </c>
      <c r="X43" s="238">
        <f t="shared" ref="X43:AL51" si="13">F43</f>
        <v>0</v>
      </c>
      <c r="Y43" s="288">
        <f t="shared" si="13"/>
        <v>4400</v>
      </c>
      <c r="Z43" s="288">
        <f t="shared" si="13"/>
        <v>9000</v>
      </c>
      <c r="AA43" s="288">
        <f t="shared" si="13"/>
        <v>9000</v>
      </c>
      <c r="AB43" s="288">
        <f t="shared" si="13"/>
        <v>9000</v>
      </c>
      <c r="AC43" s="288">
        <f t="shared" si="13"/>
        <v>9000</v>
      </c>
      <c r="AD43" s="288">
        <f t="shared" si="13"/>
        <v>9000</v>
      </c>
      <c r="AE43" s="288">
        <f t="shared" si="13"/>
        <v>9000</v>
      </c>
      <c r="AF43" s="288">
        <f t="shared" si="13"/>
        <v>9000</v>
      </c>
      <c r="AG43" s="288">
        <f t="shared" si="13"/>
        <v>9000</v>
      </c>
      <c r="AH43" s="288">
        <f t="shared" si="13"/>
        <v>9000</v>
      </c>
      <c r="AI43" s="288">
        <f t="shared" si="13"/>
        <v>9000</v>
      </c>
      <c r="AJ43" s="288">
        <f t="shared" si="13"/>
        <v>9000</v>
      </c>
      <c r="AK43" s="288">
        <f t="shared" si="13"/>
        <v>9000</v>
      </c>
      <c r="AL43" s="288">
        <f t="shared" si="13"/>
        <v>9000</v>
      </c>
      <c r="AM43" s="228"/>
      <c r="AN43" s="288">
        <f>IF(AN$42=$E43,SUM(X43:AA43),0)</f>
        <v>0</v>
      </c>
      <c r="AO43" s="288">
        <f t="shared" ref="AO43:AY51" si="14">IF(AO$42=$E43,SUM(Y43:AB43),0)</f>
        <v>31400</v>
      </c>
      <c r="AP43" s="288">
        <f t="shared" si="14"/>
        <v>0</v>
      </c>
      <c r="AQ43" s="288">
        <f t="shared" si="14"/>
        <v>0</v>
      </c>
      <c r="AR43" s="288">
        <f t="shared" si="14"/>
        <v>0</v>
      </c>
      <c r="AS43" s="288">
        <f t="shared" si="14"/>
        <v>36000</v>
      </c>
      <c r="AT43" s="288">
        <f t="shared" si="14"/>
        <v>0</v>
      </c>
      <c r="AU43" s="288">
        <f t="shared" si="14"/>
        <v>0</v>
      </c>
      <c r="AV43" s="288">
        <f t="shared" si="14"/>
        <v>0</v>
      </c>
      <c r="AW43" s="288">
        <f t="shared" si="14"/>
        <v>36000</v>
      </c>
      <c r="AX43" s="288">
        <f t="shared" si="14"/>
        <v>0</v>
      </c>
      <c r="AY43" s="288">
        <f t="shared" si="14"/>
        <v>0</v>
      </c>
      <c r="AZ43" s="288">
        <f>IF(AZ$42=$E43,SUM(AJ43:$AL43),0)</f>
        <v>0</v>
      </c>
      <c r="BA43" s="288">
        <f>IF(BA$42=$E43,SUM(AK43:$AL43),0)</f>
        <v>18000</v>
      </c>
      <c r="BB43" s="288">
        <f>IF(BB$42=$E43,SUM(AL43:$AL43),0)</f>
        <v>0</v>
      </c>
      <c r="BD43" s="287">
        <f t="shared" si="11"/>
        <v>0</v>
      </c>
    </row>
    <row r="44" spans="1:56">
      <c r="A44" s="283" t="s">
        <v>127</v>
      </c>
      <c r="B44" s="232" t="str">
        <f>VLOOKUP(A44,'DFP-Com'!$A$16:$B$50,2,1)</f>
        <v xml:space="preserve">     1.3.b  Education Project Coordination team*</v>
      </c>
      <c r="C44" s="283" t="s">
        <v>184</v>
      </c>
      <c r="D44" s="223">
        <f t="shared" si="12"/>
        <v>57000</v>
      </c>
      <c r="E44" s="283" t="s">
        <v>161</v>
      </c>
      <c r="G44" s="283">
        <v>0</v>
      </c>
      <c r="H44" s="305">
        <v>3000</v>
      </c>
      <c r="I44" s="290">
        <v>4500</v>
      </c>
      <c r="J44" s="290">
        <v>4500</v>
      </c>
      <c r="K44" s="290">
        <v>4500</v>
      </c>
      <c r="L44" s="290">
        <v>4500</v>
      </c>
      <c r="M44" s="290">
        <v>4500</v>
      </c>
      <c r="N44" s="290">
        <v>4500</v>
      </c>
      <c r="O44" s="290">
        <v>4500</v>
      </c>
      <c r="P44" s="290">
        <v>4500</v>
      </c>
      <c r="Q44" s="290">
        <v>4500</v>
      </c>
      <c r="R44" s="290">
        <v>4500</v>
      </c>
      <c r="S44" s="290">
        <v>4500</v>
      </c>
      <c r="T44" s="290">
        <v>4500</v>
      </c>
      <c r="U44" s="290">
        <f t="shared" ref="U44:U55" si="15">SUM(F44:T44)</f>
        <v>57000</v>
      </c>
      <c r="X44" s="238">
        <f t="shared" si="13"/>
        <v>0</v>
      </c>
      <c r="Y44" s="288">
        <f t="shared" si="13"/>
        <v>0</v>
      </c>
      <c r="Z44" s="288">
        <f t="shared" si="13"/>
        <v>3000</v>
      </c>
      <c r="AA44" s="288">
        <f t="shared" si="13"/>
        <v>4500</v>
      </c>
      <c r="AB44" s="288">
        <f t="shared" si="13"/>
        <v>4500</v>
      </c>
      <c r="AC44" s="288">
        <f t="shared" si="13"/>
        <v>4500</v>
      </c>
      <c r="AD44" s="288">
        <f t="shared" si="13"/>
        <v>4500</v>
      </c>
      <c r="AE44" s="288">
        <f t="shared" si="13"/>
        <v>4500</v>
      </c>
      <c r="AF44" s="288">
        <f t="shared" si="13"/>
        <v>4500</v>
      </c>
      <c r="AG44" s="288">
        <f t="shared" si="13"/>
        <v>4500</v>
      </c>
      <c r="AH44" s="288">
        <f t="shared" si="13"/>
        <v>4500</v>
      </c>
      <c r="AI44" s="288">
        <f t="shared" si="13"/>
        <v>4500</v>
      </c>
      <c r="AJ44" s="288">
        <f t="shared" si="13"/>
        <v>4500</v>
      </c>
      <c r="AK44" s="288">
        <f t="shared" si="13"/>
        <v>4500</v>
      </c>
      <c r="AL44" s="288">
        <f t="shared" si="13"/>
        <v>4500</v>
      </c>
      <c r="AM44" s="228"/>
      <c r="AN44" s="288">
        <f t="shared" ref="AN44:AN51" si="16">IF(AN$42=$E44,SUM(X44:AA44),0)</f>
        <v>0</v>
      </c>
      <c r="AO44" s="288">
        <f t="shared" si="14"/>
        <v>0</v>
      </c>
      <c r="AP44" s="288">
        <f t="shared" si="14"/>
        <v>16500</v>
      </c>
      <c r="AQ44" s="288">
        <f t="shared" si="14"/>
        <v>0</v>
      </c>
      <c r="AR44" s="288">
        <f t="shared" si="14"/>
        <v>0</v>
      </c>
      <c r="AS44" s="288">
        <f t="shared" si="14"/>
        <v>0</v>
      </c>
      <c r="AT44" s="288">
        <f t="shared" si="14"/>
        <v>18000</v>
      </c>
      <c r="AU44" s="288">
        <f t="shared" si="14"/>
        <v>0</v>
      </c>
      <c r="AV44" s="288">
        <f t="shared" si="14"/>
        <v>0</v>
      </c>
      <c r="AW44" s="288">
        <f t="shared" si="14"/>
        <v>0</v>
      </c>
      <c r="AX44" s="288">
        <f t="shared" si="14"/>
        <v>18000</v>
      </c>
      <c r="AY44" s="288">
        <f t="shared" si="14"/>
        <v>0</v>
      </c>
      <c r="AZ44" s="288">
        <f>IF(AZ$42=$E44,SUM(AJ44:$AL44),0)</f>
        <v>0</v>
      </c>
      <c r="BA44" s="288">
        <f>IF(BA$42=$E44,SUM(AK44:$AL44),0)</f>
        <v>0</v>
      </c>
      <c r="BB44" s="288">
        <f>IF(BB$42=$E44,SUM(AL44:$AL44),0)</f>
        <v>4500</v>
      </c>
      <c r="BD44" s="287">
        <f t="shared" si="11"/>
        <v>0</v>
      </c>
    </row>
    <row r="45" spans="1:56">
      <c r="A45" s="283" t="s">
        <v>137</v>
      </c>
      <c r="B45" s="243" t="str">
        <f>VLOOKUP(A45,'DFP-Com'!$A$16:$B$50,2,1)</f>
        <v xml:space="preserve">     4.1.a  Staff Compensation*</v>
      </c>
      <c r="C45" s="283" t="s">
        <v>176</v>
      </c>
      <c r="D45" s="223">
        <f t="shared" si="12"/>
        <v>181000</v>
      </c>
      <c r="E45" s="283" t="s">
        <v>191</v>
      </c>
      <c r="F45" s="290">
        <v>10000</v>
      </c>
      <c r="G45" s="290">
        <f>15000</f>
        <v>15000</v>
      </c>
      <c r="H45" s="305">
        <v>12000</v>
      </c>
      <c r="I45" s="290">
        <v>12000</v>
      </c>
      <c r="J45" s="290">
        <v>12000</v>
      </c>
      <c r="K45" s="290">
        <v>12000</v>
      </c>
      <c r="L45" s="290">
        <v>12000</v>
      </c>
      <c r="M45" s="290">
        <v>12000</v>
      </c>
      <c r="N45" s="290">
        <v>12000</v>
      </c>
      <c r="O45" s="290">
        <v>12000</v>
      </c>
      <c r="P45" s="290">
        <v>12000</v>
      </c>
      <c r="Q45" s="290">
        <v>12000</v>
      </c>
      <c r="R45" s="290">
        <v>12000</v>
      </c>
      <c r="S45" s="290">
        <v>12000</v>
      </c>
      <c r="T45" s="290">
        <v>12000</v>
      </c>
      <c r="U45" s="290">
        <f t="shared" si="15"/>
        <v>181000</v>
      </c>
      <c r="X45" s="238">
        <f t="shared" si="13"/>
        <v>10000</v>
      </c>
      <c r="Y45" s="288">
        <f t="shared" si="13"/>
        <v>15000</v>
      </c>
      <c r="Z45" s="288">
        <f t="shared" si="13"/>
        <v>12000</v>
      </c>
      <c r="AA45" s="288">
        <f t="shared" si="13"/>
        <v>12000</v>
      </c>
      <c r="AB45" s="288">
        <f t="shared" si="13"/>
        <v>12000</v>
      </c>
      <c r="AC45" s="288">
        <f t="shared" si="13"/>
        <v>12000</v>
      </c>
      <c r="AD45" s="288">
        <f t="shared" si="13"/>
        <v>12000</v>
      </c>
      <c r="AE45" s="288">
        <f t="shared" si="13"/>
        <v>12000</v>
      </c>
      <c r="AF45" s="288">
        <f t="shared" si="13"/>
        <v>12000</v>
      </c>
      <c r="AG45" s="288">
        <f t="shared" si="13"/>
        <v>12000</v>
      </c>
      <c r="AH45" s="288">
        <f t="shared" si="13"/>
        <v>12000</v>
      </c>
      <c r="AI45" s="288">
        <f t="shared" si="13"/>
        <v>12000</v>
      </c>
      <c r="AJ45" s="288">
        <f t="shared" si="13"/>
        <v>12000</v>
      </c>
      <c r="AK45" s="288">
        <f t="shared" si="13"/>
        <v>12000</v>
      </c>
      <c r="AL45" s="288">
        <f t="shared" si="13"/>
        <v>12000</v>
      </c>
      <c r="AM45" s="228"/>
      <c r="AN45" s="288">
        <f t="shared" si="16"/>
        <v>49000</v>
      </c>
      <c r="AO45" s="288">
        <f t="shared" si="14"/>
        <v>0</v>
      </c>
      <c r="AP45" s="288">
        <f t="shared" si="14"/>
        <v>0</v>
      </c>
      <c r="AQ45" s="288">
        <f t="shared" si="14"/>
        <v>0</v>
      </c>
      <c r="AR45" s="288">
        <f t="shared" si="14"/>
        <v>48000</v>
      </c>
      <c r="AS45" s="288">
        <f t="shared" si="14"/>
        <v>0</v>
      </c>
      <c r="AT45" s="288">
        <f t="shared" si="14"/>
        <v>0</v>
      </c>
      <c r="AU45" s="288">
        <f t="shared" si="14"/>
        <v>0</v>
      </c>
      <c r="AV45" s="288">
        <f t="shared" si="14"/>
        <v>48000</v>
      </c>
      <c r="AW45" s="288">
        <f t="shared" si="14"/>
        <v>0</v>
      </c>
      <c r="AX45" s="288">
        <f t="shared" si="14"/>
        <v>0</v>
      </c>
      <c r="AY45" s="288">
        <f t="shared" si="14"/>
        <v>0</v>
      </c>
      <c r="AZ45" s="288">
        <f>IF(AZ$42=$E45,SUM(AJ45:$AL45),0)</f>
        <v>36000</v>
      </c>
      <c r="BA45" s="288">
        <f>IF(BA$42=$E45,SUM(AK45:$AL45),0)</f>
        <v>0</v>
      </c>
      <c r="BB45" s="288">
        <f>IF(BB$42=$E45,SUM(AL45:$AL45),0)</f>
        <v>0</v>
      </c>
      <c r="BD45" s="287">
        <f t="shared" si="11"/>
        <v>0</v>
      </c>
    </row>
    <row r="46" spans="1:56">
      <c r="A46" s="283" t="s">
        <v>137</v>
      </c>
      <c r="B46" s="243" t="str">
        <f>VLOOKUP(A46,'DFP-Com'!$A$16:$B$50,2,1)</f>
        <v xml:space="preserve">     4.1.a  Staff Compensation*</v>
      </c>
      <c r="C46" s="283" t="s">
        <v>220</v>
      </c>
      <c r="D46" s="223">
        <f t="shared" si="12"/>
        <v>57000</v>
      </c>
      <c r="E46" s="283" t="s">
        <v>161</v>
      </c>
      <c r="G46" s="290">
        <v>0</v>
      </c>
      <c r="H46" s="305">
        <f>3000</f>
        <v>3000</v>
      </c>
      <c r="I46" s="290">
        <v>4500</v>
      </c>
      <c r="J46" s="290">
        <v>4500</v>
      </c>
      <c r="K46" s="290">
        <v>4500</v>
      </c>
      <c r="L46" s="290">
        <v>4500</v>
      </c>
      <c r="M46" s="290">
        <v>4500</v>
      </c>
      <c r="N46" s="290">
        <v>4500</v>
      </c>
      <c r="O46" s="290">
        <v>4500</v>
      </c>
      <c r="P46" s="290">
        <v>4500</v>
      </c>
      <c r="Q46" s="290">
        <v>4500</v>
      </c>
      <c r="R46" s="290">
        <v>4500</v>
      </c>
      <c r="S46" s="290">
        <v>4500</v>
      </c>
      <c r="T46" s="290">
        <v>4500</v>
      </c>
      <c r="U46" s="290">
        <f t="shared" si="15"/>
        <v>57000</v>
      </c>
      <c r="X46" s="238">
        <f t="shared" si="13"/>
        <v>0</v>
      </c>
      <c r="Y46" s="288">
        <f t="shared" si="13"/>
        <v>0</v>
      </c>
      <c r="Z46" s="288">
        <f t="shared" si="13"/>
        <v>3000</v>
      </c>
      <c r="AA46" s="288">
        <f t="shared" si="13"/>
        <v>4500</v>
      </c>
      <c r="AB46" s="288">
        <f t="shared" si="13"/>
        <v>4500</v>
      </c>
      <c r="AC46" s="288">
        <f t="shared" si="13"/>
        <v>4500</v>
      </c>
      <c r="AD46" s="288">
        <f t="shared" si="13"/>
        <v>4500</v>
      </c>
      <c r="AE46" s="288">
        <f t="shared" si="13"/>
        <v>4500</v>
      </c>
      <c r="AF46" s="288">
        <f t="shared" si="13"/>
        <v>4500</v>
      </c>
      <c r="AG46" s="288">
        <f t="shared" si="13"/>
        <v>4500</v>
      </c>
      <c r="AH46" s="288">
        <f t="shared" si="13"/>
        <v>4500</v>
      </c>
      <c r="AI46" s="288">
        <f t="shared" si="13"/>
        <v>4500</v>
      </c>
      <c r="AJ46" s="288">
        <f t="shared" si="13"/>
        <v>4500</v>
      </c>
      <c r="AK46" s="288">
        <f t="shared" si="13"/>
        <v>4500</v>
      </c>
      <c r="AL46" s="288">
        <f t="shared" si="13"/>
        <v>4500</v>
      </c>
      <c r="AM46" s="228"/>
      <c r="AN46" s="288">
        <f t="shared" si="16"/>
        <v>0</v>
      </c>
      <c r="AO46" s="288">
        <f t="shared" si="14"/>
        <v>0</v>
      </c>
      <c r="AP46" s="288">
        <f>IF(AP$42=$E46,SUM(Z46:AC46),0)</f>
        <v>16500</v>
      </c>
      <c r="AQ46" s="288">
        <f t="shared" si="14"/>
        <v>0</v>
      </c>
      <c r="AR46" s="288">
        <f t="shared" si="14"/>
        <v>0</v>
      </c>
      <c r="AS46" s="288">
        <f t="shared" si="14"/>
        <v>0</v>
      </c>
      <c r="AT46" s="288">
        <f t="shared" si="14"/>
        <v>18000</v>
      </c>
      <c r="AU46" s="288">
        <f t="shared" si="14"/>
        <v>0</v>
      </c>
      <c r="AV46" s="288">
        <f t="shared" si="14"/>
        <v>0</v>
      </c>
      <c r="AW46" s="288">
        <f t="shared" si="14"/>
        <v>0</v>
      </c>
      <c r="AX46" s="288">
        <f t="shared" si="14"/>
        <v>18000</v>
      </c>
      <c r="AY46" s="288">
        <f t="shared" si="14"/>
        <v>0</v>
      </c>
      <c r="AZ46" s="288">
        <f>IF(AZ$42=$E46,SUM(AJ46:$AL46),0)</f>
        <v>0</v>
      </c>
      <c r="BA46" s="288">
        <f>IF(BA$42=$E46,SUM(AK46:$AL46),0)</f>
        <v>0</v>
      </c>
      <c r="BB46" s="288">
        <f>IF(BB$42=$E46,SUM(AL46:$AL46),0)</f>
        <v>4500</v>
      </c>
      <c r="BD46" s="287">
        <f t="shared" si="11"/>
        <v>0</v>
      </c>
    </row>
    <row r="47" spans="1:56">
      <c r="A47" s="283" t="s">
        <v>137</v>
      </c>
      <c r="B47" s="243" t="str">
        <f>VLOOKUP(A47,'DFP-Com'!$A$16:$B$50,2,1)</f>
        <v xml:space="preserve">     4.1.a  Staff Compensation*</v>
      </c>
      <c r="C47" s="283" t="s">
        <v>181</v>
      </c>
      <c r="D47" s="223">
        <f t="shared" si="12"/>
        <v>147000</v>
      </c>
      <c r="E47" s="283" t="s">
        <v>189</v>
      </c>
      <c r="G47" s="290">
        <v>10500</v>
      </c>
      <c r="H47" s="305">
        <f>3500*3</f>
        <v>10500</v>
      </c>
      <c r="I47" s="290">
        <v>10500</v>
      </c>
      <c r="J47" s="290">
        <v>10500</v>
      </c>
      <c r="K47" s="290">
        <v>10500</v>
      </c>
      <c r="L47" s="290">
        <v>10500</v>
      </c>
      <c r="M47" s="290">
        <v>10500</v>
      </c>
      <c r="N47" s="290">
        <v>10500</v>
      </c>
      <c r="O47" s="290">
        <v>10500</v>
      </c>
      <c r="P47" s="290">
        <v>10500</v>
      </c>
      <c r="Q47" s="290">
        <v>10500</v>
      </c>
      <c r="R47" s="290">
        <v>10500</v>
      </c>
      <c r="S47" s="290">
        <v>10500</v>
      </c>
      <c r="T47" s="290">
        <v>10500</v>
      </c>
      <c r="U47" s="290">
        <f t="shared" si="15"/>
        <v>147000</v>
      </c>
      <c r="X47" s="238">
        <f t="shared" si="13"/>
        <v>0</v>
      </c>
      <c r="Y47" s="288">
        <f t="shared" si="13"/>
        <v>10500</v>
      </c>
      <c r="Z47" s="288">
        <f t="shared" si="13"/>
        <v>10500</v>
      </c>
      <c r="AA47" s="288">
        <f t="shared" si="13"/>
        <v>10500</v>
      </c>
      <c r="AB47" s="288">
        <f t="shared" si="13"/>
        <v>10500</v>
      </c>
      <c r="AC47" s="288">
        <f t="shared" si="13"/>
        <v>10500</v>
      </c>
      <c r="AD47" s="288">
        <f t="shared" si="13"/>
        <v>10500</v>
      </c>
      <c r="AE47" s="288">
        <f t="shared" si="13"/>
        <v>10500</v>
      </c>
      <c r="AF47" s="288">
        <f t="shared" si="13"/>
        <v>10500</v>
      </c>
      <c r="AG47" s="288">
        <f t="shared" si="13"/>
        <v>10500</v>
      </c>
      <c r="AH47" s="288">
        <f t="shared" si="13"/>
        <v>10500</v>
      </c>
      <c r="AI47" s="288">
        <f t="shared" si="13"/>
        <v>10500</v>
      </c>
      <c r="AJ47" s="288">
        <f t="shared" si="13"/>
        <v>10500</v>
      </c>
      <c r="AK47" s="288">
        <f t="shared" si="13"/>
        <v>10500</v>
      </c>
      <c r="AL47" s="288">
        <f t="shared" si="13"/>
        <v>10500</v>
      </c>
      <c r="AM47" s="228"/>
      <c r="AN47" s="288">
        <f t="shared" si="16"/>
        <v>0</v>
      </c>
      <c r="AO47" s="288">
        <f t="shared" si="14"/>
        <v>42000</v>
      </c>
      <c r="AP47" s="288">
        <f t="shared" si="14"/>
        <v>0</v>
      </c>
      <c r="AQ47" s="288">
        <f t="shared" si="14"/>
        <v>0</v>
      </c>
      <c r="AR47" s="288">
        <f t="shared" si="14"/>
        <v>0</v>
      </c>
      <c r="AS47" s="288">
        <f t="shared" si="14"/>
        <v>42000</v>
      </c>
      <c r="AT47" s="288">
        <f t="shared" si="14"/>
        <v>0</v>
      </c>
      <c r="AU47" s="288">
        <f t="shared" si="14"/>
        <v>0</v>
      </c>
      <c r="AV47" s="288">
        <f t="shared" si="14"/>
        <v>0</v>
      </c>
      <c r="AW47" s="288">
        <f t="shared" si="14"/>
        <v>42000</v>
      </c>
      <c r="AX47" s="288">
        <f t="shared" si="14"/>
        <v>0</v>
      </c>
      <c r="AY47" s="288">
        <f t="shared" si="14"/>
        <v>0</v>
      </c>
      <c r="AZ47" s="288">
        <f>IF(AZ$42=$E47,SUM(AJ47:$AL47),0)</f>
        <v>0</v>
      </c>
      <c r="BA47" s="288">
        <f>IF(BA$42=$E47,SUM(AK47:$AL47),0)</f>
        <v>21000</v>
      </c>
      <c r="BB47" s="288">
        <f>IF(BB$42=$E47,SUM(AL47:$AL47),0)</f>
        <v>0</v>
      </c>
      <c r="BD47" s="287">
        <f t="shared" si="11"/>
        <v>0</v>
      </c>
    </row>
    <row r="48" spans="1:56">
      <c r="A48" s="283" t="s">
        <v>137</v>
      </c>
      <c r="B48" s="243" t="str">
        <f>VLOOKUP(A48,'DFP-Com'!$A$16:$B$50,2,1)</f>
        <v xml:space="preserve">     4.1.a  Staff Compensation*</v>
      </c>
      <c r="C48" s="283" t="s">
        <v>182</v>
      </c>
      <c r="D48" s="223">
        <f t="shared" si="12"/>
        <v>89760</v>
      </c>
      <c r="E48" s="283" t="s">
        <v>189</v>
      </c>
      <c r="G48" s="290">
        <v>3960</v>
      </c>
      <c r="H48" s="305">
        <f>2200*3</f>
        <v>6600</v>
      </c>
      <c r="I48" s="290">
        <f t="shared" ref="I48:T49" si="17">2200*3</f>
        <v>6600</v>
      </c>
      <c r="J48" s="290">
        <f t="shared" si="17"/>
        <v>6600</v>
      </c>
      <c r="K48" s="290">
        <f t="shared" si="17"/>
        <v>6600</v>
      </c>
      <c r="L48" s="290">
        <f t="shared" si="17"/>
        <v>6600</v>
      </c>
      <c r="M48" s="290">
        <f t="shared" si="17"/>
        <v>6600</v>
      </c>
      <c r="N48" s="290">
        <f t="shared" si="17"/>
        <v>6600</v>
      </c>
      <c r="O48" s="290">
        <f t="shared" si="17"/>
        <v>6600</v>
      </c>
      <c r="P48" s="290">
        <f t="shared" si="17"/>
        <v>6600</v>
      </c>
      <c r="Q48" s="290">
        <f t="shared" si="17"/>
        <v>6600</v>
      </c>
      <c r="R48" s="290">
        <f t="shared" si="17"/>
        <v>6600</v>
      </c>
      <c r="S48" s="290">
        <f t="shared" si="17"/>
        <v>6600</v>
      </c>
      <c r="T48" s="290">
        <f t="shared" si="17"/>
        <v>6600</v>
      </c>
      <c r="U48" s="290">
        <f t="shared" si="15"/>
        <v>89760</v>
      </c>
      <c r="X48" s="238">
        <f t="shared" si="13"/>
        <v>0</v>
      </c>
      <c r="Y48" s="288">
        <f t="shared" si="13"/>
        <v>3960</v>
      </c>
      <c r="Z48" s="288">
        <f t="shared" si="13"/>
        <v>6600</v>
      </c>
      <c r="AA48" s="288">
        <f t="shared" si="13"/>
        <v>6600</v>
      </c>
      <c r="AB48" s="288">
        <f t="shared" si="13"/>
        <v>6600</v>
      </c>
      <c r="AC48" s="288">
        <f t="shared" si="13"/>
        <v>6600</v>
      </c>
      <c r="AD48" s="288">
        <f t="shared" si="13"/>
        <v>6600</v>
      </c>
      <c r="AE48" s="288">
        <f t="shared" si="13"/>
        <v>6600</v>
      </c>
      <c r="AF48" s="288">
        <f t="shared" si="13"/>
        <v>6600</v>
      </c>
      <c r="AG48" s="288">
        <f t="shared" si="13"/>
        <v>6600</v>
      </c>
      <c r="AH48" s="288">
        <f t="shared" si="13"/>
        <v>6600</v>
      </c>
      <c r="AI48" s="288">
        <f t="shared" si="13"/>
        <v>6600</v>
      </c>
      <c r="AJ48" s="288">
        <f t="shared" si="13"/>
        <v>6600</v>
      </c>
      <c r="AK48" s="288">
        <f t="shared" si="13"/>
        <v>6600</v>
      </c>
      <c r="AL48" s="288">
        <f t="shared" si="13"/>
        <v>6600</v>
      </c>
      <c r="AM48" s="228"/>
      <c r="AN48" s="288">
        <f t="shared" si="16"/>
        <v>0</v>
      </c>
      <c r="AO48" s="288">
        <f t="shared" si="14"/>
        <v>23760</v>
      </c>
      <c r="AP48" s="288">
        <f t="shared" si="14"/>
        <v>0</v>
      </c>
      <c r="AQ48" s="288">
        <f t="shared" si="14"/>
        <v>0</v>
      </c>
      <c r="AR48" s="288">
        <f t="shared" si="14"/>
        <v>0</v>
      </c>
      <c r="AS48" s="288">
        <f t="shared" si="14"/>
        <v>26400</v>
      </c>
      <c r="AT48" s="288">
        <f t="shared" si="14"/>
        <v>0</v>
      </c>
      <c r="AU48" s="288">
        <f t="shared" si="14"/>
        <v>0</v>
      </c>
      <c r="AV48" s="288">
        <f t="shared" si="14"/>
        <v>0</v>
      </c>
      <c r="AW48" s="288">
        <f t="shared" si="14"/>
        <v>26400</v>
      </c>
      <c r="AX48" s="288">
        <f t="shared" si="14"/>
        <v>0</v>
      </c>
      <c r="AY48" s="288">
        <f t="shared" si="14"/>
        <v>0</v>
      </c>
      <c r="AZ48" s="288">
        <f>IF(AZ$42=$E48,SUM(AJ48:$AL48),0)</f>
        <v>0</v>
      </c>
      <c r="BA48" s="288">
        <f>IF(BA$42=$E48,SUM(AK48:$AL48),0)</f>
        <v>13200</v>
      </c>
      <c r="BB48" s="288">
        <f>IF(BB$42=$E48,SUM(AL48:$AL48),0)</f>
        <v>0</v>
      </c>
      <c r="BD48" s="287">
        <f t="shared" si="11"/>
        <v>0</v>
      </c>
    </row>
    <row r="49" spans="1:56">
      <c r="A49" s="283" t="s">
        <v>137</v>
      </c>
      <c r="B49" s="243" t="str">
        <f>VLOOKUP(A49,'DFP-Com'!$A$16:$B$50,2,1)</f>
        <v xml:space="preserve">     4.1.a  Staff Compensation*</v>
      </c>
      <c r="C49" s="283" t="s">
        <v>183</v>
      </c>
      <c r="D49" s="223">
        <f t="shared" si="12"/>
        <v>89760</v>
      </c>
      <c r="E49" s="283" t="s">
        <v>189</v>
      </c>
      <c r="G49" s="290">
        <v>3960</v>
      </c>
      <c r="H49" s="305">
        <f>2200*3</f>
        <v>6600</v>
      </c>
      <c r="I49" s="290">
        <f t="shared" si="17"/>
        <v>6600</v>
      </c>
      <c r="J49" s="290">
        <f t="shared" si="17"/>
        <v>6600</v>
      </c>
      <c r="K49" s="290">
        <f t="shared" si="17"/>
        <v>6600</v>
      </c>
      <c r="L49" s="290">
        <f t="shared" si="17"/>
        <v>6600</v>
      </c>
      <c r="M49" s="290">
        <f t="shared" si="17"/>
        <v>6600</v>
      </c>
      <c r="N49" s="290">
        <f t="shared" si="17"/>
        <v>6600</v>
      </c>
      <c r="O49" s="290">
        <f t="shared" si="17"/>
        <v>6600</v>
      </c>
      <c r="P49" s="290">
        <f t="shared" si="17"/>
        <v>6600</v>
      </c>
      <c r="Q49" s="290">
        <f t="shared" si="17"/>
        <v>6600</v>
      </c>
      <c r="R49" s="290">
        <f t="shared" si="17"/>
        <v>6600</v>
      </c>
      <c r="S49" s="290">
        <f t="shared" si="17"/>
        <v>6600</v>
      </c>
      <c r="T49" s="290">
        <f t="shared" si="17"/>
        <v>6600</v>
      </c>
      <c r="U49" s="290">
        <f t="shared" si="15"/>
        <v>89760</v>
      </c>
      <c r="X49" s="238">
        <f t="shared" si="13"/>
        <v>0</v>
      </c>
      <c r="Y49" s="288">
        <f t="shared" si="13"/>
        <v>3960</v>
      </c>
      <c r="Z49" s="288">
        <f t="shared" si="13"/>
        <v>6600</v>
      </c>
      <c r="AA49" s="288">
        <f t="shared" si="13"/>
        <v>6600</v>
      </c>
      <c r="AB49" s="288">
        <f t="shared" si="13"/>
        <v>6600</v>
      </c>
      <c r="AC49" s="288">
        <f t="shared" si="13"/>
        <v>6600</v>
      </c>
      <c r="AD49" s="288">
        <f t="shared" si="13"/>
        <v>6600</v>
      </c>
      <c r="AE49" s="288">
        <f t="shared" si="13"/>
        <v>6600</v>
      </c>
      <c r="AF49" s="288">
        <f t="shared" si="13"/>
        <v>6600</v>
      </c>
      <c r="AG49" s="288">
        <f t="shared" si="13"/>
        <v>6600</v>
      </c>
      <c r="AH49" s="288">
        <f t="shared" si="13"/>
        <v>6600</v>
      </c>
      <c r="AI49" s="288">
        <f t="shared" si="13"/>
        <v>6600</v>
      </c>
      <c r="AJ49" s="288">
        <f t="shared" si="13"/>
        <v>6600</v>
      </c>
      <c r="AK49" s="288">
        <f t="shared" si="13"/>
        <v>6600</v>
      </c>
      <c r="AL49" s="288">
        <f t="shared" si="13"/>
        <v>6600</v>
      </c>
      <c r="AM49" s="228"/>
      <c r="AN49" s="288">
        <f t="shared" si="16"/>
        <v>0</v>
      </c>
      <c r="AO49" s="288">
        <f t="shared" si="14"/>
        <v>23760</v>
      </c>
      <c r="AP49" s="288">
        <f t="shared" si="14"/>
        <v>0</v>
      </c>
      <c r="AQ49" s="288">
        <f t="shared" si="14"/>
        <v>0</v>
      </c>
      <c r="AR49" s="288">
        <f t="shared" si="14"/>
        <v>0</v>
      </c>
      <c r="AS49" s="288">
        <f t="shared" si="14"/>
        <v>26400</v>
      </c>
      <c r="AT49" s="288">
        <f t="shared" si="14"/>
        <v>0</v>
      </c>
      <c r="AU49" s="288">
        <f t="shared" si="14"/>
        <v>0</v>
      </c>
      <c r="AV49" s="288">
        <f t="shared" si="14"/>
        <v>0</v>
      </c>
      <c r="AW49" s="288">
        <f t="shared" si="14"/>
        <v>26400</v>
      </c>
      <c r="AX49" s="288">
        <f t="shared" si="14"/>
        <v>0</v>
      </c>
      <c r="AY49" s="288">
        <f t="shared" si="14"/>
        <v>0</v>
      </c>
      <c r="AZ49" s="288">
        <f>IF(AZ$42=$E49,SUM(AJ49:$AL49),0)</f>
        <v>0</v>
      </c>
      <c r="BA49" s="288">
        <f>IF(BA$42=$E49,SUM(AK49:$AL49),0)</f>
        <v>13200</v>
      </c>
      <c r="BB49" s="288">
        <f>IF(BB$42=$E49,SUM(AL49:$AL49),0)</f>
        <v>0</v>
      </c>
      <c r="BD49" s="287">
        <f t="shared" si="11"/>
        <v>0</v>
      </c>
    </row>
    <row r="50" spans="1:56">
      <c r="A50" s="283" t="s">
        <v>137</v>
      </c>
      <c r="B50" s="243" t="str">
        <f>VLOOKUP(A50,'DFP-Com'!$A$16:$B$50,2,1)</f>
        <v xml:space="preserve">     4.1.a  Staff Compensation*</v>
      </c>
      <c r="C50" s="283" t="s">
        <v>222</v>
      </c>
      <c r="D50" s="223">
        <f>3000*24</f>
        <v>72000</v>
      </c>
      <c r="E50" s="283" t="s">
        <v>193</v>
      </c>
      <c r="G50" s="290"/>
      <c r="H50" s="305"/>
      <c r="I50" s="290">
        <f>3000*3</f>
        <v>9000</v>
      </c>
      <c r="J50" s="290">
        <f t="shared" ref="J50:P50" si="18">3000*3</f>
        <v>9000</v>
      </c>
      <c r="K50" s="290">
        <f t="shared" si="18"/>
        <v>9000</v>
      </c>
      <c r="L50" s="290">
        <f t="shared" si="18"/>
        <v>9000</v>
      </c>
      <c r="M50" s="290">
        <f t="shared" si="18"/>
        <v>9000</v>
      </c>
      <c r="N50" s="290">
        <f t="shared" si="18"/>
        <v>9000</v>
      </c>
      <c r="O50" s="290">
        <f t="shared" si="18"/>
        <v>9000</v>
      </c>
      <c r="P50" s="290">
        <f t="shared" si="18"/>
        <v>9000</v>
      </c>
      <c r="Q50" s="290"/>
      <c r="R50" s="290"/>
      <c r="S50" s="290"/>
      <c r="T50" s="290"/>
      <c r="U50" s="290">
        <f t="shared" si="15"/>
        <v>72000</v>
      </c>
      <c r="X50" s="238"/>
      <c r="Y50" s="288"/>
      <c r="Z50" s="288"/>
      <c r="AA50" s="288"/>
      <c r="AB50" s="288"/>
      <c r="AC50" s="288"/>
      <c r="AD50" s="288"/>
      <c r="AE50" s="288"/>
      <c r="AF50" s="288"/>
      <c r="AG50" s="288"/>
      <c r="AH50" s="288"/>
      <c r="AI50" s="288"/>
      <c r="AJ50" s="288"/>
      <c r="AK50" s="288"/>
      <c r="AL50" s="288"/>
      <c r="AM50" s="228"/>
      <c r="AN50" s="288"/>
      <c r="AO50" s="288"/>
      <c r="AP50" s="288"/>
      <c r="AQ50" s="288"/>
      <c r="AR50" s="288"/>
      <c r="AS50" s="288"/>
      <c r="AT50" s="288"/>
      <c r="AU50" s="288"/>
      <c r="AV50" s="288"/>
      <c r="AW50" s="288"/>
      <c r="AX50" s="288"/>
      <c r="AY50" s="288"/>
      <c r="AZ50" s="288"/>
      <c r="BA50" s="288"/>
      <c r="BB50" s="288"/>
      <c r="BD50" s="287"/>
    </row>
    <row r="51" spans="1:56">
      <c r="A51" s="283" t="s">
        <v>125</v>
      </c>
      <c r="B51" s="232" t="str">
        <f>VLOOKUP(A51,'DFP-Com'!$A$16:$B$50,2,1)</f>
        <v xml:space="preserve">     1.2.a  TVET</v>
      </c>
      <c r="C51" s="283" t="s">
        <v>196</v>
      </c>
      <c r="D51" s="223">
        <f t="shared" ref="D51" si="19">SUM(F51:T51)</f>
        <v>144000</v>
      </c>
      <c r="E51" s="283" t="s">
        <v>193</v>
      </c>
      <c r="G51" s="290"/>
      <c r="H51" s="305">
        <v>0</v>
      </c>
      <c r="I51" s="290">
        <v>12000</v>
      </c>
      <c r="J51" s="290">
        <v>12000</v>
      </c>
      <c r="K51" s="290">
        <v>12000</v>
      </c>
      <c r="L51" s="290">
        <v>12000</v>
      </c>
      <c r="M51" s="290">
        <v>12000</v>
      </c>
      <c r="N51" s="290">
        <v>12000</v>
      </c>
      <c r="O51" s="290">
        <v>12000</v>
      </c>
      <c r="P51" s="290">
        <v>12000</v>
      </c>
      <c r="Q51" s="290">
        <v>12000</v>
      </c>
      <c r="R51" s="290">
        <v>12000</v>
      </c>
      <c r="S51" s="290">
        <v>12000</v>
      </c>
      <c r="T51" s="290">
        <v>12000</v>
      </c>
      <c r="U51" s="290">
        <f t="shared" si="15"/>
        <v>144000</v>
      </c>
      <c r="X51" s="238">
        <f t="shared" si="13"/>
        <v>0</v>
      </c>
      <c r="Y51" s="288">
        <f t="shared" si="13"/>
        <v>0</v>
      </c>
      <c r="Z51" s="288">
        <f t="shared" si="13"/>
        <v>0</v>
      </c>
      <c r="AA51" s="288">
        <f t="shared" si="13"/>
        <v>12000</v>
      </c>
      <c r="AB51" s="288">
        <f t="shared" si="13"/>
        <v>12000</v>
      </c>
      <c r="AC51" s="288">
        <f t="shared" si="13"/>
        <v>12000</v>
      </c>
      <c r="AD51" s="288">
        <f t="shared" si="13"/>
        <v>12000</v>
      </c>
      <c r="AE51" s="288">
        <f t="shared" si="13"/>
        <v>12000</v>
      </c>
      <c r="AF51" s="288">
        <f t="shared" si="13"/>
        <v>12000</v>
      </c>
      <c r="AG51" s="288">
        <f t="shared" si="13"/>
        <v>12000</v>
      </c>
      <c r="AH51" s="288">
        <f t="shared" si="13"/>
        <v>12000</v>
      </c>
      <c r="AI51" s="288">
        <f t="shared" si="13"/>
        <v>12000</v>
      </c>
      <c r="AJ51" s="288">
        <f t="shared" si="13"/>
        <v>12000</v>
      </c>
      <c r="AK51" s="288">
        <f t="shared" si="13"/>
        <v>12000</v>
      </c>
      <c r="AL51" s="288">
        <f t="shared" si="13"/>
        <v>12000</v>
      </c>
      <c r="AM51" s="228"/>
      <c r="AN51" s="288">
        <f t="shared" si="16"/>
        <v>0</v>
      </c>
      <c r="AO51" s="288">
        <f t="shared" si="14"/>
        <v>0</v>
      </c>
      <c r="AP51" s="288">
        <f t="shared" si="14"/>
        <v>0</v>
      </c>
      <c r="AQ51" s="288">
        <f t="shared" si="14"/>
        <v>48000</v>
      </c>
      <c r="AR51" s="288">
        <f t="shared" si="14"/>
        <v>0</v>
      </c>
      <c r="AS51" s="288">
        <f t="shared" si="14"/>
        <v>0</v>
      </c>
      <c r="AT51" s="288">
        <f t="shared" si="14"/>
        <v>0</v>
      </c>
      <c r="AU51" s="288">
        <f t="shared" si="14"/>
        <v>48000</v>
      </c>
      <c r="AV51" s="288">
        <f t="shared" si="14"/>
        <v>0</v>
      </c>
      <c r="AW51" s="288">
        <f t="shared" si="14"/>
        <v>0</v>
      </c>
      <c r="AX51" s="288">
        <f t="shared" si="14"/>
        <v>0</v>
      </c>
      <c r="AY51" s="288">
        <f t="shared" si="14"/>
        <v>48000</v>
      </c>
      <c r="AZ51" s="288">
        <f>IF(AZ$42=$E51,SUM(AJ51:$AL51),0)</f>
        <v>0</v>
      </c>
      <c r="BA51" s="288">
        <f>IF(BA$42=$E51,SUM(AK51:$AL51),0)</f>
        <v>0</v>
      </c>
      <c r="BB51" s="288">
        <f>IF(BB$42=$E51,SUM(AL51:$AL51),0)</f>
        <v>0</v>
      </c>
      <c r="BD51" s="287">
        <f t="shared" si="11"/>
        <v>0</v>
      </c>
    </row>
    <row r="52" spans="1:56">
      <c r="G52" s="290"/>
      <c r="H52" s="305"/>
      <c r="I52" s="290"/>
      <c r="J52" s="290"/>
      <c r="K52" s="290"/>
      <c r="L52" s="290"/>
      <c r="M52" s="290"/>
      <c r="N52" s="290"/>
      <c r="O52" s="290"/>
      <c r="P52" s="290"/>
      <c r="Q52" s="290"/>
      <c r="R52" s="290"/>
      <c r="S52" s="290"/>
      <c r="T52" s="290"/>
      <c r="U52" s="290"/>
      <c r="X52" s="227"/>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D52" s="287">
        <f t="shared" si="11"/>
        <v>0</v>
      </c>
    </row>
    <row r="53" spans="1:56">
      <c r="A53" s="224" t="s">
        <v>185</v>
      </c>
      <c r="B53" s="224"/>
      <c r="C53" s="224"/>
      <c r="D53" s="224"/>
      <c r="E53" s="224"/>
      <c r="G53" s="290"/>
      <c r="H53" s="305"/>
      <c r="I53" s="290"/>
      <c r="J53" s="290"/>
      <c r="K53" s="290"/>
      <c r="L53" s="290"/>
      <c r="M53" s="290"/>
      <c r="N53" s="290"/>
      <c r="O53" s="290"/>
      <c r="P53" s="290"/>
      <c r="Q53" s="290"/>
      <c r="R53" s="290"/>
      <c r="S53" s="290"/>
      <c r="T53" s="290"/>
      <c r="U53" s="290"/>
      <c r="X53" s="227"/>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D53" s="287">
        <f t="shared" si="11"/>
        <v>0</v>
      </c>
    </row>
    <row r="54" spans="1:56">
      <c r="A54" s="283" t="s">
        <v>140</v>
      </c>
      <c r="B54" s="243" t="str">
        <f>VLOOKUP(A54,'DFP-Com'!$A$16:$B$50,2,1)</f>
        <v xml:space="preserve">     4.1.d  Other</v>
      </c>
      <c r="C54" s="283" t="s">
        <v>179</v>
      </c>
      <c r="D54" s="223">
        <v>20000</v>
      </c>
      <c r="G54" s="290">
        <v>1267.82</v>
      </c>
      <c r="H54" s="305">
        <v>2000</v>
      </c>
      <c r="I54" s="290">
        <v>1400</v>
      </c>
      <c r="J54" s="290">
        <v>1400</v>
      </c>
      <c r="K54" s="290">
        <v>1400</v>
      </c>
      <c r="L54" s="290">
        <v>1400</v>
      </c>
      <c r="M54" s="290">
        <v>1400</v>
      </c>
      <c r="N54" s="290">
        <v>1400</v>
      </c>
      <c r="O54" s="290">
        <v>1400</v>
      </c>
      <c r="P54" s="290">
        <v>1400</v>
      </c>
      <c r="Q54" s="290">
        <v>1400</v>
      </c>
      <c r="R54" s="290">
        <v>1400</v>
      </c>
      <c r="S54" s="290">
        <v>1400</v>
      </c>
      <c r="T54" s="290">
        <f>1400-68</f>
        <v>1332</v>
      </c>
      <c r="U54" s="290">
        <f t="shared" si="15"/>
        <v>19999.82</v>
      </c>
      <c r="X54" s="238">
        <f t="shared" ref="X54:AL55" si="20">F54</f>
        <v>0</v>
      </c>
      <c r="Y54" s="288">
        <f t="shared" si="20"/>
        <v>1267.82</v>
      </c>
      <c r="Z54" s="288">
        <f t="shared" si="20"/>
        <v>2000</v>
      </c>
      <c r="AA54" s="288">
        <f t="shared" si="20"/>
        <v>1400</v>
      </c>
      <c r="AB54" s="288">
        <f t="shared" si="20"/>
        <v>1400</v>
      </c>
      <c r="AC54" s="288">
        <f t="shared" si="20"/>
        <v>1400</v>
      </c>
      <c r="AD54" s="288">
        <f t="shared" si="20"/>
        <v>1400</v>
      </c>
      <c r="AE54" s="288">
        <f t="shared" si="20"/>
        <v>1400</v>
      </c>
      <c r="AF54" s="288">
        <f t="shared" si="20"/>
        <v>1400</v>
      </c>
      <c r="AG54" s="288">
        <f t="shared" si="20"/>
        <v>1400</v>
      </c>
      <c r="AH54" s="288">
        <f t="shared" si="20"/>
        <v>1400</v>
      </c>
      <c r="AI54" s="288">
        <f t="shared" si="20"/>
        <v>1400</v>
      </c>
      <c r="AJ54" s="288">
        <f t="shared" si="20"/>
        <v>1400</v>
      </c>
      <c r="AK54" s="288">
        <f t="shared" si="20"/>
        <v>1400</v>
      </c>
      <c r="AL54" s="288">
        <f t="shared" si="20"/>
        <v>1332</v>
      </c>
      <c r="AM54" s="228"/>
      <c r="AN54" s="288">
        <f>X54</f>
        <v>0</v>
      </c>
      <c r="AO54" s="288">
        <f t="shared" ref="AO54:BB55" si="21">Y54</f>
        <v>1267.82</v>
      </c>
      <c r="AP54" s="288">
        <f t="shared" si="21"/>
        <v>2000</v>
      </c>
      <c r="AQ54" s="288">
        <f t="shared" si="21"/>
        <v>1400</v>
      </c>
      <c r="AR54" s="288">
        <f t="shared" si="21"/>
        <v>1400</v>
      </c>
      <c r="AS54" s="288">
        <f t="shared" si="21"/>
        <v>1400</v>
      </c>
      <c r="AT54" s="288">
        <f t="shared" si="21"/>
        <v>1400</v>
      </c>
      <c r="AU54" s="288">
        <f t="shared" si="21"/>
        <v>1400</v>
      </c>
      <c r="AV54" s="288">
        <f t="shared" si="21"/>
        <v>1400</v>
      </c>
      <c r="AW54" s="288">
        <f t="shared" si="21"/>
        <v>1400</v>
      </c>
      <c r="AX54" s="288">
        <f t="shared" si="21"/>
        <v>1400</v>
      </c>
      <c r="AY54" s="288">
        <f t="shared" si="21"/>
        <v>1400</v>
      </c>
      <c r="AZ54" s="288">
        <f t="shared" si="21"/>
        <v>1400</v>
      </c>
      <c r="BA54" s="288">
        <f t="shared" si="21"/>
        <v>1400</v>
      </c>
      <c r="BB54" s="288">
        <f t="shared" si="21"/>
        <v>1332</v>
      </c>
      <c r="BD54" s="287">
        <f t="shared" si="11"/>
        <v>0</v>
      </c>
    </row>
    <row r="55" spans="1:56">
      <c r="A55" s="283" t="s">
        <v>138</v>
      </c>
      <c r="B55" s="243" t="str">
        <f>VLOOKUP(A55,'DFP-Com'!$A$16:$B$50,2,1)</f>
        <v xml:space="preserve">     4.1.b  Travel*</v>
      </c>
      <c r="C55" s="283" t="s">
        <v>180</v>
      </c>
      <c r="D55" s="223">
        <v>35000</v>
      </c>
      <c r="G55" s="290">
        <v>0</v>
      </c>
      <c r="H55" s="305">
        <v>4000</v>
      </c>
      <c r="I55" s="290">
        <v>2500</v>
      </c>
      <c r="J55" s="290">
        <v>2500</v>
      </c>
      <c r="K55" s="290">
        <v>2500</v>
      </c>
      <c r="L55" s="290">
        <v>3500</v>
      </c>
      <c r="M55" s="290">
        <v>2500</v>
      </c>
      <c r="N55" s="290">
        <v>2500</v>
      </c>
      <c r="O55" s="290">
        <v>2500</v>
      </c>
      <c r="P55" s="290">
        <v>2500</v>
      </c>
      <c r="Q55" s="290">
        <v>2500</v>
      </c>
      <c r="R55" s="290">
        <v>2500</v>
      </c>
      <c r="S55" s="290">
        <v>2500</v>
      </c>
      <c r="T55" s="290">
        <v>2500</v>
      </c>
      <c r="U55" s="290">
        <f t="shared" si="15"/>
        <v>35000</v>
      </c>
      <c r="X55" s="238">
        <f t="shared" si="20"/>
        <v>0</v>
      </c>
      <c r="Y55" s="288">
        <f t="shared" si="20"/>
        <v>0</v>
      </c>
      <c r="Z55" s="288">
        <f t="shared" si="20"/>
        <v>4000</v>
      </c>
      <c r="AA55" s="288">
        <f t="shared" si="20"/>
        <v>2500</v>
      </c>
      <c r="AB55" s="288">
        <f t="shared" si="20"/>
        <v>2500</v>
      </c>
      <c r="AC55" s="288">
        <f t="shared" si="20"/>
        <v>2500</v>
      </c>
      <c r="AD55" s="288">
        <f t="shared" si="20"/>
        <v>3500</v>
      </c>
      <c r="AE55" s="288">
        <f t="shared" si="20"/>
        <v>2500</v>
      </c>
      <c r="AF55" s="288">
        <f t="shared" si="20"/>
        <v>2500</v>
      </c>
      <c r="AG55" s="288">
        <f t="shared" si="20"/>
        <v>2500</v>
      </c>
      <c r="AH55" s="288">
        <f t="shared" si="20"/>
        <v>2500</v>
      </c>
      <c r="AI55" s="288">
        <f t="shared" si="20"/>
        <v>2500</v>
      </c>
      <c r="AJ55" s="288">
        <f t="shared" si="20"/>
        <v>2500</v>
      </c>
      <c r="AK55" s="288">
        <f t="shared" si="20"/>
        <v>2500</v>
      </c>
      <c r="AL55" s="288">
        <f t="shared" si="20"/>
        <v>2500</v>
      </c>
      <c r="AM55" s="228"/>
      <c r="AN55" s="288">
        <f>X55</f>
        <v>0</v>
      </c>
      <c r="AO55" s="288">
        <f t="shared" si="21"/>
        <v>0</v>
      </c>
      <c r="AP55" s="288">
        <f t="shared" si="21"/>
        <v>4000</v>
      </c>
      <c r="AQ55" s="288">
        <f t="shared" si="21"/>
        <v>2500</v>
      </c>
      <c r="AR55" s="288">
        <f t="shared" si="21"/>
        <v>2500</v>
      </c>
      <c r="AS55" s="288">
        <f t="shared" si="21"/>
        <v>2500</v>
      </c>
      <c r="AT55" s="288">
        <f t="shared" si="21"/>
        <v>3500</v>
      </c>
      <c r="AU55" s="288">
        <f t="shared" si="21"/>
        <v>2500</v>
      </c>
      <c r="AV55" s="288">
        <f t="shared" si="21"/>
        <v>2500</v>
      </c>
      <c r="AW55" s="288">
        <f t="shared" si="21"/>
        <v>2500</v>
      </c>
      <c r="AX55" s="288">
        <f t="shared" si="21"/>
        <v>2500</v>
      </c>
      <c r="AY55" s="288">
        <f t="shared" si="21"/>
        <v>2500</v>
      </c>
      <c r="AZ55" s="288">
        <f t="shared" si="21"/>
        <v>2500</v>
      </c>
      <c r="BA55" s="288">
        <f t="shared" si="21"/>
        <v>2500</v>
      </c>
      <c r="BB55" s="288">
        <f t="shared" si="21"/>
        <v>2500</v>
      </c>
      <c r="BD55" s="287">
        <f t="shared" si="11"/>
        <v>0</v>
      </c>
    </row>
    <row r="56" spans="1:56" s="234" customFormat="1">
      <c r="A56" s="235"/>
      <c r="D56" s="236"/>
      <c r="H56" s="306"/>
      <c r="U56" s="237"/>
      <c r="V56" s="283"/>
      <c r="W56" s="283"/>
      <c r="X56" s="231"/>
      <c r="Y56" s="231"/>
      <c r="Z56" s="231"/>
      <c r="AA56" s="231"/>
      <c r="AB56" s="231"/>
      <c r="AC56" s="231"/>
      <c r="AD56" s="231"/>
      <c r="AE56" s="231"/>
      <c r="AF56" s="231"/>
      <c r="AG56" s="231"/>
      <c r="AH56" s="231"/>
      <c r="AI56" s="231"/>
      <c r="AJ56" s="231"/>
      <c r="AK56" s="231"/>
      <c r="AL56" s="231"/>
    </row>
    <row r="57" spans="1:56">
      <c r="B57" s="227" t="s">
        <v>199</v>
      </c>
      <c r="D57" s="238">
        <f>SUM(D4:D55)</f>
        <v>23584570</v>
      </c>
      <c r="E57" s="227"/>
      <c r="F57" s="227"/>
      <c r="G57" s="227"/>
      <c r="H57" s="307"/>
      <c r="I57" s="227"/>
      <c r="J57" s="227"/>
      <c r="K57" s="227"/>
      <c r="L57" s="227"/>
      <c r="M57" s="227"/>
      <c r="N57" s="227"/>
      <c r="O57" s="227"/>
      <c r="P57" s="227"/>
      <c r="Q57" s="227"/>
      <c r="R57" s="227"/>
      <c r="T57" s="227"/>
      <c r="U57" s="227"/>
      <c r="X57" s="287" t="s">
        <v>98</v>
      </c>
    </row>
    <row r="58" spans="1:56">
      <c r="D58" s="241"/>
      <c r="E58" s="242"/>
      <c r="F58" s="242"/>
      <c r="G58" s="242"/>
      <c r="H58" s="306"/>
      <c r="I58" s="242"/>
      <c r="J58" s="242"/>
      <c r="K58" s="242"/>
      <c r="L58" s="242"/>
      <c r="M58" s="242"/>
      <c r="N58" s="242"/>
      <c r="O58" s="242"/>
      <c r="P58" s="242"/>
      <c r="Q58" s="242"/>
      <c r="R58" s="242"/>
      <c r="S58" s="242"/>
      <c r="T58" s="242"/>
      <c r="U58" s="242"/>
      <c r="X58" s="287"/>
    </row>
    <row r="59" spans="1:56">
      <c r="A59" s="283" t="s">
        <v>122</v>
      </c>
      <c r="B59" s="591" t="str">
        <f>VLOOKUP(A59,'DFP-Com'!$A$16:$B$50,2,1)</f>
        <v xml:space="preserve">     1.1.a  Education Project Implementation Contract</v>
      </c>
      <c r="C59" s="591"/>
      <c r="D59" s="223">
        <f>SUMIF($A$4:$A$56,"="&amp;A59,$D$4:$D$56)</f>
        <v>8700000</v>
      </c>
    </row>
    <row r="60" spans="1:56">
      <c r="A60" s="283" t="s">
        <v>123</v>
      </c>
      <c r="B60" s="591" t="str">
        <f>VLOOKUP(A60,'DFP-Com'!$A$16:$B$50,2,1)</f>
        <v xml:space="preserve">     1.1.b  Grants to Universities for Teacher Training (Diplomados)</v>
      </c>
      <c r="C60" s="591"/>
      <c r="D60" s="223">
        <f>SUMIF($A$4:$A$56,"="&amp;A60,$D$4:$D$56)</f>
        <v>3000000</v>
      </c>
    </row>
    <row r="61" spans="1:56">
      <c r="A61" s="283" t="s">
        <v>125</v>
      </c>
      <c r="B61" s="591" t="str">
        <f>VLOOKUP(A61,'DFP-Com'!$A$16:$B$50,2,1)</f>
        <v xml:space="preserve">     1.2.a  TVET</v>
      </c>
      <c r="C61" s="591"/>
      <c r="D61" s="223">
        <f>SUMIF($A$4:$A$56,"="&amp;A61,$D$4:$D$56)</f>
        <v>4144000</v>
      </c>
    </row>
    <row r="62" spans="1:56">
      <c r="A62" s="283" t="s">
        <v>126</v>
      </c>
      <c r="B62" s="591" t="str">
        <f>VLOOKUP(A62,'DFP-Com'!$A$16:$B$50,2,1)</f>
        <v xml:space="preserve">     1.3.a  Education Project Implementation Contract</v>
      </c>
      <c r="C62" s="591"/>
      <c r="D62" s="223">
        <f>SUMIF($A$4:$A$56,"="&amp;A62,$D$4:$D$56)</f>
        <v>2500000</v>
      </c>
    </row>
    <row r="63" spans="1:56">
      <c r="A63" s="283" t="s">
        <v>127</v>
      </c>
      <c r="B63" s="591" t="str">
        <f>VLOOKUP(A63,'DFP-Com'!$A$16:$B$50,2,1)</f>
        <v xml:space="preserve">     1.3.b  Education Project Coordination team*</v>
      </c>
      <c r="C63" s="591"/>
      <c r="D63" s="223">
        <f>SUMIF($A$4:$A$56,"="&amp;A63,$D$4:$D$56)</f>
        <v>178400</v>
      </c>
    </row>
    <row r="64" spans="1:56">
      <c r="B64" s="292" t="s">
        <v>215</v>
      </c>
      <c r="C64" s="292"/>
      <c r="D64" s="293">
        <f>SUM(D59:D63)</f>
        <v>18522400</v>
      </c>
      <c r="E64" s="230">
        <f>'QFR - B'!M14</f>
        <v>20889574.390000001</v>
      </c>
      <c r="F64" s="287">
        <f>E64-D64</f>
        <v>2367174.3900000006</v>
      </c>
    </row>
    <row r="65" spans="1:6">
      <c r="A65" s="283" t="s">
        <v>129</v>
      </c>
      <c r="B65" s="591" t="str">
        <f>VLOOKUP(A65,'DFP-Com'!$A$16:$B$50,2,1)</f>
        <v xml:space="preserve">     2.1.a  Tax and Customs</v>
      </c>
      <c r="C65" s="591"/>
      <c r="D65" s="223">
        <f>SUMIF($A$4:$A$56,"="&amp;A65,$D$4:$D$56)</f>
        <v>384000</v>
      </c>
    </row>
    <row r="66" spans="1:6">
      <c r="B66" s="292" t="s">
        <v>216</v>
      </c>
      <c r="C66" s="292"/>
      <c r="D66" s="294">
        <f>D65</f>
        <v>384000</v>
      </c>
      <c r="E66" s="230">
        <f>'QFR - B'!M20</f>
        <v>1412145.29</v>
      </c>
      <c r="F66" s="287">
        <f>E66-D66</f>
        <v>1028145.29</v>
      </c>
    </row>
    <row r="67" spans="1:6">
      <c r="A67" s="283" t="s">
        <v>130</v>
      </c>
      <c r="B67" s="591" t="str">
        <f>VLOOKUP(A67,'DFP-Com'!$A$16:$B$50,2,1)</f>
        <v xml:space="preserve">     2.2.a  Advisors</v>
      </c>
      <c r="C67" s="591"/>
      <c r="D67" s="223">
        <f>SUMIF($A$4:$A$56,"="&amp;A67,$D$4:$D$56)</f>
        <v>728750</v>
      </c>
    </row>
    <row r="68" spans="1:6">
      <c r="A68" s="283" t="s">
        <v>131</v>
      </c>
      <c r="B68" s="591" t="str">
        <f>VLOOKUP(A68,'DFP-Com'!$A$16:$B$50,2,1)</f>
        <v xml:space="preserve">     2.2.b  Feasiblity Studies/  Transaction Advisory Services</v>
      </c>
      <c r="C68" s="591"/>
      <c r="D68" s="223">
        <f>SUMIF($A$4:$A$56,"="&amp;A68,$D$4:$D$56)</f>
        <v>1650000</v>
      </c>
    </row>
    <row r="69" spans="1:6">
      <c r="B69" s="292" t="s">
        <v>217</v>
      </c>
      <c r="C69" s="292"/>
      <c r="D69" s="294">
        <f>SUM(D67:D68)</f>
        <v>2378750</v>
      </c>
      <c r="E69" s="230">
        <f>'QFR - B'!M21</f>
        <v>1548175.27</v>
      </c>
      <c r="F69" s="287">
        <f>E69-D69</f>
        <v>-830574.73</v>
      </c>
    </row>
    <row r="70" spans="1:6">
      <c r="A70" s="283" t="s">
        <v>133</v>
      </c>
      <c r="B70" s="591" t="str">
        <f>VLOOKUP(A70,'DFP-Com'!$A$16:$B$50,2,1)</f>
        <v xml:space="preserve">     3.1.a  Student Assessment</v>
      </c>
      <c r="C70" s="591"/>
      <c r="D70" s="223">
        <f>SUMIF($A$4:$A$56,"="&amp;A70,$D$4:$D$56)</f>
        <v>706400</v>
      </c>
    </row>
    <row r="71" spans="1:6">
      <c r="A71" s="283" t="s">
        <v>134</v>
      </c>
      <c r="B71" s="591" t="str">
        <f>VLOOKUP(A71,'DFP-Com'!$A$16:$B$50,2,1)</f>
        <v xml:space="preserve">     3.1.b  Teacher Evaluations</v>
      </c>
      <c r="C71" s="591"/>
      <c r="D71" s="223">
        <f>SUMIF($A$4:$A$56,"="&amp;A71,$D$4:$D$56)</f>
        <v>300000</v>
      </c>
    </row>
    <row r="72" spans="1:6">
      <c r="A72" s="283" t="s">
        <v>135</v>
      </c>
      <c r="B72" s="591" t="str">
        <f>VLOOKUP(A72,'DFP-Com'!$A$16:$B$50,2,1)</f>
        <v xml:space="preserve">     3.1.c  Voc Ed Tracer Studies</v>
      </c>
      <c r="C72" s="591"/>
      <c r="D72" s="223">
        <f>SUMIF($A$4:$A$56,"="&amp;A72,$D$4:$D$56)</f>
        <v>300000</v>
      </c>
    </row>
    <row r="73" spans="1:6">
      <c r="A73" s="283" t="s">
        <v>136</v>
      </c>
      <c r="B73" s="591" t="str">
        <f>VLOOKUP(A73,'DFP-Com'!$A$16:$B$50,2,1)</f>
        <v xml:space="preserve">     3.1 d Other</v>
      </c>
      <c r="C73" s="591"/>
      <c r="D73" s="223">
        <f>SUMIF($A$4:$A$56,"="&amp;A73,$D$4:$D$56)</f>
        <v>200000</v>
      </c>
    </row>
    <row r="74" spans="1:6">
      <c r="B74" s="292" t="s">
        <v>198</v>
      </c>
      <c r="C74" s="292"/>
      <c r="D74" s="294">
        <f>SUM(D70:D73)</f>
        <v>1506400</v>
      </c>
      <c r="E74" s="230">
        <f>'QFR - B'!M24</f>
        <v>603518.79</v>
      </c>
      <c r="F74" s="287">
        <f>E74-D74</f>
        <v>-902881.21</v>
      </c>
    </row>
    <row r="75" spans="1:6">
      <c r="A75" s="283" t="s">
        <v>137</v>
      </c>
      <c r="B75" s="591" t="str">
        <f>VLOOKUP(A75,'DFP-Com'!$A$16:$B$50,2,1)</f>
        <v xml:space="preserve">     4.1.a  Staff Compensation*</v>
      </c>
      <c r="C75" s="591"/>
      <c r="D75" s="223">
        <f>SUMIF($A$4:$A$56,"="&amp;A75,$D$4:$D$56)</f>
        <v>636520</v>
      </c>
    </row>
    <row r="76" spans="1:6">
      <c r="A76" s="283" t="s">
        <v>138</v>
      </c>
      <c r="B76" s="591" t="str">
        <f>VLOOKUP(A76,'DFP-Com'!$A$16:$B$50,2,1)</f>
        <v xml:space="preserve">     4.1.b  Travel*</v>
      </c>
      <c r="C76" s="591"/>
      <c r="D76" s="223">
        <f>SUMIF($A$4:$A$56,"="&amp;A76,$D$4:$D$56)</f>
        <v>35000</v>
      </c>
    </row>
    <row r="77" spans="1:6">
      <c r="A77" s="283" t="s">
        <v>139</v>
      </c>
      <c r="B77" s="591" t="str">
        <f>VLOOKUP(A77,'DFP-Com'!$A$16:$B$50,2,1)</f>
        <v xml:space="preserve">     4.1.c  Audit</v>
      </c>
      <c r="C77" s="591"/>
      <c r="D77" s="223">
        <f>SUMIF($A$4:$A$56,"="&amp;A77,$D$4:$D$56)</f>
        <v>90000</v>
      </c>
    </row>
    <row r="78" spans="1:6">
      <c r="A78" s="283" t="s">
        <v>140</v>
      </c>
      <c r="B78" s="591" t="str">
        <f>VLOOKUP(A78,'DFP-Com'!$A$16:$B$50,2,1)</f>
        <v xml:space="preserve">     4.1.d  Other</v>
      </c>
      <c r="C78" s="591"/>
      <c r="D78" s="223">
        <f>SUMIF($A$4:$A$56,"="&amp;A78,$D$4:$D$56)</f>
        <v>31500</v>
      </c>
    </row>
    <row r="79" spans="1:6">
      <c r="B79" s="292" t="s">
        <v>218</v>
      </c>
      <c r="C79" s="292"/>
      <c r="D79" s="294">
        <f>SUM(D75:D78)</f>
        <v>793020</v>
      </c>
      <c r="E79" s="230">
        <f>'QFR - B'!M27</f>
        <v>1744086.26</v>
      </c>
      <c r="F79" s="287">
        <f>E79-D79</f>
        <v>951066.26</v>
      </c>
    </row>
  </sheetData>
  <autoFilter ref="A3:BD38"/>
  <mergeCells count="16">
    <mergeCell ref="B65:C65"/>
    <mergeCell ref="B59:C59"/>
    <mergeCell ref="B60:C60"/>
    <mergeCell ref="B61:C61"/>
    <mergeCell ref="B62:C62"/>
    <mergeCell ref="B63:C63"/>
    <mergeCell ref="B75:C75"/>
    <mergeCell ref="B76:C76"/>
    <mergeCell ref="B77:C77"/>
    <mergeCell ref="B78:C78"/>
    <mergeCell ref="B67:C67"/>
    <mergeCell ref="B68:C68"/>
    <mergeCell ref="B70:C70"/>
    <mergeCell ref="B71:C71"/>
    <mergeCell ref="B72:C72"/>
    <mergeCell ref="B73:C73"/>
  </mergeCells>
  <pageMargins left="0.7" right="0.7" top="0.75" bottom="0.75" header="0.3" footer="0.3"/>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hresholdDocs" ma:contentTypeID="0x01010060F0C3B9C1A6634EB9ABC54E876D711E003DCEA2CA0D72C4489A479CA46ABC2FD4" ma:contentTypeVersion="11" ma:contentTypeDescription="" ma:contentTypeScope="" ma:versionID="4fea394353aa98332856157fb3b026c7">
  <xsd:schema xmlns:xsd="http://www.w3.org/2001/XMLSchema" xmlns:xs="http://www.w3.org/2001/XMLSchema" xmlns:p="http://schemas.microsoft.com/office/2006/metadata/properties" xmlns:ns2="133de3ae-5bb8-4cbb-9752-c1040d721e37" xmlns:ns3="c6aa829a-de30-4eeb-a917-5f1e16f11f75" xmlns:ns4="d3b91ed5-3f36-4885-8f16-366304d6a523" targetNamespace="http://schemas.microsoft.com/office/2006/metadata/properties" ma:root="true" ma:fieldsID="3d40a0d8e27d163d789eaf5eece8350e" ns2:_="" ns3:_="" ns4:_="">
    <xsd:import namespace="133de3ae-5bb8-4cbb-9752-c1040d721e37"/>
    <xsd:import namespace="c6aa829a-de30-4eeb-a917-5f1e16f11f75"/>
    <xsd:import namespace="d3b91ed5-3f36-4885-8f16-366304d6a523"/>
    <xsd:element name="properties">
      <xsd:complexType>
        <xsd:sequence>
          <xsd:element name="documentManagement">
            <xsd:complexType>
              <xsd:all>
                <xsd:element ref="ns2:Country1" minOccurs="0"/>
                <xsd:element ref="ns3:Phase" minOccurs="0"/>
                <xsd:element ref="ns3:SubPhase" minOccurs="0"/>
                <xsd:element ref="ns2:FY" minOccurs="0"/>
                <xsd:element ref="ns2:ReviewType" minOccurs="0"/>
                <xsd:element ref="ns2:DocumentStatus" minOccurs="0"/>
                <xsd:element ref="ns3:Project" minOccurs="0"/>
                <xsd:element ref="ns3:Activity" minOccurs="0"/>
                <xsd:element ref="ns3:DocType" minOccurs="0"/>
                <xsd:element ref="ns3:SubDocType" minOccurs="0"/>
                <xsd:element ref="ns2:PracticeUnit" minOccurs="0"/>
                <xsd:element ref="ns2:SendTo" minOccurs="0"/>
                <xsd:element ref="ns2:AggregatedComment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de3ae-5bb8-4cbb-9752-c1040d721e37" elementFormDefault="qualified">
    <xsd:import namespace="http://schemas.microsoft.com/office/2006/documentManagement/types"/>
    <xsd:import namespace="http://schemas.microsoft.com/office/infopath/2007/PartnerControls"/>
    <xsd:element name="Country1" ma:index="1" nillable="true" ma:displayName="Country" ma:default="Guatemala" ma:format="Dropdown" ma:internalName="Country1">
      <xsd:simpleType>
        <xsd:restriction base="dms:Choice">
          <xsd:enumeration value="Guatemala"/>
          <xsd:enumeration value="Honduras"/>
        </xsd:restriction>
      </xsd:simpleType>
    </xsd:element>
    <xsd:element name="FY" ma:index="4" nillable="true" ma:displayName="FY" ma:default="2017" ma:format="Dropdown" ma:internalName="FY">
      <xsd:simpleType>
        <xsd:restriction base="dms:Choice">
          <xsd:enumeration value="2014"/>
          <xsd:enumeration value="2015"/>
          <xsd:enumeration value="2016"/>
          <xsd:enumeration value="2017"/>
          <xsd:enumeration value="2018"/>
          <xsd:enumeration value="2019"/>
          <xsd:enumeration value="2020"/>
          <xsd:enumeration value="2021"/>
          <xsd:enumeration value="2022"/>
        </xsd:restriction>
      </xsd:simpleType>
    </xsd:element>
    <xsd:element name="ReviewType" ma:index="5" nillable="true" ma:displayName="ReviewType" ma:format="Dropdown" ma:internalName="ReviewType">
      <xsd:simpleType>
        <xsd:restriction base="dms:Choice">
          <xsd:enumeration value="No Objection"/>
          <xsd:enumeration value="Technical Review"/>
        </xsd:restriction>
      </xsd:simpleType>
    </xsd:element>
    <xsd:element name="DocumentStatus" ma:index="6" nillable="true" ma:displayName="DocumentStatus" ma:default="Pending" ma:format="Dropdown" ma:internalName="DocumentStatus">
      <xsd:simpleType>
        <xsd:restriction base="dms:Choice">
          <xsd:enumeration value="Pending"/>
          <xsd:enumeration value="Clear"/>
          <xsd:enumeration value="Object"/>
          <xsd:enumeration value="Reviewed"/>
          <xsd:enumeration value="Deferred"/>
        </xsd:restriction>
      </xsd:simpleType>
    </xsd:element>
    <xsd:element name="PracticeUnit" ma:index="11" nillable="true" ma:displayName="PracticeUnit" ma:internalName="PracticeUnit">
      <xsd:complexType>
        <xsd:complexContent>
          <xsd:extension base="dms:MultiChoice">
            <xsd:sequence>
              <xsd:element name="Value" maxOccurs="unbounded" minOccurs="0" nillable="true">
                <xsd:simpleType>
                  <xsd:restriction base="dms:Choice">
                    <xsd:enumeration value="ADMN"/>
                    <xsd:enumeration value="AG"/>
                    <xsd:enumeration value="COMMS"/>
                    <xsd:enumeration value="ECON"/>
                    <xsd:enumeration value="EPG"/>
                    <xsd:enumeration value="ESP"/>
                    <xsd:enumeration value="FA"/>
                    <xsd:enumeration value="FIT"/>
                    <xsd:enumeration value="GSI"/>
                    <xsd:enumeration value="HCD"/>
                    <xsd:enumeration value="M&amp;E"/>
                    <xsd:enumeration value="OGC"/>
                    <xsd:enumeration value="PEPFAR"/>
                    <xsd:enumeration value="PRLP"/>
                    <xsd:enumeration value="PROC"/>
                    <xsd:enumeration value="TVS"/>
                    <xsd:enumeration value="WSI"/>
                    <xsd:enumeration value="ALL"/>
                    <xsd:enumeration value="NONE"/>
                  </xsd:restriction>
                </xsd:simpleType>
              </xsd:element>
            </xsd:sequence>
          </xsd:extension>
        </xsd:complexContent>
      </xsd:complexType>
    </xsd:element>
    <xsd:element name="SendTo" ma:index="12" nillable="true" ma:displayName="SendTo" ma:default="--Choose One--" ma:format="Dropdown" ma:internalName="SendTo">
      <xsd:simpleType>
        <xsd:restriction base="dms:Choice">
          <xsd:enumeration value="--Choose One--"/>
          <xsd:enumeration value="Program Ops"/>
          <xsd:enumeration value="Threshold Docs"/>
        </xsd:restriction>
      </xsd:simpleType>
    </xsd:element>
    <xsd:element name="AggregatedComments" ma:index="13" nillable="true" ma:displayName="AggregatedComments" ma:internalName="Aggregated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aa829a-de30-4eeb-a917-5f1e16f11f75" elementFormDefault="qualified">
    <xsd:import namespace="http://schemas.microsoft.com/office/2006/documentManagement/types"/>
    <xsd:import namespace="http://schemas.microsoft.com/office/infopath/2007/PartnerControls"/>
    <xsd:element name="Phase" ma:index="2" nillable="true" ma:displayName="Phase" ma:list="{40D30680-88E6-4E2D-B67E-CD876C42E85B}" ma:internalName="Phase" ma:showField="Title" ma:web="67c557b8-b921-471e-9697-a5b1256e8d40">
      <xsd:simpleType>
        <xsd:restriction base="dms:Lookup"/>
      </xsd:simpleType>
    </xsd:element>
    <xsd:element name="SubPhase" ma:index="3" nillable="true" ma:displayName="SubPhase" ma:list="{22140E0E-36AA-4C33-9A36-330CFCE54E87}" ma:internalName="SubPhase" ma:showField="Level1" ma:web="67c557b8-b921-471e-9697-a5b1256e8d40">
      <xsd:simpleType>
        <xsd:restriction base="dms:Lookup"/>
      </xsd:simpleType>
    </xsd:element>
    <xsd:element name="Project" ma:index="7" nillable="true" ma:displayName="Project" ma:list="{40D30680-88E6-4E2D-B67E-CD876C42E85B}" ma:internalName="Project" ma:showField="Title" ma:web="67c557b8-b921-471e-9697-a5b1256e8d40">
      <xsd:simpleType>
        <xsd:restriction base="dms:Lookup"/>
      </xsd:simpleType>
    </xsd:element>
    <xsd:element name="Activity" ma:index="8" nillable="true" ma:displayName="Activity" ma:list="{22140E0E-36AA-4C33-9A36-330CFCE54E87}" ma:internalName="Activity" ma:showField="Level1" ma:web="67c557b8-b921-471e-9697-a5b1256e8d40">
      <xsd:simpleType>
        <xsd:restriction base="dms:Lookup"/>
      </xsd:simpleType>
    </xsd:element>
    <xsd:element name="DocType" ma:index="9" nillable="true" ma:displayName="DocType" ma:list="{40D30680-88E6-4E2D-B67E-CD876C42E85B}" ma:internalName="DocType" ma:showField="Title" ma:web="67c557b8-b921-471e-9697-a5b1256e8d40">
      <xsd:simpleType>
        <xsd:restriction base="dms:Lookup"/>
      </xsd:simpleType>
    </xsd:element>
    <xsd:element name="SubDocType" ma:index="10" nillable="true" ma:displayName="SubDocType" ma:list="{22140E0E-36AA-4C33-9A36-330CFCE54E87}" ma:internalName="SubDocType" ma:showField="Level1" ma:web="67c557b8-b921-471e-9697-a5b1256e8d40">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d3b91ed5-3f36-4885-8f16-366304d6a523"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ggregatedComments xmlns="133de3ae-5bb8-4cbb-9752-c1040d721e37">&lt;div&gt;&lt;/div&gt;</AggregatedComments>
    <Country1 xmlns="133de3ae-5bb8-4cbb-9752-c1040d721e37">Guatemala</Country1>
    <PracticeUnit xmlns="133de3ae-5bb8-4cbb-9752-c1040d721e37">
      <Value>FA</Value>
    </PracticeUnit>
    <ReviewType xmlns="133de3ae-5bb8-4cbb-9752-c1040d721e37">Technical Review</ReviewType>
    <FY xmlns="133de3ae-5bb8-4cbb-9752-c1040d721e37">2017</FY>
    <DocumentStatus xmlns="133de3ae-5bb8-4cbb-9752-c1040d721e37">Pending</DocumentStatus>
    <_dlc_DocId xmlns="d3b91ed5-3f36-4885-8f16-366304d6a523">ZNSTWXDCAFYN-217-4</_dlc_DocId>
    <_dlc_DocIdUrl xmlns="d3b91ed5-3f36-4885-8f16-366304d6a523">
      <Url>http://intranet.mcc.gov/department/DPE/Team/POL_CPI/guatemala1/_layouts/DocIdRedir.aspx?ID=ZNSTWXDCAFYN-217-4</Url>
      <Description>ZNSTWXDCAFYN-217-4</Description>
    </_dlc_DocIdUrl>
    <SubDocType xmlns="c6aa829a-de30-4eeb-a917-5f1e16f11f75" xsi:nil="true"/>
    <Activity xmlns="c6aa829a-de30-4eeb-a917-5f1e16f11f75" xsi:nil="true"/>
    <DocType xmlns="c6aa829a-de30-4eeb-a917-5f1e16f11f75" xsi:nil="true"/>
    <Phase xmlns="c6aa829a-de30-4eeb-a917-5f1e16f11f75" xsi:nil="true"/>
    <Project xmlns="c6aa829a-de30-4eeb-a917-5f1e16f11f75" xsi:nil="true"/>
    <SubPhase xmlns="c6aa829a-de30-4eeb-a917-5f1e16f11f75" xsi:nil="true"/>
    <SendTo xmlns="133de3ae-5bb8-4cbb-9752-c1040d721e37">--Choose One--</SendTo>
  </documentManagement>
</p:properties>
</file>

<file path=customXml/itemProps1.xml><?xml version="1.0" encoding="utf-8"?>
<ds:datastoreItem xmlns:ds="http://schemas.openxmlformats.org/officeDocument/2006/customXml" ds:itemID="{138D9C3E-8C92-4208-8A5B-5D97F1107407}">
  <ds:schemaRefs>
    <ds:schemaRef ds:uri="http://schemas.microsoft.com/sharepoint/events"/>
  </ds:schemaRefs>
</ds:datastoreItem>
</file>

<file path=customXml/itemProps2.xml><?xml version="1.0" encoding="utf-8"?>
<ds:datastoreItem xmlns:ds="http://schemas.openxmlformats.org/officeDocument/2006/customXml" ds:itemID="{66C1C87B-2292-46AA-AF9B-7AA0FD922DE1}">
  <ds:schemaRefs>
    <ds:schemaRef ds:uri="http://schemas.microsoft.com/sharepoint/v3/contenttype/forms"/>
  </ds:schemaRefs>
</ds:datastoreItem>
</file>

<file path=customXml/itemProps3.xml><?xml version="1.0" encoding="utf-8"?>
<ds:datastoreItem xmlns:ds="http://schemas.openxmlformats.org/officeDocument/2006/customXml" ds:itemID="{1C7308B3-4904-454B-9FE5-211FFF23EF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3de3ae-5bb8-4cbb-9752-c1040d721e37"/>
    <ds:schemaRef ds:uri="c6aa829a-de30-4eeb-a917-5f1e16f11f75"/>
    <ds:schemaRef ds:uri="d3b91ed5-3f36-4885-8f16-366304d6a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A3C046C-33C0-43F6-B7B3-4A615857768F}">
  <ds:schemaRefs>
    <ds:schemaRef ds:uri="http://schemas.microsoft.com/office/2006/metadata/properties"/>
    <ds:schemaRef ds:uri="http://schemas.microsoft.com/office/infopath/2007/PartnerControls"/>
    <ds:schemaRef ds:uri="http://schemas.microsoft.com/office/2006/documentManagement/types"/>
    <ds:schemaRef ds:uri="http://purl.org/dc/elements/1.1/"/>
    <ds:schemaRef ds:uri="c6aa829a-de30-4eeb-a917-5f1e16f11f75"/>
    <ds:schemaRef ds:uri="http://schemas.openxmlformats.org/package/2006/metadata/core-properties"/>
    <ds:schemaRef ds:uri="http://purl.org/dc/terms/"/>
    <ds:schemaRef ds:uri="d3b91ed5-3f36-4885-8f16-366304d6a523"/>
    <ds:schemaRef ds:uri="133de3ae-5bb8-4cbb-9752-c1040d721e3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DFP-Com</vt:lpstr>
      <vt:lpstr>DFP-CASH</vt:lpstr>
      <vt:lpstr>QFR - A</vt:lpstr>
      <vt:lpstr>QFR - B</vt:lpstr>
      <vt:lpstr>QFR - B (2)</vt:lpstr>
      <vt:lpstr>THP DR</vt:lpstr>
      <vt:lpstr>Contract level</vt:lpstr>
      <vt:lpstr>Error checks</vt:lpstr>
      <vt:lpstr>Historico</vt:lpstr>
      <vt:lpstr>'DFP-CASH'!Área_de_impresión</vt:lpstr>
      <vt:lpstr>'DFP-Com'!Área_de_impresión</vt:lpstr>
    </vt:vector>
  </TitlesOfParts>
  <Company>MCC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Wingle, John F (DPE/POL-CPI)</dc:creator>
  <cp:lastModifiedBy>Josué Ricart</cp:lastModifiedBy>
  <cp:lastPrinted>2021-03-12T17:12:16Z</cp:lastPrinted>
  <dcterms:created xsi:type="dcterms:W3CDTF">2016-05-12T16:21:20Z</dcterms:created>
  <dcterms:modified xsi:type="dcterms:W3CDTF">2021-12-21T04:13:37Z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082eae01-d6a2-4991-94c0-3e83e35649f4</vt:lpwstr>
  </property>
  <property fmtid="{D5CDD505-2E9C-101B-9397-08002B2CF9AE}" pid="3" name="ContentTypeId">
    <vt:lpwstr>0x01010060F0C3B9C1A6634EB9ABC54E876D711E003DCEA2CA0D72C4489A479CA46ABC2FD4</vt:lpwstr>
  </property>
</Properties>
</file>