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9no Desembolso Jul - Sept 2018\"/>
    </mc:Choice>
  </mc:AlternateContent>
  <bookViews>
    <workbookView xWindow="0" yWindow="0" windowWidth="19200" windowHeight="6945" activeTab="1"/>
  </bookViews>
  <sheets>
    <sheet name="DFP-Com" sheetId="1" r:id="rId1"/>
    <sheet name="DFP-CASH" sheetId="2" r:id="rId2"/>
    <sheet name="QFR - A" sheetId="3" r:id="rId3"/>
    <sheet name="Hoja1" sheetId="10" r:id="rId4"/>
    <sheet name="QFR - B" sheetId="4" r:id="rId5"/>
    <sheet name="THP DR" sheetId="5" r:id="rId6"/>
    <sheet name="Contract level" sheetId="6" state="hidden" r:id="rId7"/>
    <sheet name="Error checks" sheetId="7" state="hidden" r:id="rId8"/>
    <sheet name="Hoja2" sheetId="11" state="hidden" r:id="rId9"/>
    <sheet name="Historico" sheetId="9" state="hidden" r:id="rId10"/>
  </sheets>
  <externalReferences>
    <externalReference r:id="rId11"/>
  </externalReferences>
  <definedNames>
    <definedName name="_xlnm._FilterDatabase" localSheetId="6" hidden="1">'Contract level'!$A$3:$BF$121</definedName>
    <definedName name="_xlnm._FilterDatabase" localSheetId="1" hidden="1">'DFP-CASH'!$C$1:$E$85</definedName>
    <definedName name="_xlnm._FilterDatabase" localSheetId="9" hidden="1">Historico!$A$3:$BD$38</definedName>
    <definedName name="_xlnm.Print_Area" localSheetId="1">'DFP-CASH'!$B$11:$H$54</definedName>
    <definedName name="_xlnm.Print_Area" localSheetId="0">'DFP-Com'!$B$9:$H$52</definedName>
    <definedName name="ScheduleA" localSheetId="9">#REF!</definedName>
    <definedName name="ScheduleA">#REF!</definedName>
    <definedName name="ScheduleB" localSheetId="9">#REF!</definedName>
    <definedName name="ScheduleB">#REF!</definedName>
    <definedName name="ScheduleF" localSheetId="9">#REF!</definedName>
    <definedName name="ScheduleF">#REF!</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W42" i="6" l="1"/>
  <c r="Z42" i="6"/>
  <c r="AA42" i="6"/>
  <c r="AB42" i="6"/>
  <c r="AC42" i="6"/>
  <c r="AD42" i="6"/>
  <c r="AE42" i="6"/>
  <c r="AF42" i="6"/>
  <c r="AG42" i="6"/>
  <c r="AH42" i="6"/>
  <c r="AI42" i="6"/>
  <c r="AJ42" i="6"/>
  <c r="AK42" i="6"/>
  <c r="AL42" i="6"/>
  <c r="AM42" i="6"/>
  <c r="AN42" i="6"/>
  <c r="AO42" i="6"/>
  <c r="AP42" i="6"/>
  <c r="AQ42" i="6"/>
  <c r="AR42" i="6"/>
  <c r="AS42" i="6"/>
  <c r="AT42" i="6"/>
  <c r="AU42" i="6"/>
  <c r="AV42" i="6"/>
  <c r="AW42" i="6"/>
  <c r="AX42" i="6"/>
  <c r="AY42" i="6"/>
  <c r="AZ42" i="6"/>
  <c r="BA42" i="6"/>
  <c r="BB42" i="6"/>
  <c r="BC42" i="6"/>
  <c r="BD42" i="6"/>
  <c r="BE42" i="6"/>
  <c r="BF42" i="6" l="1"/>
  <c r="D7" i="6"/>
  <c r="E34" i="2" l="1"/>
  <c r="G48" i="2" l="1"/>
  <c r="P87" i="6"/>
  <c r="O87" i="6"/>
  <c r="AH73" i="6"/>
  <c r="N97" i="6"/>
  <c r="S97" i="6"/>
  <c r="E40" i="2"/>
  <c r="W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BA61" i="6"/>
  <c r="BB61" i="6"/>
  <c r="BC61" i="6"/>
  <c r="BD61" i="6"/>
  <c r="BE61" i="6"/>
  <c r="BF61" i="6" l="1"/>
  <c r="N32" i="6" l="1"/>
  <c r="W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O128" i="6"/>
  <c r="Q128" i="6" s="1"/>
  <c r="N128" i="6"/>
  <c r="M128" i="6"/>
  <c r="T132" i="6"/>
  <c r="W91" i="6"/>
  <c r="Z91" i="6"/>
  <c r="AA91" i="6"/>
  <c r="AB91" i="6"/>
  <c r="AC91" i="6"/>
  <c r="AD91" i="6"/>
  <c r="AE91" i="6"/>
  <c r="AF91" i="6"/>
  <c r="AG91" i="6"/>
  <c r="AH91" i="6"/>
  <c r="AI91" i="6"/>
  <c r="AJ91" i="6"/>
  <c r="AK91" i="6"/>
  <c r="AL91" i="6"/>
  <c r="AM91" i="6"/>
  <c r="AN91" i="6"/>
  <c r="AO91" i="6"/>
  <c r="AP91" i="6"/>
  <c r="AQ91" i="6"/>
  <c r="AR91" i="6"/>
  <c r="AS91" i="6"/>
  <c r="AT91" i="6"/>
  <c r="AU91" i="6"/>
  <c r="AV91" i="6"/>
  <c r="AW91" i="6"/>
  <c r="AX91" i="6"/>
  <c r="AY91" i="6"/>
  <c r="AZ91" i="6"/>
  <c r="BA91" i="6"/>
  <c r="BB91" i="6"/>
  <c r="BC91" i="6"/>
  <c r="BD91" i="6"/>
  <c r="BE91" i="6"/>
  <c r="BF43" i="6" l="1"/>
  <c r="BF91" i="6"/>
  <c r="P4" i="6" l="1"/>
  <c r="AW5" i="6" l="1"/>
  <c r="AX5" i="6"/>
  <c r="AS17" i="6" l="1"/>
  <c r="AS18" i="6"/>
  <c r="AS19" i="6"/>
  <c r="AS20" i="6"/>
  <c r="AS21" i="6"/>
  <c r="AS22" i="6"/>
  <c r="AS23" i="6"/>
  <c r="AS24" i="6"/>
  <c r="AS25" i="6"/>
  <c r="AS26" i="6"/>
  <c r="AS27" i="6"/>
  <c r="AS28" i="6"/>
  <c r="AS29" i="6"/>
  <c r="AS30" i="6"/>
  <c r="AR17" i="6"/>
  <c r="D5" i="3"/>
  <c r="D51" i="2"/>
  <c r="BA86" i="6"/>
  <c r="AV81" i="6"/>
  <c r="BE81" i="6"/>
  <c r="BD81" i="6"/>
  <c r="BC81" i="6"/>
  <c r="BB81" i="6"/>
  <c r="BA81" i="6"/>
  <c r="AZ81" i="6"/>
  <c r="AY81" i="6"/>
  <c r="AX81" i="6"/>
  <c r="AW81" i="6"/>
  <c r="AU81" i="6"/>
  <c r="AT81" i="6"/>
  <c r="AS81" i="6"/>
  <c r="AR81" i="6"/>
  <c r="AQ81" i="6"/>
  <c r="AP81" i="6"/>
  <c r="AO81" i="6"/>
  <c r="AN81" i="6"/>
  <c r="AM81" i="6"/>
  <c r="AL81" i="6"/>
  <c r="AK81" i="6"/>
  <c r="AJ81" i="6"/>
  <c r="AI81" i="6"/>
  <c r="AH81" i="6"/>
  <c r="AG81" i="6"/>
  <c r="AF81" i="6"/>
  <c r="AE81" i="6"/>
  <c r="AD81" i="6"/>
  <c r="AC81" i="6"/>
  <c r="AB81" i="6"/>
  <c r="AA81" i="6"/>
  <c r="Z81" i="6"/>
  <c r="W81" i="6"/>
  <c r="BF81" i="6" l="1"/>
  <c r="V85" i="6" l="1"/>
  <c r="O85" i="6"/>
  <c r="V87" i="6"/>
  <c r="V86" i="6"/>
  <c r="V83" i="6"/>
  <c r="AX85" i="6" l="1"/>
  <c r="D25" i="2" l="1"/>
  <c r="D24" i="2"/>
  <c r="W15" i="6"/>
  <c r="Z15" i="6"/>
  <c r="AA15" i="6"/>
  <c r="AB15" i="6"/>
  <c r="AC15" i="6"/>
  <c r="AD15" i="6"/>
  <c r="AE15" i="6"/>
  <c r="AF15" i="6"/>
  <c r="AG15" i="6"/>
  <c r="AH15" i="6"/>
  <c r="AI15" i="6"/>
  <c r="AJ15" i="6"/>
  <c r="AK15" i="6"/>
  <c r="AL15" i="6"/>
  <c r="AM15" i="6"/>
  <c r="AN15" i="6"/>
  <c r="AO15" i="6"/>
  <c r="AP15" i="6"/>
  <c r="AQ15" i="6"/>
  <c r="AR15" i="6"/>
  <c r="AS15" i="6"/>
  <c r="AV15" i="6"/>
  <c r="AW15" i="6"/>
  <c r="AX15" i="6"/>
  <c r="AY15" i="6"/>
  <c r="AZ15" i="6"/>
  <c r="BA15" i="6"/>
  <c r="BB15" i="6"/>
  <c r="BC15" i="6"/>
  <c r="BD15" i="6"/>
  <c r="BE15" i="6"/>
  <c r="BE78" i="6"/>
  <c r="BD78" i="6"/>
  <c r="BC78" i="6"/>
  <c r="BB78" i="6"/>
  <c r="BA78" i="6"/>
  <c r="AZ78" i="6"/>
  <c r="AY78" i="6"/>
  <c r="AX78" i="6"/>
  <c r="AW78" i="6"/>
  <c r="AV78" i="6"/>
  <c r="AS78" i="6"/>
  <c r="AR78" i="6"/>
  <c r="AQ78" i="6"/>
  <c r="AP78" i="6"/>
  <c r="AO78" i="6"/>
  <c r="AN78" i="6"/>
  <c r="AM78" i="6"/>
  <c r="AL78" i="6"/>
  <c r="AK78" i="6"/>
  <c r="AJ78" i="6"/>
  <c r="AI78" i="6"/>
  <c r="AH78" i="6"/>
  <c r="AG78" i="6"/>
  <c r="AF78" i="6"/>
  <c r="AE78" i="6"/>
  <c r="AD78" i="6"/>
  <c r="AC78" i="6"/>
  <c r="AB78" i="6"/>
  <c r="AA78" i="6"/>
  <c r="Z78" i="6"/>
  <c r="W78" i="6"/>
  <c r="BE77" i="6"/>
  <c r="BD77" i="6"/>
  <c r="BC77" i="6"/>
  <c r="BB77" i="6"/>
  <c r="BA77" i="6"/>
  <c r="AZ77" i="6"/>
  <c r="AY77" i="6"/>
  <c r="AX77" i="6"/>
  <c r="AW77" i="6"/>
  <c r="AV77" i="6"/>
  <c r="AS77" i="6"/>
  <c r="AR77" i="6"/>
  <c r="AQ77" i="6"/>
  <c r="AP77" i="6"/>
  <c r="AO77" i="6"/>
  <c r="AN77" i="6"/>
  <c r="AM77" i="6"/>
  <c r="AL77" i="6"/>
  <c r="AK77" i="6"/>
  <c r="AJ77" i="6"/>
  <c r="AI77" i="6"/>
  <c r="AH77" i="6"/>
  <c r="AG77" i="6"/>
  <c r="AF77" i="6"/>
  <c r="AE77" i="6"/>
  <c r="AD77" i="6"/>
  <c r="AC77" i="6"/>
  <c r="AB77" i="6"/>
  <c r="AA77" i="6"/>
  <c r="Z77" i="6"/>
  <c r="W77" i="6"/>
  <c r="O80" i="6"/>
  <c r="N80" i="6"/>
  <c r="M80" i="6"/>
  <c r="O79" i="6"/>
  <c r="N79" i="6"/>
  <c r="M79" i="6"/>
  <c r="W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BA92" i="6"/>
  <c r="BB92" i="6"/>
  <c r="BC92" i="6"/>
  <c r="BD92" i="6"/>
  <c r="BE92" i="6"/>
  <c r="AF93" i="6"/>
  <c r="Z90" i="6"/>
  <c r="AA90" i="6"/>
  <c r="D10" i="6"/>
  <c r="AG90" i="6"/>
  <c r="AE90" i="6"/>
  <c r="AW8" i="6"/>
  <c r="BF15" i="6" l="1"/>
  <c r="BF78" i="6"/>
  <c r="BF77" i="6"/>
  <c r="BF92" i="6"/>
  <c r="W62" i="6" l="1"/>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BA62" i="6"/>
  <c r="BB62" i="6"/>
  <c r="BC62" i="6"/>
  <c r="BD62" i="6"/>
  <c r="BE62" i="6"/>
  <c r="BF62" i="6" l="1"/>
  <c r="D59" i="6" l="1"/>
  <c r="D58" i="6"/>
  <c r="W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K123" i="6"/>
  <c r="L123" i="6"/>
  <c r="M123" i="6"/>
  <c r="P123" i="6"/>
  <c r="X123" i="6"/>
  <c r="Y123" i="6"/>
  <c r="H123" i="6"/>
  <c r="BF57" i="6" l="1"/>
  <c r="AF33" i="6"/>
  <c r="T32" i="6"/>
  <c r="T123" i="6" s="1"/>
  <c r="W30" i="6"/>
  <c r="Z30" i="6"/>
  <c r="AA30" i="6"/>
  <c r="AB30" i="6"/>
  <c r="AC30" i="6"/>
  <c r="AD30" i="6"/>
  <c r="AE30" i="6"/>
  <c r="AF30" i="6"/>
  <c r="AG30" i="6"/>
  <c r="AH30" i="6"/>
  <c r="AI30" i="6"/>
  <c r="AJ30" i="6"/>
  <c r="AK30" i="6"/>
  <c r="AL30" i="6"/>
  <c r="AM30" i="6"/>
  <c r="AN30" i="6"/>
  <c r="AO30" i="6"/>
  <c r="AP30" i="6"/>
  <c r="AQ30" i="6"/>
  <c r="AR30" i="6"/>
  <c r="AT30" i="6"/>
  <c r="AU30" i="6"/>
  <c r="AV30" i="6"/>
  <c r="AW30" i="6"/>
  <c r="AX30" i="6"/>
  <c r="AY30" i="6"/>
  <c r="AZ30" i="6"/>
  <c r="BA30" i="6"/>
  <c r="BB30" i="6"/>
  <c r="BC30" i="6"/>
  <c r="BD30" i="6"/>
  <c r="BE30" i="6"/>
  <c r="BF30" i="6" l="1"/>
  <c r="AE20" i="6" l="1"/>
  <c r="W29" i="6" l="1"/>
  <c r="Z29" i="6"/>
  <c r="AA29" i="6"/>
  <c r="AB29" i="6"/>
  <c r="AC29" i="6"/>
  <c r="AD29" i="6"/>
  <c r="AE29" i="6"/>
  <c r="AF29" i="6"/>
  <c r="AG29" i="6"/>
  <c r="AH29" i="6"/>
  <c r="AI29" i="6"/>
  <c r="AJ29" i="6"/>
  <c r="AK29" i="6"/>
  <c r="AL29" i="6"/>
  <c r="AM29" i="6"/>
  <c r="AN29" i="6"/>
  <c r="AO29" i="6"/>
  <c r="AP29" i="6"/>
  <c r="AQ29" i="6"/>
  <c r="AR29" i="6"/>
  <c r="AT29" i="6"/>
  <c r="AU29" i="6"/>
  <c r="AV29" i="6"/>
  <c r="AW29" i="6"/>
  <c r="AX29" i="6"/>
  <c r="AY29" i="6"/>
  <c r="AZ29" i="6"/>
  <c r="BA29" i="6"/>
  <c r="BB29" i="6"/>
  <c r="BC29" i="6"/>
  <c r="BD29" i="6"/>
  <c r="BE29" i="6"/>
  <c r="AV26" i="6"/>
  <c r="AV18" i="6"/>
  <c r="BF29" i="6" l="1"/>
  <c r="AV7" i="6" l="1"/>
  <c r="D47" i="2" l="1"/>
  <c r="AC66" i="6" l="1"/>
  <c r="V96" i="6"/>
  <c r="V123" i="6" s="1"/>
  <c r="W69" i="6"/>
  <c r="Z69" i="6"/>
  <c r="AA69" i="6"/>
  <c r="AB69" i="6"/>
  <c r="AC69" i="6"/>
  <c r="AD69" i="6"/>
  <c r="AE69" i="6"/>
  <c r="AF69" i="6"/>
  <c r="AG69" i="6"/>
  <c r="AH69" i="6"/>
  <c r="AI69" i="6"/>
  <c r="AJ69" i="6"/>
  <c r="AK69" i="6"/>
  <c r="AL69" i="6"/>
  <c r="AM69" i="6"/>
  <c r="AN69" i="6"/>
  <c r="AO69" i="6"/>
  <c r="AP69" i="6"/>
  <c r="AQ69" i="6"/>
  <c r="AR69" i="6"/>
  <c r="AS69" i="6"/>
  <c r="AT69" i="6"/>
  <c r="AU69" i="6"/>
  <c r="AV69" i="6"/>
  <c r="AW69" i="6"/>
  <c r="AX69" i="6"/>
  <c r="AY69" i="6"/>
  <c r="AZ69" i="6"/>
  <c r="BA69" i="6"/>
  <c r="BB69" i="6"/>
  <c r="BC69" i="6"/>
  <c r="BD69" i="6"/>
  <c r="BE69" i="6"/>
  <c r="W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BA68" i="6"/>
  <c r="BB68" i="6"/>
  <c r="BC68" i="6"/>
  <c r="BD68" i="6"/>
  <c r="BE68" i="6"/>
  <c r="W66" i="6"/>
  <c r="Z66" i="6"/>
  <c r="AA66" i="6"/>
  <c r="AB66" i="6"/>
  <c r="AD66" i="6"/>
  <c r="AE66" i="6"/>
  <c r="AF66" i="6"/>
  <c r="AG66" i="6"/>
  <c r="AH66" i="6"/>
  <c r="AI66" i="6"/>
  <c r="AJ66" i="6"/>
  <c r="AK66" i="6"/>
  <c r="AL66" i="6"/>
  <c r="AM66" i="6"/>
  <c r="AN66" i="6"/>
  <c r="AO66" i="6"/>
  <c r="AP66" i="6"/>
  <c r="AQ66" i="6"/>
  <c r="AR66" i="6"/>
  <c r="AS66" i="6"/>
  <c r="AT66" i="6"/>
  <c r="AU66" i="6"/>
  <c r="AV66" i="6"/>
  <c r="AW66" i="6"/>
  <c r="AX66" i="6"/>
  <c r="AY66" i="6"/>
  <c r="AZ66" i="6"/>
  <c r="BA66" i="6"/>
  <c r="BB66" i="6"/>
  <c r="BC66" i="6"/>
  <c r="BD66" i="6"/>
  <c r="BE66" i="6"/>
  <c r="W67" i="6"/>
  <c r="Z67" i="6"/>
  <c r="AA67" i="6"/>
  <c r="AB67" i="6"/>
  <c r="AD67" i="6"/>
  <c r="AE67" i="6"/>
  <c r="AF67" i="6"/>
  <c r="AG67" i="6"/>
  <c r="AH67" i="6"/>
  <c r="AI67" i="6"/>
  <c r="AJ67" i="6"/>
  <c r="AK67" i="6"/>
  <c r="AL67" i="6"/>
  <c r="AM67" i="6"/>
  <c r="AN67" i="6"/>
  <c r="AO67" i="6"/>
  <c r="AP67" i="6"/>
  <c r="AQ67" i="6"/>
  <c r="AR67" i="6"/>
  <c r="AS67" i="6"/>
  <c r="AT67" i="6"/>
  <c r="AU67" i="6"/>
  <c r="AV67" i="6"/>
  <c r="AW67" i="6"/>
  <c r="AX67" i="6"/>
  <c r="AY67" i="6"/>
  <c r="AZ67" i="6"/>
  <c r="BA67" i="6"/>
  <c r="BB67" i="6"/>
  <c r="BC67" i="6"/>
  <c r="BD67" i="6"/>
  <c r="BE67" i="6"/>
  <c r="W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BA65" i="6"/>
  <c r="BB65" i="6"/>
  <c r="BC65" i="6"/>
  <c r="BD65" i="6"/>
  <c r="BE65" i="6"/>
  <c r="O72" i="6"/>
  <c r="O123" i="6" s="1"/>
  <c r="BF66" i="6" l="1"/>
  <c r="BF69" i="6"/>
  <c r="BF68" i="6"/>
  <c r="BF67" i="6"/>
  <c r="BF65" i="6"/>
  <c r="W71" i="6"/>
  <c r="Z71" i="6"/>
  <c r="AA71" i="6"/>
  <c r="AB71" i="6"/>
  <c r="AC71" i="6"/>
  <c r="AD71" i="6"/>
  <c r="AE71" i="6"/>
  <c r="AF71" i="6"/>
  <c r="AG71" i="6"/>
  <c r="AH71" i="6"/>
  <c r="AI71" i="6"/>
  <c r="AJ71" i="6"/>
  <c r="AK71" i="6"/>
  <c r="AL71" i="6"/>
  <c r="AM71" i="6"/>
  <c r="AN71" i="6"/>
  <c r="AO71" i="6"/>
  <c r="AP71" i="6"/>
  <c r="AQ71" i="6"/>
  <c r="AR71" i="6"/>
  <c r="AS71" i="6"/>
  <c r="AT71" i="6"/>
  <c r="AU71" i="6"/>
  <c r="AV71" i="6"/>
  <c r="AW71" i="6"/>
  <c r="AX71" i="6"/>
  <c r="AY71" i="6"/>
  <c r="AZ71" i="6"/>
  <c r="BA71" i="6"/>
  <c r="BB71" i="6"/>
  <c r="BC71" i="6"/>
  <c r="BD71" i="6"/>
  <c r="BE71" i="6"/>
  <c r="W72" i="6"/>
  <c r="Z72" i="6"/>
  <c r="AA72" i="6"/>
  <c r="AB72" i="6"/>
  <c r="AC72" i="6"/>
  <c r="AD72" i="6"/>
  <c r="AE72" i="6"/>
  <c r="AF72" i="6"/>
  <c r="AG72" i="6"/>
  <c r="AH72" i="6"/>
  <c r="AI72" i="6"/>
  <c r="AJ72" i="6"/>
  <c r="AK72" i="6"/>
  <c r="AL72" i="6"/>
  <c r="AM72" i="6"/>
  <c r="AN72" i="6"/>
  <c r="AO72" i="6"/>
  <c r="AP72" i="6"/>
  <c r="AQ72" i="6"/>
  <c r="AR72" i="6"/>
  <c r="AS72" i="6"/>
  <c r="AT72" i="6"/>
  <c r="AU72" i="6"/>
  <c r="AV72" i="6"/>
  <c r="AW72" i="6"/>
  <c r="AX72" i="6"/>
  <c r="AY72" i="6"/>
  <c r="AZ72" i="6"/>
  <c r="BA72" i="6"/>
  <c r="BB72" i="6"/>
  <c r="BC72" i="6"/>
  <c r="BD72" i="6"/>
  <c r="BE72" i="6"/>
  <c r="W73" i="6"/>
  <c r="Z73" i="6"/>
  <c r="AA73" i="6"/>
  <c r="AB73" i="6"/>
  <c r="AC73" i="6"/>
  <c r="AD73" i="6"/>
  <c r="AE73" i="6"/>
  <c r="AF73" i="6"/>
  <c r="AG73" i="6"/>
  <c r="AI73" i="6"/>
  <c r="AJ73" i="6"/>
  <c r="AK73" i="6"/>
  <c r="AL73" i="6"/>
  <c r="AM73" i="6"/>
  <c r="AN73" i="6"/>
  <c r="AO73" i="6"/>
  <c r="AP73" i="6"/>
  <c r="AQ73" i="6"/>
  <c r="AR73" i="6"/>
  <c r="AS73" i="6"/>
  <c r="AT73" i="6"/>
  <c r="AU73" i="6"/>
  <c r="AV73" i="6"/>
  <c r="AW73" i="6"/>
  <c r="AX73" i="6"/>
  <c r="AY73" i="6"/>
  <c r="AZ73" i="6"/>
  <c r="BA73" i="6"/>
  <c r="BB73" i="6"/>
  <c r="BC73" i="6"/>
  <c r="BD73" i="6"/>
  <c r="BE73" i="6"/>
  <c r="W70" i="6"/>
  <c r="Z70" i="6"/>
  <c r="AA70" i="6"/>
  <c r="AB70" i="6"/>
  <c r="AC70" i="6"/>
  <c r="AD70" i="6"/>
  <c r="AE70" i="6"/>
  <c r="AF70" i="6"/>
  <c r="AG70" i="6"/>
  <c r="AH70" i="6"/>
  <c r="AI70" i="6"/>
  <c r="AJ70" i="6"/>
  <c r="AK70" i="6"/>
  <c r="AL70" i="6"/>
  <c r="AM70" i="6"/>
  <c r="AN70" i="6"/>
  <c r="AO70" i="6"/>
  <c r="AP70" i="6"/>
  <c r="AQ70" i="6"/>
  <c r="AR70" i="6"/>
  <c r="AS70" i="6"/>
  <c r="AT70" i="6"/>
  <c r="AU70" i="6"/>
  <c r="AV70" i="6"/>
  <c r="AW70" i="6"/>
  <c r="AX70" i="6"/>
  <c r="AY70" i="6"/>
  <c r="AZ70" i="6"/>
  <c r="BA70" i="6"/>
  <c r="BB70" i="6"/>
  <c r="BC70" i="6"/>
  <c r="BD70" i="6"/>
  <c r="BE70" i="6"/>
  <c r="BF73" i="6" l="1"/>
  <c r="BF72" i="6"/>
  <c r="BF71" i="6"/>
  <c r="BF70" i="6"/>
  <c r="U96" i="6"/>
  <c r="W28" i="6" l="1"/>
  <c r="Z28" i="6"/>
  <c r="AA28" i="6"/>
  <c r="AB28" i="6"/>
  <c r="AC28" i="6"/>
  <c r="AD28" i="6"/>
  <c r="AE28" i="6"/>
  <c r="AF28" i="6"/>
  <c r="AG28" i="6"/>
  <c r="AH28" i="6"/>
  <c r="AI28" i="6"/>
  <c r="AJ28" i="6"/>
  <c r="AK28" i="6"/>
  <c r="AL28" i="6"/>
  <c r="AM28" i="6"/>
  <c r="AN28" i="6"/>
  <c r="AO28" i="6"/>
  <c r="AP28" i="6"/>
  <c r="AQ28" i="6"/>
  <c r="AR28" i="6"/>
  <c r="AT28" i="6"/>
  <c r="AU28" i="6"/>
  <c r="AV28" i="6"/>
  <c r="AW28" i="6"/>
  <c r="AX28" i="6"/>
  <c r="AY28" i="6"/>
  <c r="AZ28" i="6"/>
  <c r="BA28" i="6"/>
  <c r="BB28" i="6"/>
  <c r="BC28" i="6"/>
  <c r="BD28" i="6"/>
  <c r="BE28" i="6"/>
  <c r="D25" i="6"/>
  <c r="BF28" i="6" l="1"/>
  <c r="BD32" i="6" l="1"/>
  <c r="AG97" i="6" l="1"/>
  <c r="AL97" i="6" l="1"/>
  <c r="S123" i="6"/>
  <c r="AP90" i="6"/>
  <c r="AQ90" i="6"/>
  <c r="W24" i="6" l="1"/>
  <c r="Z24" i="6"/>
  <c r="AA24" i="6"/>
  <c r="AB24" i="6"/>
  <c r="AC24" i="6"/>
  <c r="AD24" i="6"/>
  <c r="AE24" i="6"/>
  <c r="AF24" i="6"/>
  <c r="AG24" i="6"/>
  <c r="AH24" i="6"/>
  <c r="AI24" i="6"/>
  <c r="AJ24" i="6"/>
  <c r="AK24" i="6"/>
  <c r="AL24" i="6"/>
  <c r="AM24" i="6"/>
  <c r="AN24" i="6"/>
  <c r="AO24" i="6"/>
  <c r="AP24" i="6"/>
  <c r="AQ24" i="6"/>
  <c r="AR24" i="6"/>
  <c r="AT24" i="6"/>
  <c r="AU24" i="6"/>
  <c r="AV24" i="6"/>
  <c r="AW24" i="6"/>
  <c r="AX24" i="6"/>
  <c r="AY24" i="6"/>
  <c r="AZ24" i="6"/>
  <c r="BA24" i="6"/>
  <c r="BB24" i="6"/>
  <c r="BC24" i="6"/>
  <c r="BD24" i="6"/>
  <c r="BE24" i="6"/>
  <c r="BF24" i="6" l="1"/>
  <c r="W10" i="6"/>
  <c r="Z10" i="6"/>
  <c r="AA10" i="6"/>
  <c r="AB10" i="6"/>
  <c r="AC10" i="6"/>
  <c r="AD10" i="6"/>
  <c r="AE10" i="6"/>
  <c r="AF10" i="6"/>
  <c r="AG10" i="6"/>
  <c r="AH10" i="6"/>
  <c r="AI10" i="6"/>
  <c r="AJ10" i="6"/>
  <c r="AK10" i="6"/>
  <c r="AL10" i="6"/>
  <c r="AM10" i="6"/>
  <c r="AO10" i="6"/>
  <c r="AP10" i="6"/>
  <c r="AQ10" i="6"/>
  <c r="AR10" i="6"/>
  <c r="AS10" i="6"/>
  <c r="AT10" i="6"/>
  <c r="AU10" i="6"/>
  <c r="AV10" i="6"/>
  <c r="AW10" i="6"/>
  <c r="AX10" i="6"/>
  <c r="AY10" i="6"/>
  <c r="AZ10" i="6"/>
  <c r="BA10" i="6"/>
  <c r="BB10" i="6"/>
  <c r="BC10" i="6"/>
  <c r="BD10" i="6"/>
  <c r="BE10" i="6"/>
  <c r="W90" i="6"/>
  <c r="BE90" i="6"/>
  <c r="BD90" i="6"/>
  <c r="BC90" i="6"/>
  <c r="BB90" i="6"/>
  <c r="BA90" i="6"/>
  <c r="AZ90" i="6"/>
  <c r="AY90" i="6"/>
  <c r="AX90" i="6"/>
  <c r="AW90" i="6"/>
  <c r="AV90" i="6"/>
  <c r="AU90" i="6"/>
  <c r="AT90" i="6"/>
  <c r="AS90" i="6"/>
  <c r="AR90" i="6"/>
  <c r="AO90" i="6"/>
  <c r="AN90" i="6"/>
  <c r="AM90" i="6"/>
  <c r="AL90" i="6"/>
  <c r="AK90" i="6"/>
  <c r="AJ90" i="6"/>
  <c r="AI90" i="6"/>
  <c r="AH90" i="6"/>
  <c r="AF90" i="6"/>
  <c r="AD90" i="6"/>
  <c r="AC90" i="6"/>
  <c r="AB90" i="6"/>
  <c r="BF90" i="6" l="1"/>
  <c r="AN10" i="6"/>
  <c r="BF10" i="6" s="1"/>
  <c r="BF94" i="6" l="1"/>
  <c r="BF95" i="6"/>
  <c r="BC82" i="6"/>
  <c r="BC84" i="6"/>
  <c r="BC88" i="6"/>
  <c r="BC89" i="6"/>
  <c r="BC93" i="6"/>
  <c r="BD79" i="6"/>
  <c r="BF75" i="6"/>
  <c r="BF76" i="6"/>
  <c r="D83" i="6" l="1"/>
  <c r="D84" i="6"/>
  <c r="D86" i="6"/>
  <c r="D88" i="6"/>
  <c r="D89" i="6"/>
  <c r="D93" i="6"/>
  <c r="D82" i="6"/>
  <c r="D80" i="6"/>
  <c r="D79" i="6"/>
  <c r="W17" i="6"/>
  <c r="W18" i="6"/>
  <c r="W19" i="6"/>
  <c r="W20" i="6"/>
  <c r="W21" i="6"/>
  <c r="W22" i="6"/>
  <c r="W23" i="6"/>
  <c r="W25" i="6"/>
  <c r="W26" i="6"/>
  <c r="W27" i="6"/>
  <c r="W31" i="6"/>
  <c r="W33" i="6"/>
  <c r="W34" i="6"/>
  <c r="W35" i="6"/>
  <c r="W37" i="6"/>
  <c r="W38" i="6"/>
  <c r="W39" i="6"/>
  <c r="W40" i="6"/>
  <c r="W41" i="6"/>
  <c r="W44" i="6"/>
  <c r="W45" i="6"/>
  <c r="W46" i="6"/>
  <c r="W47" i="6"/>
  <c r="W48" i="6"/>
  <c r="W49" i="6"/>
  <c r="W50" i="6"/>
  <c r="W51" i="6"/>
  <c r="W52" i="6"/>
  <c r="W53" i="6"/>
  <c r="W54" i="6"/>
  <c r="W55" i="6"/>
  <c r="W56" i="6"/>
  <c r="W58" i="6"/>
  <c r="W59" i="6"/>
  <c r="W60" i="6"/>
  <c r="W64" i="6"/>
  <c r="W5" i="6"/>
  <c r="W6" i="6"/>
  <c r="W8" i="6"/>
  <c r="W12" i="6"/>
  <c r="W13" i="6"/>
  <c r="W14" i="6"/>
  <c r="R132" i="6" s="1"/>
  <c r="W16" i="6"/>
  <c r="W4" i="6"/>
  <c r="W80" i="6"/>
  <c r="W82" i="6"/>
  <c r="W83" i="6"/>
  <c r="W84" i="6"/>
  <c r="W86" i="6"/>
  <c r="W88" i="6"/>
  <c r="W89" i="6"/>
  <c r="W79" i="6"/>
  <c r="W93" i="6"/>
  <c r="W96" i="6"/>
  <c r="BE4" i="6"/>
  <c r="BE5" i="6"/>
  <c r="BE6" i="6"/>
  <c r="BE7" i="6"/>
  <c r="BE8" i="6"/>
  <c r="BE9" i="6"/>
  <c r="BE12" i="6"/>
  <c r="BE13" i="6"/>
  <c r="BE14" i="6"/>
  <c r="BE16" i="6"/>
  <c r="BE17" i="6"/>
  <c r="BE18" i="6"/>
  <c r="BE19" i="6"/>
  <c r="BE20" i="6"/>
  <c r="BE21" i="6"/>
  <c r="BE22" i="6"/>
  <c r="BE23" i="6"/>
  <c r="BE25" i="6"/>
  <c r="BE26" i="6"/>
  <c r="BE27" i="6"/>
  <c r="BE31" i="6"/>
  <c r="BE32" i="6"/>
  <c r="BE33" i="6"/>
  <c r="BE34" i="6"/>
  <c r="BE35" i="6"/>
  <c r="BE36" i="6"/>
  <c r="BE37" i="6"/>
  <c r="BE38" i="6"/>
  <c r="BE39" i="6"/>
  <c r="BE40" i="6"/>
  <c r="BE41" i="6"/>
  <c r="BE44" i="6"/>
  <c r="BE45" i="6"/>
  <c r="BE46" i="6"/>
  <c r="BE47" i="6"/>
  <c r="BE48" i="6"/>
  <c r="BE49" i="6"/>
  <c r="BE50" i="6"/>
  <c r="BE51" i="6"/>
  <c r="BE52" i="6"/>
  <c r="BE53" i="6"/>
  <c r="BE54" i="6"/>
  <c r="BE55" i="6"/>
  <c r="BE56" i="6"/>
  <c r="BE58" i="6"/>
  <c r="BE59" i="6"/>
  <c r="BE60" i="6"/>
  <c r="BE63" i="6"/>
  <c r="BE64" i="6"/>
  <c r="BE74" i="6"/>
  <c r="BE89" i="6"/>
  <c r="AO4" i="6"/>
  <c r="AO5" i="6"/>
  <c r="AO6" i="6"/>
  <c r="AO7" i="6"/>
  <c r="AO8" i="6"/>
  <c r="AO9" i="6"/>
  <c r="AO12" i="6"/>
  <c r="AO13" i="6"/>
  <c r="AO14" i="6"/>
  <c r="AO16" i="6"/>
  <c r="AO17" i="6"/>
  <c r="AO18" i="6"/>
  <c r="AO19" i="6"/>
  <c r="AO20" i="6"/>
  <c r="AO21" i="6"/>
  <c r="AO22" i="6"/>
  <c r="AO23" i="6"/>
  <c r="AO25" i="6"/>
  <c r="AO26" i="6"/>
  <c r="AO27" i="6"/>
  <c r="AO31" i="6"/>
  <c r="AO32" i="6"/>
  <c r="AO33" i="6"/>
  <c r="AO34" i="6"/>
  <c r="AO35" i="6"/>
  <c r="AO38" i="6"/>
  <c r="AO39" i="6"/>
  <c r="AO40" i="6"/>
  <c r="AO41" i="6"/>
  <c r="AO44" i="6"/>
  <c r="AO45" i="6"/>
  <c r="AO46" i="6"/>
  <c r="AO47" i="6"/>
  <c r="AO48" i="6"/>
  <c r="AO49" i="6"/>
  <c r="AO50" i="6"/>
  <c r="AO51" i="6"/>
  <c r="AO52" i="6"/>
  <c r="AO53" i="6"/>
  <c r="AO54" i="6"/>
  <c r="AO55" i="6"/>
  <c r="AO56" i="6"/>
  <c r="AO58" i="6"/>
  <c r="AO59" i="6"/>
  <c r="AO60" i="6"/>
  <c r="AO63" i="6"/>
  <c r="AO64" i="6"/>
  <c r="AO74" i="6"/>
  <c r="AO79" i="6"/>
  <c r="AO80" i="6"/>
  <c r="AO82" i="6"/>
  <c r="AO83" i="6"/>
  <c r="AO84" i="6"/>
  <c r="AO85" i="6"/>
  <c r="AO86" i="6"/>
  <c r="AO87" i="6"/>
  <c r="AO88" i="6"/>
  <c r="AO89" i="6"/>
  <c r="AO96" i="6"/>
  <c r="BE96" i="6" s="1"/>
  <c r="AO97" i="6"/>
  <c r="BE97" i="6" s="1"/>
  <c r="AW87" i="6"/>
  <c r="AW89" i="6"/>
  <c r="BE123" i="6" l="1"/>
  <c r="AD82" i="6"/>
  <c r="J97" i="6"/>
  <c r="W97" i="6" s="1"/>
  <c r="D39" i="2"/>
  <c r="C39" i="2"/>
  <c r="AD33" i="6" l="1"/>
  <c r="N123" i="6" l="1"/>
  <c r="AG85" i="6" l="1"/>
  <c r="D85" i="6"/>
  <c r="W85" i="6"/>
  <c r="Z60" i="6"/>
  <c r="AA60" i="6"/>
  <c r="AB60" i="6"/>
  <c r="AC60" i="6"/>
  <c r="AD60" i="6"/>
  <c r="AE60" i="6"/>
  <c r="AF60" i="6"/>
  <c r="AG60" i="6"/>
  <c r="AH60" i="6"/>
  <c r="AI60" i="6"/>
  <c r="AJ60" i="6"/>
  <c r="AK60" i="6"/>
  <c r="AL60" i="6"/>
  <c r="AM60" i="6"/>
  <c r="AN60" i="6"/>
  <c r="AP60" i="6"/>
  <c r="AQ60" i="6"/>
  <c r="AR60" i="6"/>
  <c r="AS60" i="6"/>
  <c r="AT60" i="6"/>
  <c r="AU60" i="6"/>
  <c r="AV60" i="6"/>
  <c r="AW60" i="6"/>
  <c r="AX60" i="6"/>
  <c r="AY60" i="6"/>
  <c r="AZ60" i="6"/>
  <c r="BA60" i="6"/>
  <c r="BB60" i="6"/>
  <c r="BC60" i="6"/>
  <c r="BD60" i="6"/>
  <c r="Z48" i="6"/>
  <c r="AA48" i="6"/>
  <c r="AB48" i="6"/>
  <c r="AC48" i="6"/>
  <c r="AD48" i="6"/>
  <c r="AE48" i="6"/>
  <c r="AF48" i="6"/>
  <c r="AG48" i="6"/>
  <c r="AH48" i="6"/>
  <c r="AI48" i="6"/>
  <c r="AJ48" i="6"/>
  <c r="AK48" i="6"/>
  <c r="AL48" i="6"/>
  <c r="AM48" i="6"/>
  <c r="AN48" i="6"/>
  <c r="AP48" i="6"/>
  <c r="AQ48" i="6"/>
  <c r="AR48" i="6"/>
  <c r="AS48" i="6"/>
  <c r="AT48" i="6"/>
  <c r="AU48" i="6"/>
  <c r="AV48" i="6"/>
  <c r="AW48" i="6"/>
  <c r="AX48" i="6"/>
  <c r="AY48" i="6"/>
  <c r="AZ48" i="6"/>
  <c r="BA48" i="6"/>
  <c r="BB48" i="6"/>
  <c r="BC48" i="6"/>
  <c r="BD48" i="6"/>
  <c r="Z49" i="6"/>
  <c r="AA49" i="6"/>
  <c r="AB49" i="6"/>
  <c r="AC49" i="6"/>
  <c r="AD49" i="6"/>
  <c r="AE49" i="6"/>
  <c r="AF49" i="6"/>
  <c r="AG49" i="6"/>
  <c r="AH49" i="6"/>
  <c r="AI49" i="6"/>
  <c r="AJ49" i="6"/>
  <c r="AK49" i="6"/>
  <c r="AL49" i="6"/>
  <c r="AM49" i="6"/>
  <c r="AN49" i="6"/>
  <c r="AP49" i="6"/>
  <c r="AQ49" i="6"/>
  <c r="AR49" i="6"/>
  <c r="AS49" i="6"/>
  <c r="AT49" i="6"/>
  <c r="AU49" i="6"/>
  <c r="AV49" i="6"/>
  <c r="AW49" i="6"/>
  <c r="AX49" i="6"/>
  <c r="AY49" i="6"/>
  <c r="AZ49" i="6"/>
  <c r="BA49" i="6"/>
  <c r="BB49" i="6"/>
  <c r="BC49" i="6"/>
  <c r="BD49" i="6"/>
  <c r="Z50" i="6"/>
  <c r="AA50" i="6"/>
  <c r="AB50" i="6"/>
  <c r="AC50" i="6"/>
  <c r="AD50" i="6"/>
  <c r="AE50" i="6"/>
  <c r="AF50" i="6"/>
  <c r="AG50" i="6"/>
  <c r="AH50" i="6"/>
  <c r="AI50" i="6"/>
  <c r="AJ50" i="6"/>
  <c r="AK50" i="6"/>
  <c r="AL50" i="6"/>
  <c r="AM50" i="6"/>
  <c r="AN50" i="6"/>
  <c r="AP50" i="6"/>
  <c r="AQ50" i="6"/>
  <c r="AR50" i="6"/>
  <c r="AS50" i="6"/>
  <c r="AT50" i="6"/>
  <c r="AU50" i="6"/>
  <c r="AV50" i="6"/>
  <c r="AW50" i="6"/>
  <c r="AX50" i="6"/>
  <c r="AY50" i="6"/>
  <c r="AZ50" i="6"/>
  <c r="BA50" i="6"/>
  <c r="BB50" i="6"/>
  <c r="BC50" i="6"/>
  <c r="BD50" i="6"/>
  <c r="BF49" i="6" l="1"/>
  <c r="BF60" i="6"/>
  <c r="BF48" i="6"/>
  <c r="BF50" i="6"/>
  <c r="W9" i="6" l="1"/>
  <c r="O16" i="1" l="1"/>
  <c r="O17" i="1"/>
  <c r="O18" i="1"/>
  <c r="O20" i="1"/>
  <c r="O19" i="1" s="1"/>
  <c r="O22" i="1"/>
  <c r="O23" i="1"/>
  <c r="O24" i="1"/>
  <c r="O29" i="1"/>
  <c r="O28" i="1" s="1"/>
  <c r="O31" i="1"/>
  <c r="O32" i="1"/>
  <c r="O33" i="1"/>
  <c r="O38" i="1"/>
  <c r="O39" i="1"/>
  <c r="O40" i="1"/>
  <c r="O41" i="1"/>
  <c r="O47" i="1"/>
  <c r="O48" i="1"/>
  <c r="O49" i="1"/>
  <c r="N39" i="1"/>
  <c r="O21" i="1" l="1"/>
  <c r="O15" i="1"/>
  <c r="O37" i="1"/>
  <c r="O42" i="1" s="1"/>
  <c r="O30" i="1"/>
  <c r="O34" i="1" s="1"/>
  <c r="W36" i="6" l="1"/>
  <c r="O25" i="1"/>
  <c r="Z34" i="6"/>
  <c r="AA34" i="6"/>
  <c r="AB34" i="6"/>
  <c r="AC34" i="6"/>
  <c r="AD34" i="6"/>
  <c r="AE34" i="6"/>
  <c r="AF34" i="6"/>
  <c r="AG34" i="6"/>
  <c r="AH34" i="6"/>
  <c r="AI34" i="6"/>
  <c r="AJ34" i="6"/>
  <c r="AK34" i="6"/>
  <c r="AL34" i="6"/>
  <c r="AM34" i="6"/>
  <c r="AN34" i="6"/>
  <c r="AP34" i="6"/>
  <c r="AQ34" i="6"/>
  <c r="AR34" i="6"/>
  <c r="AS34" i="6"/>
  <c r="AT34" i="6"/>
  <c r="AU34" i="6"/>
  <c r="AV34" i="6"/>
  <c r="AW34" i="6"/>
  <c r="AX34" i="6"/>
  <c r="AY34" i="6"/>
  <c r="AZ34" i="6"/>
  <c r="BA34" i="6"/>
  <c r="BB34" i="6"/>
  <c r="BC34" i="6"/>
  <c r="BD34" i="6"/>
  <c r="BF34" i="6" l="1"/>
  <c r="E10" i="1"/>
  <c r="O18" i="2" l="1"/>
  <c r="O19" i="2"/>
  <c r="O20" i="2"/>
  <c r="O22" i="2"/>
  <c r="O21" i="2" s="1"/>
  <c r="O24" i="2"/>
  <c r="O25" i="2"/>
  <c r="O26" i="2"/>
  <c r="O31" i="2"/>
  <c r="O30" i="2" s="1"/>
  <c r="O34" i="2"/>
  <c r="O35" i="2"/>
  <c r="O40" i="2"/>
  <c r="O41" i="2"/>
  <c r="O42" i="2"/>
  <c r="O43" i="2"/>
  <c r="O48" i="2"/>
  <c r="O49" i="2"/>
  <c r="O50" i="2"/>
  <c r="O51" i="2"/>
  <c r="N41" i="2"/>
  <c r="G34" i="4"/>
  <c r="C35" i="4"/>
  <c r="D35" i="4"/>
  <c r="E35" i="4"/>
  <c r="F35" i="4"/>
  <c r="G36" i="4"/>
  <c r="G35" i="4" s="1"/>
  <c r="O39" i="2" l="1"/>
  <c r="O44" i="2" s="1"/>
  <c r="O23" i="2"/>
  <c r="O17" i="2"/>
  <c r="O47" i="2"/>
  <c r="O52" i="2" s="1"/>
  <c r="O27" i="2" l="1"/>
  <c r="N55" i="1" l="1"/>
  <c r="C15" i="1" l="1"/>
  <c r="D37" i="6" l="1"/>
  <c r="AO37" i="6" s="1"/>
  <c r="D52" i="2" l="1"/>
  <c r="D44" i="2"/>
  <c r="D32" i="2"/>
  <c r="D30" i="2"/>
  <c r="D23" i="2"/>
  <c r="D21" i="2"/>
  <c r="D17" i="2"/>
  <c r="BD8" i="6"/>
  <c r="N18" i="1" s="1"/>
  <c r="D36" i="2" l="1"/>
  <c r="AE27" i="6"/>
  <c r="AE40" i="6"/>
  <c r="D45" i="1"/>
  <c r="D50" i="1" s="1"/>
  <c r="D15" i="1"/>
  <c r="D19" i="1"/>
  <c r="D21" i="1"/>
  <c r="D28" i="1"/>
  <c r="D30" i="1"/>
  <c r="D37" i="1"/>
  <c r="D42" i="1" s="1"/>
  <c r="G39" i="2"/>
  <c r="F39" i="2"/>
  <c r="E39" i="2"/>
  <c r="D25" i="1" l="1"/>
  <c r="D34" i="1"/>
  <c r="C19" i="1"/>
  <c r="C21" i="1"/>
  <c r="C28" i="1"/>
  <c r="C30" i="1"/>
  <c r="C37" i="1"/>
  <c r="C42" i="1" s="1"/>
  <c r="C45" i="1"/>
  <c r="C25" i="1" l="1"/>
  <c r="C34" i="1"/>
  <c r="BD16" i="6" l="1"/>
  <c r="N24" i="1" s="1"/>
  <c r="BC16" i="6"/>
  <c r="BB16" i="6"/>
  <c r="BA16" i="6"/>
  <c r="AZ16" i="6"/>
  <c r="AY16" i="6"/>
  <c r="AX16" i="6"/>
  <c r="AW16" i="6"/>
  <c r="AV16" i="6"/>
  <c r="AS16" i="6"/>
  <c r="AR16" i="6"/>
  <c r="AQ16" i="6"/>
  <c r="AP16" i="6"/>
  <c r="AN16" i="6"/>
  <c r="N26" i="2" s="1"/>
  <c r="AM16" i="6"/>
  <c r="AL16" i="6"/>
  <c r="AK16" i="6"/>
  <c r="AJ16" i="6"/>
  <c r="AI16" i="6"/>
  <c r="AH16" i="6"/>
  <c r="AG16" i="6"/>
  <c r="AF16" i="6"/>
  <c r="AE16" i="6"/>
  <c r="AD16" i="6"/>
  <c r="AC16" i="6"/>
  <c r="AB16" i="6"/>
  <c r="AA16" i="6"/>
  <c r="Z16" i="6"/>
  <c r="AV83" i="6"/>
  <c r="AV86" i="6"/>
  <c r="BF16" i="6" l="1"/>
  <c r="E37" i="1"/>
  <c r="G37" i="1"/>
  <c r="F37" i="1"/>
  <c r="Z59" i="6"/>
  <c r="AA59" i="6"/>
  <c r="AB59" i="6"/>
  <c r="AC59" i="6"/>
  <c r="AD59" i="6"/>
  <c r="AE59" i="6"/>
  <c r="AF59" i="6"/>
  <c r="AG59" i="6"/>
  <c r="AH59" i="6"/>
  <c r="AI59" i="6"/>
  <c r="AJ59" i="6"/>
  <c r="AK59" i="6"/>
  <c r="AL59" i="6"/>
  <c r="AM59" i="6"/>
  <c r="AN59" i="6"/>
  <c r="AP59" i="6"/>
  <c r="AQ59" i="6"/>
  <c r="AR59" i="6"/>
  <c r="AS59" i="6"/>
  <c r="AT59" i="6"/>
  <c r="AU59" i="6"/>
  <c r="AV59" i="6"/>
  <c r="AW59" i="6"/>
  <c r="AX59" i="6"/>
  <c r="AY59" i="6"/>
  <c r="AZ59" i="6"/>
  <c r="BA59" i="6"/>
  <c r="BB59" i="6"/>
  <c r="BC59" i="6"/>
  <c r="BD59" i="6"/>
  <c r="W32" i="6"/>
  <c r="Z26" i="6"/>
  <c r="AA26" i="6"/>
  <c r="AB26" i="6"/>
  <c r="AC26" i="6"/>
  <c r="AD26" i="6"/>
  <c r="AE26" i="6"/>
  <c r="AF26" i="6"/>
  <c r="AG26" i="6"/>
  <c r="AH26" i="6"/>
  <c r="AI26" i="6"/>
  <c r="AJ26" i="6"/>
  <c r="AK26" i="6"/>
  <c r="AL26" i="6"/>
  <c r="AM26" i="6"/>
  <c r="AN26" i="6"/>
  <c r="AP26" i="6"/>
  <c r="AQ26" i="6"/>
  <c r="AR26" i="6"/>
  <c r="AT26" i="6"/>
  <c r="AU26" i="6"/>
  <c r="AW26" i="6"/>
  <c r="AX26" i="6"/>
  <c r="AY26" i="6"/>
  <c r="AZ26" i="6"/>
  <c r="BA26" i="6"/>
  <c r="BB26" i="6"/>
  <c r="BC26" i="6"/>
  <c r="BD26" i="6"/>
  <c r="BF59" i="6" l="1"/>
  <c r="BF26" i="6"/>
  <c r="AF5" i="6"/>
  <c r="AG5" i="6"/>
  <c r="AJ4" i="6"/>
  <c r="AI4" i="6"/>
  <c r="AH4" i="6"/>
  <c r="AG4" i="6"/>
  <c r="AF4" i="6"/>
  <c r="AE4" i="6"/>
  <c r="E15" i="1" l="1"/>
  <c r="F15" i="1"/>
  <c r="G15" i="1"/>
  <c r="E19" i="1"/>
  <c r="F19" i="1"/>
  <c r="G19" i="1"/>
  <c r="E21" i="1"/>
  <c r="F21" i="1"/>
  <c r="G21" i="1"/>
  <c r="E28" i="1"/>
  <c r="G28" i="1"/>
  <c r="F28" i="1"/>
  <c r="E30" i="1"/>
  <c r="F30" i="1"/>
  <c r="G30" i="1"/>
  <c r="E42" i="1"/>
  <c r="F42" i="1"/>
  <c r="G42" i="1"/>
  <c r="E45" i="1"/>
  <c r="E50" i="1" s="1"/>
  <c r="F45" i="1"/>
  <c r="F50" i="1" s="1"/>
  <c r="G45" i="1"/>
  <c r="G50" i="1" s="1"/>
  <c r="E34" i="1" l="1"/>
  <c r="G25" i="1"/>
  <c r="F34" i="1"/>
  <c r="G34" i="1"/>
  <c r="F25" i="1"/>
  <c r="E25" i="1"/>
  <c r="G52" i="1" l="1"/>
  <c r="E52" i="1"/>
  <c r="G37" i="3" l="1"/>
  <c r="G36" i="3" s="1"/>
  <c r="F36" i="3"/>
  <c r="E36" i="3"/>
  <c r="D36" i="3"/>
  <c r="C36" i="3"/>
  <c r="D35" i="3"/>
  <c r="D34" i="3" s="1"/>
  <c r="F34" i="3"/>
  <c r="F38" i="3" s="1"/>
  <c r="E34" i="3"/>
  <c r="C34" i="3"/>
  <c r="C38" i="3" s="1"/>
  <c r="D38" i="3" l="1"/>
  <c r="G35" i="3"/>
  <c r="G34" i="3"/>
  <c r="G38" i="3" s="1"/>
  <c r="E38" i="3"/>
  <c r="BD51" i="6" l="1"/>
  <c r="BD52" i="6"/>
  <c r="BD53" i="6"/>
  <c r="BD54" i="6"/>
  <c r="BD55" i="6"/>
  <c r="D6" i="2"/>
  <c r="AD4" i="6" l="1"/>
  <c r="BD19" i="6" l="1"/>
  <c r="BC19" i="6"/>
  <c r="BB19" i="6"/>
  <c r="BA19" i="6"/>
  <c r="AZ19" i="6"/>
  <c r="AY19" i="6"/>
  <c r="AX19" i="6"/>
  <c r="AV19" i="6"/>
  <c r="AU19" i="6"/>
  <c r="AT19" i="6"/>
  <c r="AR19" i="6"/>
  <c r="AQ19" i="6"/>
  <c r="AP19" i="6"/>
  <c r="AK19" i="6"/>
  <c r="AG19" i="6"/>
  <c r="AC19" i="6"/>
  <c r="AW19" i="6"/>
  <c r="Z19" i="6" l="1"/>
  <c r="AD19" i="6"/>
  <c r="AH19" i="6"/>
  <c r="AL19" i="6"/>
  <c r="AA19" i="6"/>
  <c r="AE19" i="6"/>
  <c r="AI19" i="6"/>
  <c r="AM19" i="6"/>
  <c r="AB19" i="6"/>
  <c r="AF19" i="6"/>
  <c r="AJ19" i="6"/>
  <c r="AN19" i="6"/>
  <c r="BF19" i="6" l="1"/>
  <c r="Z83" i="6"/>
  <c r="AB83" i="6"/>
  <c r="AC83" i="6"/>
  <c r="AD83" i="6"/>
  <c r="AE83" i="6"/>
  <c r="AF83" i="6"/>
  <c r="AG83" i="6"/>
  <c r="AH83" i="6"/>
  <c r="AI83" i="6"/>
  <c r="AJ83" i="6"/>
  <c r="AK83" i="6"/>
  <c r="AL83" i="6"/>
  <c r="AM83" i="6"/>
  <c r="AN83" i="6"/>
  <c r="AP83" i="6"/>
  <c r="AR83" i="6"/>
  <c r="AS83" i="6"/>
  <c r="AT83" i="6"/>
  <c r="AW83" i="6"/>
  <c r="AX83" i="6"/>
  <c r="AZ83" i="6"/>
  <c r="BA83" i="6"/>
  <c r="BB83" i="6"/>
  <c r="BD83" i="6"/>
  <c r="AA83" i="6" l="1"/>
  <c r="AQ83" i="6" l="1"/>
  <c r="BF83" i="6" s="1"/>
  <c r="AE25" i="6" l="1"/>
  <c r="AW79" i="6"/>
  <c r="D5" i="1" l="1"/>
  <c r="BD6" i="6" l="1"/>
  <c r="BC6" i="6"/>
  <c r="BB6" i="6"/>
  <c r="BA6" i="6"/>
  <c r="AZ6" i="6"/>
  <c r="AY6" i="6"/>
  <c r="AX6" i="6"/>
  <c r="AW6" i="6"/>
  <c r="AV6" i="6"/>
  <c r="AU6" i="6"/>
  <c r="AT6" i="6"/>
  <c r="AS6" i="6"/>
  <c r="AR6" i="6"/>
  <c r="AQ6" i="6"/>
  <c r="AP6" i="6"/>
  <c r="AN6" i="6"/>
  <c r="AM6" i="6"/>
  <c r="AL6" i="6"/>
  <c r="AK6" i="6"/>
  <c r="AJ6" i="6"/>
  <c r="AI6" i="6"/>
  <c r="AH6" i="6"/>
  <c r="AG6" i="6"/>
  <c r="AF6" i="6"/>
  <c r="AE6" i="6"/>
  <c r="AD6" i="6"/>
  <c r="AC6" i="6"/>
  <c r="AB6" i="6"/>
  <c r="AA6" i="6"/>
  <c r="Z6" i="6"/>
  <c r="BD12" i="6"/>
  <c r="BC12" i="6"/>
  <c r="BB12" i="6"/>
  <c r="BA12" i="6"/>
  <c r="AZ12" i="6"/>
  <c r="AY12" i="6"/>
  <c r="AX12" i="6"/>
  <c r="AW12" i="6"/>
  <c r="AV12" i="6"/>
  <c r="AU12" i="6"/>
  <c r="AT12" i="6"/>
  <c r="AS12" i="6"/>
  <c r="AR12" i="6"/>
  <c r="AQ12" i="6"/>
  <c r="AP12" i="6"/>
  <c r="AN12" i="6"/>
  <c r="AM12" i="6"/>
  <c r="AL12" i="6"/>
  <c r="AK12" i="6"/>
  <c r="AJ12" i="6"/>
  <c r="AI12" i="6"/>
  <c r="AH12" i="6"/>
  <c r="AG12" i="6"/>
  <c r="AF12" i="6"/>
  <c r="AE12" i="6"/>
  <c r="AD12" i="6"/>
  <c r="AC12" i="6"/>
  <c r="AB12" i="6"/>
  <c r="AA12" i="6"/>
  <c r="Z12" i="6"/>
  <c r="BD22" i="6"/>
  <c r="BC22" i="6"/>
  <c r="BB22" i="6"/>
  <c r="BA22" i="6"/>
  <c r="AZ22" i="6"/>
  <c r="AY22" i="6"/>
  <c r="AX22" i="6"/>
  <c r="AW22" i="6"/>
  <c r="AV22" i="6"/>
  <c r="AU22" i="6"/>
  <c r="AT22" i="6"/>
  <c r="AR22" i="6"/>
  <c r="AQ22" i="6"/>
  <c r="AP22" i="6"/>
  <c r="AN22" i="6"/>
  <c r="AM22" i="6"/>
  <c r="AL22" i="6"/>
  <c r="AK22" i="6"/>
  <c r="AJ22" i="6"/>
  <c r="AI22" i="6"/>
  <c r="AH22" i="6"/>
  <c r="AG22" i="6"/>
  <c r="AF22" i="6"/>
  <c r="AE22" i="6"/>
  <c r="AD22" i="6"/>
  <c r="AC22" i="6"/>
  <c r="AB22" i="6"/>
  <c r="AA22" i="6"/>
  <c r="Z22" i="6"/>
  <c r="BD21" i="6"/>
  <c r="BC21" i="6"/>
  <c r="BB21" i="6"/>
  <c r="BA21" i="6"/>
  <c r="AZ21" i="6"/>
  <c r="AY21" i="6"/>
  <c r="AX21" i="6"/>
  <c r="AW21" i="6"/>
  <c r="AV21" i="6"/>
  <c r="AU21" i="6"/>
  <c r="AT21" i="6"/>
  <c r="AR21" i="6"/>
  <c r="AQ21" i="6"/>
  <c r="AP21" i="6"/>
  <c r="AN21" i="6"/>
  <c r="AM21" i="6"/>
  <c r="AL21" i="6"/>
  <c r="AK21" i="6"/>
  <c r="AJ21" i="6"/>
  <c r="AI21" i="6"/>
  <c r="AH21" i="6"/>
  <c r="AG21" i="6"/>
  <c r="AF21" i="6"/>
  <c r="AE21" i="6"/>
  <c r="AD21" i="6"/>
  <c r="AC21" i="6"/>
  <c r="AB21" i="6"/>
  <c r="AA21" i="6"/>
  <c r="Z21" i="6"/>
  <c r="BD13" i="6"/>
  <c r="BC13" i="6"/>
  <c r="BB13" i="6"/>
  <c r="BA13" i="6"/>
  <c r="AZ13" i="6"/>
  <c r="AY13" i="6"/>
  <c r="AX13" i="6"/>
  <c r="AW13" i="6"/>
  <c r="AV13" i="6"/>
  <c r="AU13" i="6"/>
  <c r="AT13" i="6"/>
  <c r="AS13" i="6"/>
  <c r="AR13" i="6"/>
  <c r="AQ13" i="6"/>
  <c r="AP13" i="6"/>
  <c r="AN13" i="6"/>
  <c r="AM13" i="6"/>
  <c r="AL13" i="6"/>
  <c r="AK13" i="6"/>
  <c r="AJ13" i="6"/>
  <c r="AI13" i="6"/>
  <c r="AH13" i="6"/>
  <c r="AG13" i="6"/>
  <c r="AF13" i="6"/>
  <c r="AE13" i="6"/>
  <c r="AD13" i="6"/>
  <c r="AC13" i="6"/>
  <c r="AB13" i="6"/>
  <c r="AA13" i="6"/>
  <c r="Z13" i="6"/>
  <c r="AC14" i="6"/>
  <c r="BD18" i="6"/>
  <c r="BC18" i="6"/>
  <c r="BB18" i="6"/>
  <c r="BA18" i="6"/>
  <c r="AZ18" i="6"/>
  <c r="AY18" i="6"/>
  <c r="AX18" i="6"/>
  <c r="AW18" i="6"/>
  <c r="AU18" i="6"/>
  <c r="AT18" i="6"/>
  <c r="AQ18" i="6"/>
  <c r="AP18" i="6"/>
  <c r="AN18" i="6"/>
  <c r="D8" i="7"/>
  <c r="BF21" i="6" l="1"/>
  <c r="BF13" i="6"/>
  <c r="BF22" i="6"/>
  <c r="BF6" i="6"/>
  <c r="BF12" i="6"/>
  <c r="Z18" i="6"/>
  <c r="AH18" i="6"/>
  <c r="AC18" i="6"/>
  <c r="AK18" i="6"/>
  <c r="AF18" i="6"/>
  <c r="AD18" i="6"/>
  <c r="AG18" i="6"/>
  <c r="AL18" i="6"/>
  <c r="AA18" i="6"/>
  <c r="AE18" i="6"/>
  <c r="AI18" i="6"/>
  <c r="AM18" i="6"/>
  <c r="AR18" i="6"/>
  <c r="AB18" i="6"/>
  <c r="AJ18" i="6"/>
  <c r="BF18" i="6" l="1"/>
  <c r="Z20" i="6"/>
  <c r="AA20" i="6"/>
  <c r="AB20" i="6"/>
  <c r="AC20" i="6"/>
  <c r="AD20" i="6"/>
  <c r="AF20" i="6"/>
  <c r="AG20" i="6"/>
  <c r="AH20" i="6"/>
  <c r="AI20" i="6"/>
  <c r="AJ20" i="6"/>
  <c r="AK20" i="6"/>
  <c r="AL20" i="6"/>
  <c r="AM20" i="6"/>
  <c r="AN20" i="6"/>
  <c r="AP20" i="6"/>
  <c r="AQ20" i="6"/>
  <c r="AR20" i="6"/>
  <c r="AT20" i="6"/>
  <c r="AU20" i="6"/>
  <c r="AV20" i="6"/>
  <c r="AW20" i="6"/>
  <c r="AX20" i="6"/>
  <c r="AY20" i="6"/>
  <c r="AZ20" i="6"/>
  <c r="BA20" i="6"/>
  <c r="BB20" i="6"/>
  <c r="BC20" i="6"/>
  <c r="BD20" i="6"/>
  <c r="BF20" i="6" l="1"/>
  <c r="U7" i="6"/>
  <c r="W7" i="6" l="1"/>
  <c r="Z8" i="6"/>
  <c r="AA8" i="6"/>
  <c r="AB8" i="6"/>
  <c r="AC8" i="6"/>
  <c r="AD8" i="6"/>
  <c r="AE8" i="6"/>
  <c r="AF8" i="6"/>
  <c r="AG8" i="6"/>
  <c r="AH8" i="6"/>
  <c r="AI8" i="6"/>
  <c r="AJ8" i="6"/>
  <c r="AK8" i="6"/>
  <c r="AL8" i="6"/>
  <c r="AM8" i="6"/>
  <c r="AN8" i="6"/>
  <c r="N20" i="2" s="1"/>
  <c r="AP8" i="6"/>
  <c r="AQ8" i="6"/>
  <c r="AR8" i="6"/>
  <c r="AS8" i="6"/>
  <c r="AV8" i="6"/>
  <c r="AX8" i="6"/>
  <c r="AY8" i="6"/>
  <c r="AZ8" i="6"/>
  <c r="BA8" i="6"/>
  <c r="BB8" i="6"/>
  <c r="BC8" i="6"/>
  <c r="BF8" i="6" l="1"/>
  <c r="Z45" i="6"/>
  <c r="AA45" i="6"/>
  <c r="AB45" i="6"/>
  <c r="AC45" i="6"/>
  <c r="AD45" i="6"/>
  <c r="AE45" i="6"/>
  <c r="AF45" i="6"/>
  <c r="AG45" i="6"/>
  <c r="AH45" i="6"/>
  <c r="AI45" i="6"/>
  <c r="AJ45" i="6"/>
  <c r="AK45" i="6"/>
  <c r="AL45" i="6"/>
  <c r="AM45" i="6"/>
  <c r="AN45" i="6"/>
  <c r="AP45" i="6"/>
  <c r="AQ45" i="6"/>
  <c r="AR45" i="6"/>
  <c r="AS45" i="6"/>
  <c r="AT45" i="6"/>
  <c r="AU45" i="6"/>
  <c r="AV45" i="6"/>
  <c r="AW45" i="6"/>
  <c r="AX45" i="6"/>
  <c r="AY45" i="6"/>
  <c r="AZ45" i="6"/>
  <c r="BA45" i="6"/>
  <c r="BB45" i="6"/>
  <c r="BC45" i="6"/>
  <c r="BD45" i="6"/>
  <c r="BF45" i="6" l="1"/>
  <c r="E17" i="2"/>
  <c r="F17" i="2"/>
  <c r="AS80" i="6" l="1"/>
  <c r="J87" i="6" l="1"/>
  <c r="J123" i="6" s="1"/>
  <c r="I87" i="6"/>
  <c r="I123" i="6" s="1"/>
  <c r="U123" i="6"/>
  <c r="R63" i="6"/>
  <c r="R123" i="6" s="1"/>
  <c r="Q63" i="6"/>
  <c r="Q123" i="6" s="1"/>
  <c r="BD39" i="6"/>
  <c r="BC39" i="6"/>
  <c r="BB39" i="6"/>
  <c r="BA39" i="6"/>
  <c r="AZ39" i="6"/>
  <c r="AY39" i="6"/>
  <c r="AX39" i="6"/>
  <c r="AW39" i="6"/>
  <c r="AV39" i="6"/>
  <c r="AU39" i="6"/>
  <c r="AT39" i="6"/>
  <c r="AS39" i="6"/>
  <c r="AR39" i="6"/>
  <c r="AQ39" i="6"/>
  <c r="AP39" i="6"/>
  <c r="AN39" i="6"/>
  <c r="AM39" i="6"/>
  <c r="AL39" i="6"/>
  <c r="AK39" i="6"/>
  <c r="AJ39" i="6"/>
  <c r="AI39" i="6"/>
  <c r="AH39" i="6"/>
  <c r="AG39" i="6"/>
  <c r="AF39" i="6"/>
  <c r="AE39" i="6"/>
  <c r="AD39" i="6"/>
  <c r="Z39" i="6"/>
  <c r="D36" i="6"/>
  <c r="AO36" i="6" s="1"/>
  <c r="O33" i="2" l="1"/>
  <c r="O32" i="2" s="1"/>
  <c r="O36" i="2" s="1"/>
  <c r="O54" i="2" s="1"/>
  <c r="AO123" i="6"/>
  <c r="D87" i="6"/>
  <c r="W87" i="6"/>
  <c r="W63" i="6"/>
  <c r="W123" i="6" s="1"/>
  <c r="BF39" i="6"/>
  <c r="D7" i="2"/>
  <c r="E12" i="2" s="1"/>
  <c r="BD44" i="6" l="1"/>
  <c r="N33" i="1" s="1"/>
  <c r="BC44" i="6"/>
  <c r="BB44" i="6"/>
  <c r="BA44" i="6"/>
  <c r="AZ44" i="6"/>
  <c r="AY44" i="6"/>
  <c r="AX44" i="6"/>
  <c r="AW44" i="6"/>
  <c r="AV44" i="6"/>
  <c r="AU44" i="6"/>
  <c r="AT44" i="6"/>
  <c r="AS44" i="6"/>
  <c r="AR44" i="6"/>
  <c r="AQ44" i="6"/>
  <c r="AP44" i="6"/>
  <c r="AN44" i="6"/>
  <c r="N35" i="2" s="1"/>
  <c r="AM44" i="6"/>
  <c r="AL44" i="6"/>
  <c r="AK44" i="6"/>
  <c r="AJ44" i="6"/>
  <c r="AI44" i="6"/>
  <c r="AH44" i="6"/>
  <c r="AG44" i="6"/>
  <c r="AF44" i="6"/>
  <c r="AE44" i="6"/>
  <c r="AD44" i="6"/>
  <c r="AC44" i="6"/>
  <c r="AB44" i="6"/>
  <c r="AA44" i="6"/>
  <c r="Z44" i="6"/>
  <c r="BF44" i="6" l="1"/>
  <c r="Z31" i="6"/>
  <c r="AA31" i="6"/>
  <c r="AB31" i="6"/>
  <c r="AC31" i="6"/>
  <c r="AD31" i="6"/>
  <c r="AE31" i="6"/>
  <c r="AF31" i="6"/>
  <c r="AG31" i="6"/>
  <c r="AH31" i="6"/>
  <c r="AI31" i="6"/>
  <c r="AJ31" i="6"/>
  <c r="AK31" i="6"/>
  <c r="AL31" i="6"/>
  <c r="AM31" i="6"/>
  <c r="AN31" i="6"/>
  <c r="AP31" i="6"/>
  <c r="AQ31" i="6"/>
  <c r="AR31" i="6"/>
  <c r="AS31" i="6"/>
  <c r="AT31" i="6"/>
  <c r="AU31" i="6"/>
  <c r="AV31" i="6"/>
  <c r="AW31" i="6"/>
  <c r="AX31" i="6"/>
  <c r="AY31" i="6"/>
  <c r="AZ31" i="6"/>
  <c r="BA31" i="6"/>
  <c r="BB31" i="6"/>
  <c r="BC31" i="6"/>
  <c r="BD31" i="6"/>
  <c r="Z32" i="6"/>
  <c r="AA32" i="6"/>
  <c r="AB32" i="6"/>
  <c r="AC32" i="6"/>
  <c r="AD32" i="6"/>
  <c r="AE32" i="6"/>
  <c r="AF32" i="6"/>
  <c r="AG32" i="6"/>
  <c r="AH32" i="6"/>
  <c r="AI32" i="6"/>
  <c r="AJ32" i="6"/>
  <c r="AK32" i="6"/>
  <c r="AL32" i="6"/>
  <c r="AM32" i="6"/>
  <c r="AN32" i="6"/>
  <c r="AP32" i="6"/>
  <c r="AQ32" i="6"/>
  <c r="AR32" i="6"/>
  <c r="AS32" i="6"/>
  <c r="AT32" i="6"/>
  <c r="AU32" i="6"/>
  <c r="AV32" i="6"/>
  <c r="AW32" i="6"/>
  <c r="AX32" i="6"/>
  <c r="AY32" i="6"/>
  <c r="AZ32" i="6"/>
  <c r="BA32" i="6"/>
  <c r="BB32" i="6"/>
  <c r="BC32" i="6"/>
  <c r="AT80" i="6"/>
  <c r="D5" i="2"/>
  <c r="AN89" i="6"/>
  <c r="BD89" i="6" s="1"/>
  <c r="BB89" i="6"/>
  <c r="BA89" i="6"/>
  <c r="AJ89" i="6"/>
  <c r="AK89" i="6"/>
  <c r="AL89" i="6"/>
  <c r="AM89" i="6"/>
  <c r="AY89" i="6"/>
  <c r="AX89" i="6"/>
  <c r="AF89" i="6"/>
  <c r="AG89" i="6"/>
  <c r="AH89" i="6"/>
  <c r="AI89" i="6"/>
  <c r="AU89" i="6"/>
  <c r="AT89" i="6"/>
  <c r="AS89" i="6"/>
  <c r="AB89" i="6"/>
  <c r="AC89" i="6"/>
  <c r="AD89" i="6"/>
  <c r="AE89" i="6"/>
  <c r="AQ89" i="6"/>
  <c r="AP89" i="6"/>
  <c r="AA89" i="6"/>
  <c r="Z89" i="6"/>
  <c r="BD88" i="6"/>
  <c r="AK88" i="6"/>
  <c r="AL88" i="6"/>
  <c r="AM88" i="6"/>
  <c r="AN88" i="6"/>
  <c r="AZ88" i="6"/>
  <c r="AY88" i="6"/>
  <c r="AG88" i="6"/>
  <c r="AH88" i="6"/>
  <c r="AI88" i="6"/>
  <c r="AJ88" i="6"/>
  <c r="AV88" i="6"/>
  <c r="AU88" i="6"/>
  <c r="AC88" i="6"/>
  <c r="AD88" i="6"/>
  <c r="AE88" i="6"/>
  <c r="AF88" i="6"/>
  <c r="AR88" i="6"/>
  <c r="AQ88" i="6"/>
  <c r="AP88" i="6"/>
  <c r="AB88" i="6"/>
  <c r="AA88" i="6"/>
  <c r="Z88" i="6"/>
  <c r="AC82" i="6"/>
  <c r="AC84" i="6"/>
  <c r="AC85" i="6"/>
  <c r="AC86" i="6"/>
  <c r="AC4" i="6"/>
  <c r="AC5" i="6"/>
  <c r="AC7" i="6"/>
  <c r="AC9" i="6"/>
  <c r="AC17" i="6"/>
  <c r="AC23" i="6"/>
  <c r="AC25" i="6"/>
  <c r="AC27" i="6"/>
  <c r="AC33" i="6"/>
  <c r="AC35" i="6"/>
  <c r="AC36" i="6"/>
  <c r="AC37" i="6"/>
  <c r="AC38" i="6"/>
  <c r="AC40" i="6"/>
  <c r="AC41" i="6"/>
  <c r="AC46" i="6"/>
  <c r="AC47" i="6"/>
  <c r="AC51" i="6"/>
  <c r="AC52" i="6"/>
  <c r="AC53" i="6"/>
  <c r="AC54" i="6"/>
  <c r="AC55" i="6"/>
  <c r="AC56" i="6"/>
  <c r="AC58" i="6"/>
  <c r="AC63" i="6"/>
  <c r="AC64" i="6"/>
  <c r="AC74" i="6"/>
  <c r="AC79" i="6"/>
  <c r="AC80" i="6"/>
  <c r="AC87" i="6"/>
  <c r="AC93" i="6"/>
  <c r="AC96" i="6"/>
  <c r="AS96" i="6" s="1"/>
  <c r="AC97" i="6"/>
  <c r="AS97" i="6" s="1"/>
  <c r="AB79" i="6"/>
  <c r="AB80" i="6"/>
  <c r="G27" i="4"/>
  <c r="Q45" i="1" s="1"/>
  <c r="G45" i="9"/>
  <c r="D45" i="9"/>
  <c r="H46" i="9"/>
  <c r="D46" i="9"/>
  <c r="H47" i="9"/>
  <c r="D47" i="9"/>
  <c r="H48" i="9"/>
  <c r="I48" i="9"/>
  <c r="J48" i="9"/>
  <c r="K48" i="9"/>
  <c r="L48" i="9"/>
  <c r="M48" i="9"/>
  <c r="N48" i="9"/>
  <c r="O48" i="9"/>
  <c r="AG48" i="9" s="1"/>
  <c r="AW48" i="9" s="1"/>
  <c r="P48" i="9"/>
  <c r="Q48" i="9"/>
  <c r="R48" i="9"/>
  <c r="S48" i="9"/>
  <c r="AK48" i="9" s="1"/>
  <c r="BA48" i="9" s="1"/>
  <c r="T48" i="9"/>
  <c r="D17" i="9"/>
  <c r="D18" i="9"/>
  <c r="X18" i="9" s="1"/>
  <c r="D43" i="9"/>
  <c r="D44" i="9"/>
  <c r="H49" i="9"/>
  <c r="I49" i="9"/>
  <c r="AA49" i="9" s="1"/>
  <c r="J49" i="9"/>
  <c r="D49" i="9" s="1"/>
  <c r="K49" i="9"/>
  <c r="L49" i="9"/>
  <c r="M49" i="9"/>
  <c r="AE49" i="9" s="1"/>
  <c r="N49" i="9"/>
  <c r="AF49" i="9" s="1"/>
  <c r="O49" i="9"/>
  <c r="P49" i="9"/>
  <c r="Q49" i="9"/>
  <c r="AI49" i="9" s="1"/>
  <c r="R49" i="9"/>
  <c r="AJ49" i="9" s="1"/>
  <c r="S49" i="9"/>
  <c r="T49" i="9"/>
  <c r="D50" i="9"/>
  <c r="D51" i="9"/>
  <c r="D76" i="9"/>
  <c r="D77" i="9"/>
  <c r="D78" i="9"/>
  <c r="B78" i="9"/>
  <c r="B77" i="9"/>
  <c r="B76" i="9"/>
  <c r="B75" i="9"/>
  <c r="G24" i="4"/>
  <c r="E74" i="9" s="1"/>
  <c r="D70" i="9"/>
  <c r="D71" i="9"/>
  <c r="D72" i="9"/>
  <c r="D73" i="9"/>
  <c r="B73" i="9"/>
  <c r="B72" i="9"/>
  <c r="B71" i="9"/>
  <c r="A36" i="1"/>
  <c r="A37" i="1"/>
  <c r="G21" i="4"/>
  <c r="E69" i="9" s="1"/>
  <c r="D67" i="9"/>
  <c r="D69" i="9" s="1"/>
  <c r="D68" i="9"/>
  <c r="B68" i="9"/>
  <c r="B67" i="9"/>
  <c r="G20" i="4"/>
  <c r="E66" i="9" s="1"/>
  <c r="F66" i="9" s="1"/>
  <c r="D65" i="9"/>
  <c r="D66" i="9" s="1"/>
  <c r="B65" i="9"/>
  <c r="C14" i="4"/>
  <c r="D14" i="4"/>
  <c r="G14" i="4" s="1"/>
  <c r="E14" i="4"/>
  <c r="F14" i="4"/>
  <c r="D59" i="9"/>
  <c r="D60" i="9"/>
  <c r="D61" i="9"/>
  <c r="D62" i="9"/>
  <c r="D63" i="9"/>
  <c r="A19" i="1"/>
  <c r="X55" i="9"/>
  <c r="Y55" i="9"/>
  <c r="Z55" i="9"/>
  <c r="AP55" i="9" s="1"/>
  <c r="AA55" i="9"/>
  <c r="AQ55" i="9" s="1"/>
  <c r="AB55" i="9"/>
  <c r="AC55" i="9"/>
  <c r="AS55" i="9" s="1"/>
  <c r="AD55" i="9"/>
  <c r="AT55" i="9" s="1"/>
  <c r="AE55" i="9"/>
  <c r="AU55" i="9" s="1"/>
  <c r="AF55" i="9"/>
  <c r="AG55" i="9"/>
  <c r="AW55" i="9" s="1"/>
  <c r="AH55" i="9"/>
  <c r="AI55" i="9"/>
  <c r="AJ55" i="9"/>
  <c r="AK55" i="9"/>
  <c r="BA55" i="9" s="1"/>
  <c r="AL55" i="9"/>
  <c r="BB55" i="9" s="1"/>
  <c r="AN55" i="9"/>
  <c r="AR55" i="9"/>
  <c r="AV55" i="9"/>
  <c r="AX55" i="9"/>
  <c r="AY55" i="9"/>
  <c r="AZ55" i="9"/>
  <c r="U55" i="9"/>
  <c r="B55" i="9"/>
  <c r="X54" i="9"/>
  <c r="Y54" i="9"/>
  <c r="Z54" i="9"/>
  <c r="AP54" i="9" s="1"/>
  <c r="AA54" i="9"/>
  <c r="AB54" i="9"/>
  <c r="AC54" i="9"/>
  <c r="AD54" i="9"/>
  <c r="AT54" i="9" s="1"/>
  <c r="AE54" i="9"/>
  <c r="AF54" i="9"/>
  <c r="AG54" i="9"/>
  <c r="AH54" i="9"/>
  <c r="AX54" i="9" s="1"/>
  <c r="AI54" i="9"/>
  <c r="AJ54" i="9"/>
  <c r="AK54" i="9"/>
  <c r="T54" i="9"/>
  <c r="AL54" i="9" s="1"/>
  <c r="BB54" i="9" s="1"/>
  <c r="AN54" i="9"/>
  <c r="AO54" i="9"/>
  <c r="AQ54" i="9"/>
  <c r="AR54" i="9"/>
  <c r="AS54" i="9"/>
  <c r="AU54" i="9"/>
  <c r="AV54" i="9"/>
  <c r="AW54" i="9"/>
  <c r="AY54" i="9"/>
  <c r="AZ54" i="9"/>
  <c r="BA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U50" i="9" s="1"/>
  <c r="K50" i="9"/>
  <c r="L50" i="9"/>
  <c r="M50" i="9"/>
  <c r="N50" i="9"/>
  <c r="O50" i="9"/>
  <c r="P50" i="9"/>
  <c r="B50" i="9"/>
  <c r="X49" i="9"/>
  <c r="Y49" i="9"/>
  <c r="Z49" i="9"/>
  <c r="AB49" i="9"/>
  <c r="AC49" i="9"/>
  <c r="AD49" i="9"/>
  <c r="AG49" i="9"/>
  <c r="AH49" i="9"/>
  <c r="AK49" i="9"/>
  <c r="AL49" i="9"/>
  <c r="BA49" i="9" s="1"/>
  <c r="AN49" i="9"/>
  <c r="AP49" i="9"/>
  <c r="AQ49" i="9"/>
  <c r="AR49" i="9"/>
  <c r="AT49" i="9"/>
  <c r="AU49" i="9"/>
  <c r="AV49" i="9"/>
  <c r="AX49" i="9"/>
  <c r="AY49" i="9"/>
  <c r="AZ49" i="9"/>
  <c r="BB49" i="9"/>
  <c r="B49" i="9"/>
  <c r="X48" i="9"/>
  <c r="Y48" i="9"/>
  <c r="Z48" i="9"/>
  <c r="AA48" i="9"/>
  <c r="AB48" i="9"/>
  <c r="AD48" i="9"/>
  <c r="AE48" i="9"/>
  <c r="AF48" i="9"/>
  <c r="AH48" i="9"/>
  <c r="AI48" i="9"/>
  <c r="AJ48" i="9"/>
  <c r="AL48" i="9"/>
  <c r="AN48" i="9"/>
  <c r="AP48" i="9"/>
  <c r="AQ48" i="9"/>
  <c r="AR48" i="9"/>
  <c r="AT48" i="9"/>
  <c r="AU48" i="9"/>
  <c r="AV48" i="9"/>
  <c r="AX48" i="9"/>
  <c r="AY48" i="9"/>
  <c r="AZ48" i="9"/>
  <c r="BB48" i="9"/>
  <c r="B48" i="9"/>
  <c r="X47" i="9"/>
  <c r="Y47" i="9"/>
  <c r="Z47" i="9"/>
  <c r="AA47" i="9"/>
  <c r="AB47" i="9"/>
  <c r="AC47" i="9"/>
  <c r="AD47" i="9"/>
  <c r="AE47" i="9"/>
  <c r="AF47" i="9"/>
  <c r="AG47" i="9"/>
  <c r="AH47" i="9"/>
  <c r="AI47" i="9"/>
  <c r="AJ47" i="9"/>
  <c r="AK47" i="9"/>
  <c r="AL47" i="9"/>
  <c r="AN47" i="9"/>
  <c r="AO47" i="9"/>
  <c r="AP47" i="9"/>
  <c r="AQ47" i="9"/>
  <c r="AR47" i="9"/>
  <c r="AS47" i="9"/>
  <c r="AT47" i="9"/>
  <c r="AU47" i="9"/>
  <c r="AV47" i="9"/>
  <c r="AW47" i="9"/>
  <c r="AX47" i="9"/>
  <c r="AY47" i="9"/>
  <c r="AZ47" i="9"/>
  <c r="BA47" i="9"/>
  <c r="BB47" i="9"/>
  <c r="U47" i="9"/>
  <c r="B47" i="9"/>
  <c r="X46" i="9"/>
  <c r="Y46" i="9"/>
  <c r="Z46" i="9"/>
  <c r="AA46" i="9"/>
  <c r="AB46" i="9"/>
  <c r="AC46" i="9"/>
  <c r="AD46" i="9"/>
  <c r="AE46" i="9"/>
  <c r="AF46" i="9"/>
  <c r="AG46" i="9"/>
  <c r="AH46" i="9"/>
  <c r="AI46" i="9"/>
  <c r="AJ46" i="9"/>
  <c r="AK46" i="9"/>
  <c r="AL46" i="9"/>
  <c r="AN46" i="9"/>
  <c r="AO46" i="9"/>
  <c r="AQ46" i="9"/>
  <c r="AR46" i="9"/>
  <c r="AS46" i="9"/>
  <c r="AU46" i="9"/>
  <c r="AV46" i="9"/>
  <c r="AW46" i="9"/>
  <c r="AY46" i="9"/>
  <c r="AZ46" i="9"/>
  <c r="BA46" i="9"/>
  <c r="BB46" i="9"/>
  <c r="U46" i="9"/>
  <c r="B46" i="9"/>
  <c r="X45" i="9"/>
  <c r="Y45" i="9"/>
  <c r="Z45" i="9"/>
  <c r="AA45" i="9"/>
  <c r="AB45" i="9"/>
  <c r="AC45" i="9"/>
  <c r="AD45" i="9"/>
  <c r="AE45" i="9"/>
  <c r="AF45" i="9"/>
  <c r="AG45" i="9"/>
  <c r="AH45" i="9"/>
  <c r="AI45" i="9"/>
  <c r="AJ45" i="9"/>
  <c r="AK45" i="9"/>
  <c r="AL45" i="9"/>
  <c r="AZ45" i="9" s="1"/>
  <c r="AO45" i="9"/>
  <c r="AP45" i="9"/>
  <c r="AQ45" i="9"/>
  <c r="AS45" i="9"/>
  <c r="AT45" i="9"/>
  <c r="AU45" i="9"/>
  <c r="AW45" i="9"/>
  <c r="AX45" i="9"/>
  <c r="AY45" i="9"/>
  <c r="BA45" i="9"/>
  <c r="BB45" i="9"/>
  <c r="U45" i="9"/>
  <c r="B45" i="9"/>
  <c r="X44" i="9"/>
  <c r="Y44" i="9"/>
  <c r="Z44" i="9"/>
  <c r="AP44" i="9" s="1"/>
  <c r="AA44" i="9"/>
  <c r="AB44" i="9"/>
  <c r="AC44" i="9"/>
  <c r="AD44" i="9"/>
  <c r="AT44" i="9" s="1"/>
  <c r="AE44" i="9"/>
  <c r="AF44" i="9"/>
  <c r="AG44" i="9"/>
  <c r="AH44" i="9"/>
  <c r="AX44" i="9" s="1"/>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BA43" i="9" s="1"/>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BD34" i="9" s="1"/>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BD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BD21" i="9" s="1"/>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A18" i="9"/>
  <c r="AE18" i="9"/>
  <c r="AI18" i="9"/>
  <c r="AN18" i="9"/>
  <c r="AO18" i="9"/>
  <c r="AP18" i="9"/>
  <c r="AQ18" i="9"/>
  <c r="AR18" i="9"/>
  <c r="AS18" i="9"/>
  <c r="AT18" i="9"/>
  <c r="AV18" i="9"/>
  <c r="AW18" i="9"/>
  <c r="AX18" i="9"/>
  <c r="AY18" i="9"/>
  <c r="AZ18" i="9"/>
  <c r="BA18" i="9"/>
  <c r="BB18" i="9"/>
  <c r="U18" i="9"/>
  <c r="B18" i="9"/>
  <c r="X17" i="9"/>
  <c r="BD17" i="9" s="1"/>
  <c r="Y17" i="9"/>
  <c r="Z17" i="9"/>
  <c r="AA17" i="9"/>
  <c r="AB17" i="9"/>
  <c r="AC17" i="9"/>
  <c r="AD17" i="9"/>
  <c r="AE17" i="9"/>
  <c r="AF17" i="9"/>
  <c r="AG17" i="9"/>
  <c r="AH17" i="9"/>
  <c r="AI17" i="9"/>
  <c r="AJ17" i="9"/>
  <c r="AK17" i="9"/>
  <c r="AL17" i="9"/>
  <c r="AN17" i="9"/>
  <c r="AO17" i="9"/>
  <c r="AP17" i="9"/>
  <c r="AQ17" i="9"/>
  <c r="AR17" i="9"/>
  <c r="AS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BD13" i="9" s="1"/>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BD9" i="9" s="1"/>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AR64" i="6"/>
  <c r="AB96" i="6"/>
  <c r="AR96" i="6" s="1"/>
  <c r="AB64" i="6"/>
  <c r="AB82" i="6"/>
  <c r="AB84" i="6"/>
  <c r="AB86" i="6"/>
  <c r="AB4" i="6"/>
  <c r="AB5" i="6"/>
  <c r="AB7" i="6"/>
  <c r="AB9" i="6"/>
  <c r="AB14" i="6"/>
  <c r="AB23" i="6"/>
  <c r="AB25" i="6"/>
  <c r="AB27" i="6"/>
  <c r="AB33" i="6"/>
  <c r="AB35" i="6"/>
  <c r="AB36" i="6"/>
  <c r="AB37" i="6"/>
  <c r="AB38" i="6"/>
  <c r="AB40" i="6"/>
  <c r="AB41" i="6"/>
  <c r="AB46" i="6"/>
  <c r="AB47" i="6"/>
  <c r="AB51" i="6"/>
  <c r="AB52" i="6"/>
  <c r="AB53" i="6"/>
  <c r="AB54" i="6"/>
  <c r="AB55" i="6"/>
  <c r="AB56" i="6"/>
  <c r="AB58" i="6"/>
  <c r="AB63" i="6"/>
  <c r="AB74" i="6"/>
  <c r="AB87" i="6"/>
  <c r="AB93" i="6"/>
  <c r="AB97" i="6"/>
  <c r="AR97" i="6" s="1"/>
  <c r="AR46" i="6"/>
  <c r="AR47" i="6"/>
  <c r="AR51" i="6"/>
  <c r="AR52" i="6"/>
  <c r="AR4" i="6"/>
  <c r="AR5" i="6"/>
  <c r="AR7" i="6"/>
  <c r="AR9" i="6"/>
  <c r="AR14" i="6"/>
  <c r="AR23" i="6"/>
  <c r="AR25" i="6"/>
  <c r="AR27" i="6"/>
  <c r="AR33" i="6"/>
  <c r="AR35" i="6"/>
  <c r="AR36" i="6"/>
  <c r="AR37" i="6"/>
  <c r="AR38" i="6"/>
  <c r="AR40" i="6"/>
  <c r="AR41" i="6"/>
  <c r="AR53" i="6"/>
  <c r="AR54" i="6"/>
  <c r="AR55" i="6"/>
  <c r="AR56" i="6"/>
  <c r="AR58" i="6"/>
  <c r="AR63" i="6"/>
  <c r="AR79" i="6"/>
  <c r="AD80" i="6"/>
  <c r="AE80" i="6"/>
  <c r="AR80" i="6"/>
  <c r="AD84" i="6"/>
  <c r="AE84" i="6"/>
  <c r="AQ4" i="6"/>
  <c r="AP33" i="6"/>
  <c r="AP35" i="6"/>
  <c r="AP36" i="6"/>
  <c r="AP37" i="6"/>
  <c r="AP38" i="6"/>
  <c r="AH86" i="6"/>
  <c r="AD86" i="6"/>
  <c r="AA80" i="6"/>
  <c r="AA14" i="6"/>
  <c r="AA84" i="6"/>
  <c r="AQ14" i="6"/>
  <c r="AD14" i="6"/>
  <c r="AE14" i="6"/>
  <c r="AF14" i="6"/>
  <c r="AG14" i="6"/>
  <c r="AH14" i="6"/>
  <c r="H24" i="2" s="1"/>
  <c r="AI14" i="6"/>
  <c r="I24" i="2" s="1"/>
  <c r="AP14" i="6"/>
  <c r="AS14" i="6"/>
  <c r="AT14" i="6"/>
  <c r="AU14" i="6"/>
  <c r="AV14" i="6"/>
  <c r="AW14" i="6"/>
  <c r="AX14" i="6"/>
  <c r="H22" i="1" s="1"/>
  <c r="AY14" i="6"/>
  <c r="I22" i="1" s="1"/>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BD17" i="6"/>
  <c r="BC17" i="6"/>
  <c r="BB17" i="6"/>
  <c r="BA17" i="6"/>
  <c r="AZ17" i="6"/>
  <c r="AY17" i="6"/>
  <c r="AX17" i="6"/>
  <c r="AW17" i="6"/>
  <c r="AV17" i="6"/>
  <c r="AU17" i="6"/>
  <c r="AT17" i="6"/>
  <c r="AQ17" i="6"/>
  <c r="AP17" i="6"/>
  <c r="D101" i="6"/>
  <c r="D119" i="6"/>
  <c r="D115" i="6"/>
  <c r="D114" i="6"/>
  <c r="D113" i="6"/>
  <c r="D112" i="6"/>
  <c r="D110" i="6"/>
  <c r="D104" i="6"/>
  <c r="D102" i="6"/>
  <c r="E121" i="6"/>
  <c r="E116" i="6"/>
  <c r="E111" i="6"/>
  <c r="AP52" i="6"/>
  <c r="AQ52" i="6"/>
  <c r="AS52" i="6"/>
  <c r="AT52" i="6"/>
  <c r="AU52" i="6"/>
  <c r="AV52" i="6"/>
  <c r="AW52" i="6"/>
  <c r="AX52" i="6"/>
  <c r="AY52" i="6"/>
  <c r="AZ52" i="6"/>
  <c r="BA52" i="6"/>
  <c r="BB52" i="6"/>
  <c r="BC52" i="6"/>
  <c r="AP53" i="6"/>
  <c r="AQ53" i="6"/>
  <c r="AS53" i="6"/>
  <c r="AT53" i="6"/>
  <c r="AU53" i="6"/>
  <c r="AV53" i="6"/>
  <c r="AW53" i="6"/>
  <c r="AX53" i="6"/>
  <c r="AY53" i="6"/>
  <c r="AZ53" i="6"/>
  <c r="BA53" i="6"/>
  <c r="BB53" i="6"/>
  <c r="BC53" i="6"/>
  <c r="AP54" i="6"/>
  <c r="AQ54" i="6"/>
  <c r="AS54" i="6"/>
  <c r="AT54" i="6"/>
  <c r="AU54" i="6"/>
  <c r="AV54" i="6"/>
  <c r="AW54" i="6"/>
  <c r="AX54" i="6"/>
  <c r="AY54" i="6"/>
  <c r="AZ54" i="6"/>
  <c r="BA54" i="6"/>
  <c r="BB54" i="6"/>
  <c r="BC54" i="6"/>
  <c r="Z51" i="6"/>
  <c r="AA51" i="6"/>
  <c r="AD51" i="6"/>
  <c r="AE51" i="6"/>
  <c r="AF51" i="6"/>
  <c r="AG51" i="6"/>
  <c r="AH51" i="6"/>
  <c r="AI51" i="6"/>
  <c r="AJ51" i="6"/>
  <c r="AK51" i="6"/>
  <c r="AL51" i="6"/>
  <c r="AM51" i="6"/>
  <c r="AN51" i="6"/>
  <c r="Z52" i="6"/>
  <c r="AA52" i="6"/>
  <c r="AD52" i="6"/>
  <c r="AE52" i="6"/>
  <c r="AF52" i="6"/>
  <c r="AG52" i="6"/>
  <c r="AH52" i="6"/>
  <c r="AI52" i="6"/>
  <c r="AJ52" i="6"/>
  <c r="AK52" i="6"/>
  <c r="AL52" i="6"/>
  <c r="AM52" i="6"/>
  <c r="AN52" i="6"/>
  <c r="Z53" i="6"/>
  <c r="AA53" i="6"/>
  <c r="AD53" i="6"/>
  <c r="AE53" i="6"/>
  <c r="AF53" i="6"/>
  <c r="AG53" i="6"/>
  <c r="AH53" i="6"/>
  <c r="AI53" i="6"/>
  <c r="AJ53" i="6"/>
  <c r="AK53" i="6"/>
  <c r="AL53" i="6"/>
  <c r="AM53" i="6"/>
  <c r="AN53" i="6"/>
  <c r="Z54" i="6"/>
  <c r="AA54" i="6"/>
  <c r="AD54" i="6"/>
  <c r="AE54" i="6"/>
  <c r="AF54" i="6"/>
  <c r="AG54" i="6"/>
  <c r="AH54" i="6"/>
  <c r="AI54" i="6"/>
  <c r="AJ54" i="6"/>
  <c r="AK54" i="6"/>
  <c r="AL54" i="6"/>
  <c r="AM54" i="6"/>
  <c r="AN54" i="6"/>
  <c r="AP51" i="6"/>
  <c r="AQ51" i="6"/>
  <c r="AS51" i="6"/>
  <c r="AT51" i="6"/>
  <c r="AU51" i="6"/>
  <c r="AV51" i="6"/>
  <c r="AW51" i="6"/>
  <c r="AX51" i="6"/>
  <c r="AY51" i="6"/>
  <c r="AZ51" i="6"/>
  <c r="BA51" i="6"/>
  <c r="BB51" i="6"/>
  <c r="BC51" i="6"/>
  <c r="AQ33" i="6"/>
  <c r="AQ35" i="6"/>
  <c r="AQ36" i="6"/>
  <c r="AQ7" i="6"/>
  <c r="AQ5" i="6"/>
  <c r="AQ40" i="6"/>
  <c r="AQ41" i="6"/>
  <c r="AQ37" i="6"/>
  <c r="AQ38" i="6"/>
  <c r="AQ63" i="6"/>
  <c r="AQ23" i="6"/>
  <c r="AQ25" i="6"/>
  <c r="AQ27" i="6"/>
  <c r="AQ9" i="6"/>
  <c r="AQ46" i="6"/>
  <c r="AQ55" i="6"/>
  <c r="AQ47" i="6"/>
  <c r="AQ56" i="6"/>
  <c r="AQ58" i="6"/>
  <c r="AQ74" i="6"/>
  <c r="AA79" i="6"/>
  <c r="AD79" i="6"/>
  <c r="AE79" i="6"/>
  <c r="AQ82" i="6"/>
  <c r="AA85" i="6"/>
  <c r="AD85" i="6"/>
  <c r="AA86" i="6"/>
  <c r="AA87" i="6"/>
  <c r="AD87" i="6"/>
  <c r="AA93" i="6"/>
  <c r="AD93" i="6"/>
  <c r="AE93" i="6"/>
  <c r="AR93" i="6"/>
  <c r="AA96" i="6"/>
  <c r="AQ96" i="6" s="1"/>
  <c r="AA97" i="6"/>
  <c r="AQ97" i="6" s="1"/>
  <c r="AA63" i="6"/>
  <c r="AA4" i="6"/>
  <c r="AA7" i="6"/>
  <c r="AA5" i="6"/>
  <c r="AA33" i="6"/>
  <c r="AA40" i="6"/>
  <c r="AA41" i="6"/>
  <c r="AA35" i="6"/>
  <c r="AA38" i="6"/>
  <c r="AA23" i="6"/>
  <c r="AA25" i="6"/>
  <c r="AA27" i="6"/>
  <c r="AA9" i="6"/>
  <c r="AA46" i="6"/>
  <c r="AA55" i="6"/>
  <c r="AA47" i="6"/>
  <c r="AA56" i="6"/>
  <c r="AA58" i="6"/>
  <c r="AA74" i="6"/>
  <c r="Z23" i="6"/>
  <c r="AD23" i="6"/>
  <c r="AE23" i="6"/>
  <c r="AF23" i="6"/>
  <c r="AG23" i="6"/>
  <c r="AH23" i="6"/>
  <c r="AI23" i="6"/>
  <c r="AJ23" i="6"/>
  <c r="AK23" i="6"/>
  <c r="AL23" i="6"/>
  <c r="AM23" i="6"/>
  <c r="AN23" i="6"/>
  <c r="Z25" i="6"/>
  <c r="AD25" i="6"/>
  <c r="AF25" i="6"/>
  <c r="AG25" i="6"/>
  <c r="AH25" i="6"/>
  <c r="AI25" i="6"/>
  <c r="AJ25" i="6"/>
  <c r="AK25" i="6"/>
  <c r="AL25" i="6"/>
  <c r="AM25" i="6"/>
  <c r="AN25" i="6"/>
  <c r="AP25" i="6"/>
  <c r="AT25" i="6"/>
  <c r="AU25" i="6"/>
  <c r="AV25" i="6"/>
  <c r="AW25" i="6"/>
  <c r="AX25" i="6"/>
  <c r="AY25" i="6"/>
  <c r="AZ25" i="6"/>
  <c r="BA25" i="6"/>
  <c r="BB25" i="6"/>
  <c r="BC25" i="6"/>
  <c r="BD25" i="6"/>
  <c r="Z27" i="6"/>
  <c r="AD27" i="6"/>
  <c r="AF27" i="6"/>
  <c r="AG27" i="6"/>
  <c r="AH27" i="6"/>
  <c r="AI27" i="6"/>
  <c r="AJ27" i="6"/>
  <c r="AK27" i="6"/>
  <c r="AL27" i="6"/>
  <c r="AM27" i="6"/>
  <c r="AN27" i="6"/>
  <c r="AP27" i="6"/>
  <c r="AT27" i="6"/>
  <c r="AU27" i="6"/>
  <c r="AV27" i="6"/>
  <c r="AW27" i="6"/>
  <c r="AX27" i="6"/>
  <c r="AY27" i="6"/>
  <c r="AZ27" i="6"/>
  <c r="BA27" i="6"/>
  <c r="BB27" i="6"/>
  <c r="BC27" i="6"/>
  <c r="BD27" i="6"/>
  <c r="Z9" i="6"/>
  <c r="AD9" i="6"/>
  <c r="AE9" i="6"/>
  <c r="AF9" i="6"/>
  <c r="AG9" i="6"/>
  <c r="AH9" i="6"/>
  <c r="AI9" i="6"/>
  <c r="AJ9" i="6"/>
  <c r="AK9" i="6"/>
  <c r="AL9" i="6"/>
  <c r="AM9" i="6"/>
  <c r="AN9" i="6"/>
  <c r="Z46" i="6"/>
  <c r="AD46" i="6"/>
  <c r="AE46" i="6"/>
  <c r="AF46" i="6"/>
  <c r="AG46" i="6"/>
  <c r="AH46" i="6"/>
  <c r="AI46" i="6"/>
  <c r="AJ46" i="6"/>
  <c r="AK46" i="6"/>
  <c r="AL46" i="6"/>
  <c r="AM46" i="6"/>
  <c r="AN46" i="6"/>
  <c r="Z55" i="6"/>
  <c r="AD55" i="6"/>
  <c r="AE55" i="6"/>
  <c r="AF55" i="6"/>
  <c r="AG55" i="6"/>
  <c r="AH55" i="6"/>
  <c r="AI55" i="6"/>
  <c r="AJ55" i="6"/>
  <c r="AK55" i="6"/>
  <c r="AL55" i="6"/>
  <c r="AM55" i="6"/>
  <c r="AN55" i="6"/>
  <c r="Z47" i="6"/>
  <c r="AD47" i="6"/>
  <c r="AE47" i="6"/>
  <c r="AF47" i="6"/>
  <c r="AG47" i="6"/>
  <c r="AH47" i="6"/>
  <c r="AI47" i="6"/>
  <c r="AJ47" i="6"/>
  <c r="AK47" i="6"/>
  <c r="AL47" i="6"/>
  <c r="AM47" i="6"/>
  <c r="AN47" i="6"/>
  <c r="Z56" i="6"/>
  <c r="AD56" i="6"/>
  <c r="AE56" i="6"/>
  <c r="AF56" i="6"/>
  <c r="AG56" i="6"/>
  <c r="AH56" i="6"/>
  <c r="AI56" i="6"/>
  <c r="AJ56" i="6"/>
  <c r="AK56" i="6"/>
  <c r="AL56" i="6"/>
  <c r="AM56" i="6"/>
  <c r="AN56" i="6"/>
  <c r="N42" i="2" s="1"/>
  <c r="AP23" i="6"/>
  <c r="AT23" i="6"/>
  <c r="AU23" i="6"/>
  <c r="AV23" i="6"/>
  <c r="AW23" i="6"/>
  <c r="AX23" i="6"/>
  <c r="AY23" i="6"/>
  <c r="AZ23" i="6"/>
  <c r="BA23" i="6"/>
  <c r="BB23" i="6"/>
  <c r="BC23" i="6"/>
  <c r="BD23" i="6"/>
  <c r="Z37" i="6"/>
  <c r="AS37" i="6"/>
  <c r="AT37" i="6"/>
  <c r="AU37" i="6"/>
  <c r="AV37" i="6"/>
  <c r="AX37" i="6"/>
  <c r="AY37" i="6"/>
  <c r="AZ37" i="6"/>
  <c r="BA37" i="6"/>
  <c r="BB37" i="6"/>
  <c r="BC37" i="6"/>
  <c r="BD37" i="6"/>
  <c r="AT36" i="6"/>
  <c r="AU36" i="6"/>
  <c r="AV36" i="6"/>
  <c r="AW36" i="6"/>
  <c r="AX36" i="6"/>
  <c r="AY36" i="6"/>
  <c r="AZ36" i="6"/>
  <c r="BA36" i="6"/>
  <c r="BB36" i="6"/>
  <c r="BC36" i="6"/>
  <c r="BD36" i="6"/>
  <c r="D103" i="6"/>
  <c r="Z96" i="6"/>
  <c r="Z97" i="6"/>
  <c r="Z4" i="6"/>
  <c r="Z14" i="6"/>
  <c r="Z7" i="6"/>
  <c r="Z5" i="6"/>
  <c r="Z33" i="6"/>
  <c r="Z40" i="6"/>
  <c r="Z41" i="6"/>
  <c r="Z35" i="6"/>
  <c r="Z38" i="6"/>
  <c r="Z63" i="6"/>
  <c r="Z58" i="6"/>
  <c r="Z74" i="6"/>
  <c r="Z79" i="6"/>
  <c r="Z80" i="6"/>
  <c r="Z84" i="6"/>
  <c r="Z85" i="6"/>
  <c r="Z86" i="6"/>
  <c r="Z87" i="6"/>
  <c r="Z93" i="6"/>
  <c r="AP4" i="6"/>
  <c r="AP5" i="6"/>
  <c r="AP7" i="6"/>
  <c r="AP40" i="6"/>
  <c r="AP41" i="6"/>
  <c r="AP63" i="6"/>
  <c r="AP64" i="6"/>
  <c r="AP9" i="6"/>
  <c r="AP46" i="6"/>
  <c r="AP47" i="6"/>
  <c r="AP55" i="6"/>
  <c r="AP56" i="6"/>
  <c r="AP58" i="6"/>
  <c r="AP74" i="6"/>
  <c r="AP79" i="6"/>
  <c r="AP80" i="6"/>
  <c r="AP84" i="6"/>
  <c r="AP86" i="6"/>
  <c r="AP87" i="6"/>
  <c r="AP93" i="6"/>
  <c r="AD96" i="6"/>
  <c r="AT96" i="6" s="1"/>
  <c r="AE96" i="6"/>
  <c r="AU96" i="6" s="1"/>
  <c r="AF96" i="6"/>
  <c r="AV96" i="6" s="1"/>
  <c r="AG96" i="6"/>
  <c r="AW96" i="6" s="1"/>
  <c r="AH96" i="6"/>
  <c r="AH64" i="6"/>
  <c r="AI96" i="6"/>
  <c r="AY96" i="6" s="1"/>
  <c r="AJ96" i="6"/>
  <c r="AZ96" i="6" s="1"/>
  <c r="AK96" i="6"/>
  <c r="BA96" i="6" s="1"/>
  <c r="AK64" i="6"/>
  <c r="AL96" i="6"/>
  <c r="BB96" i="6" s="1"/>
  <c r="AM96" i="6"/>
  <c r="BC96" i="6" s="1"/>
  <c r="AN64" i="6"/>
  <c r="BA4" i="6"/>
  <c r="BA5" i="6"/>
  <c r="BB4" i="6"/>
  <c r="BB5" i="6"/>
  <c r="BB7" i="6"/>
  <c r="L17" i="1" s="1"/>
  <c r="L18" i="1"/>
  <c r="BC4" i="6"/>
  <c r="BC5" i="6"/>
  <c r="BD4" i="6"/>
  <c r="BD5" i="6"/>
  <c r="BA7" i="6"/>
  <c r="K17" i="1" s="1"/>
  <c r="BC7" i="6"/>
  <c r="M17" i="1" s="1"/>
  <c r="BD7" i="6"/>
  <c r="N17" i="1" s="1"/>
  <c r="K18" i="1"/>
  <c r="M18" i="1"/>
  <c r="BA9" i="6"/>
  <c r="AK93" i="6"/>
  <c r="AL93" i="6"/>
  <c r="AM93" i="6"/>
  <c r="BB9" i="6"/>
  <c r="BB93" i="6"/>
  <c r="BC9" i="6"/>
  <c r="BD9" i="6"/>
  <c r="BD93" i="6"/>
  <c r="BA14" i="6"/>
  <c r="K22" i="1" s="1"/>
  <c r="BB14" i="6"/>
  <c r="L22" i="1" s="1"/>
  <c r="BC14" i="6"/>
  <c r="M22" i="1" s="1"/>
  <c r="BD14" i="6"/>
  <c r="N22" i="1" s="1"/>
  <c r="AN80" i="6"/>
  <c r="BD80" i="6"/>
  <c r="N23" i="1" s="1"/>
  <c r="BA79" i="6"/>
  <c r="AK80" i="6"/>
  <c r="AL80" i="6"/>
  <c r="AM80" i="6"/>
  <c r="BB79" i="6"/>
  <c r="BB80" i="6"/>
  <c r="AM79" i="6"/>
  <c r="AN79" i="6"/>
  <c r="K24" i="1"/>
  <c r="L24" i="1"/>
  <c r="M24" i="1"/>
  <c r="BA33" i="6"/>
  <c r="BA35" i="6"/>
  <c r="BA38" i="6"/>
  <c r="BB33" i="6"/>
  <c r="BB35" i="6"/>
  <c r="BB38" i="6"/>
  <c r="BC33" i="6"/>
  <c r="BC35" i="6"/>
  <c r="BC38" i="6"/>
  <c r="BD33" i="6"/>
  <c r="BD35" i="6"/>
  <c r="BD38" i="6"/>
  <c r="BA40" i="6"/>
  <c r="BA41" i="6"/>
  <c r="BA63" i="6"/>
  <c r="K48" i="1" s="1"/>
  <c r="BA64" i="6"/>
  <c r="BA46" i="6"/>
  <c r="BA55" i="6"/>
  <c r="BA47" i="6"/>
  <c r="BA56" i="6"/>
  <c r="BA58" i="6"/>
  <c r="K41" i="1" s="1"/>
  <c r="BA74" i="6"/>
  <c r="BA82" i="6"/>
  <c r="BA84" i="6"/>
  <c r="BA87" i="6"/>
  <c r="AK97" i="6"/>
  <c r="BA97" i="6" s="1"/>
  <c r="K47" i="1" s="1"/>
  <c r="BB40" i="6"/>
  <c r="BB41" i="6"/>
  <c r="BB63" i="6"/>
  <c r="L48" i="1" s="1"/>
  <c r="BB64" i="6"/>
  <c r="BB46" i="6"/>
  <c r="BB55" i="6"/>
  <c r="BB47" i="6"/>
  <c r="BB56" i="6"/>
  <c r="BB58" i="6"/>
  <c r="L41" i="1" s="1"/>
  <c r="BB74" i="6"/>
  <c r="AL82" i="6"/>
  <c r="AM82" i="6"/>
  <c r="AN82" i="6"/>
  <c r="BB84" i="6"/>
  <c r="BB85" i="6"/>
  <c r="BB87" i="6"/>
  <c r="AL85" i="6"/>
  <c r="AM85" i="6"/>
  <c r="AN85" i="6"/>
  <c r="BC40" i="6"/>
  <c r="BC41" i="6"/>
  <c r="BC63" i="6"/>
  <c r="M48" i="1" s="1"/>
  <c r="BC64" i="6"/>
  <c r="BC46" i="6"/>
  <c r="BC55" i="6"/>
  <c r="BC47" i="6"/>
  <c r="BC56" i="6"/>
  <c r="BC58" i="6"/>
  <c r="M41" i="1" s="1"/>
  <c r="BC74" i="6"/>
  <c r="AM84" i="6"/>
  <c r="AN84" i="6"/>
  <c r="AM86" i="6"/>
  <c r="AN86" i="6"/>
  <c r="AM87" i="6"/>
  <c r="AN87" i="6"/>
  <c r="BD40" i="6"/>
  <c r="BD41" i="6"/>
  <c r="BD63" i="6"/>
  <c r="N48" i="1" s="1"/>
  <c r="BD64" i="6"/>
  <c r="BD46" i="6"/>
  <c r="BD47" i="6"/>
  <c r="BD56" i="6"/>
  <c r="N40" i="1" s="1"/>
  <c r="BD58" i="6"/>
  <c r="N41" i="1" s="1"/>
  <c r="BD74" i="6"/>
  <c r="BD82" i="6"/>
  <c r="K33" i="1"/>
  <c r="L33" i="1"/>
  <c r="M33" i="1"/>
  <c r="AM97" i="6"/>
  <c r="BC97" i="6" s="1"/>
  <c r="M47" i="1" s="1"/>
  <c r="AN97" i="6"/>
  <c r="N49" i="2" s="1"/>
  <c r="AK4" i="6"/>
  <c r="AK5" i="6"/>
  <c r="AK7" i="6"/>
  <c r="K19" i="2" s="1"/>
  <c r="K20" i="2"/>
  <c r="AK14" i="6"/>
  <c r="K24" i="2" s="1"/>
  <c r="AK79" i="6"/>
  <c r="AJ79" i="6"/>
  <c r="AL79" i="6"/>
  <c r="AI80" i="6"/>
  <c r="AJ80" i="6"/>
  <c r="K26" i="2"/>
  <c r="AK33" i="6"/>
  <c r="AK35" i="6"/>
  <c r="AK38" i="6"/>
  <c r="AK40" i="6"/>
  <c r="AK41" i="6"/>
  <c r="AK63" i="6"/>
  <c r="K50" i="2" s="1"/>
  <c r="AK58" i="6"/>
  <c r="K43" i="2" s="1"/>
  <c r="AK74" i="6"/>
  <c r="AK82" i="6"/>
  <c r="AK84" i="6"/>
  <c r="AK85" i="6"/>
  <c r="AK86" i="6"/>
  <c r="AK87" i="6"/>
  <c r="K35" i="2"/>
  <c r="AL4" i="6"/>
  <c r="AL5" i="6"/>
  <c r="AM4" i="6"/>
  <c r="AM5" i="6"/>
  <c r="AN4" i="6"/>
  <c r="AN5" i="6"/>
  <c r="AD5" i="6"/>
  <c r="AH5" i="6"/>
  <c r="AI5" i="6"/>
  <c r="AJ5" i="6"/>
  <c r="AS5" i="6"/>
  <c r="AT5" i="6"/>
  <c r="AU5" i="6"/>
  <c r="AV5" i="6"/>
  <c r="AY5" i="6"/>
  <c r="AZ5" i="6"/>
  <c r="AL7" i="6"/>
  <c r="L19" i="2" s="1"/>
  <c r="AM7" i="6"/>
  <c r="M19" i="2" s="1"/>
  <c r="AN7" i="6"/>
  <c r="N19" i="2" s="1"/>
  <c r="L20" i="2"/>
  <c r="M20" i="2"/>
  <c r="AL14" i="6"/>
  <c r="L24" i="2" s="1"/>
  <c r="AM14" i="6"/>
  <c r="M24" i="2" s="1"/>
  <c r="M26" i="2"/>
  <c r="AN14" i="6"/>
  <c r="N24" i="2" s="1"/>
  <c r="L26" i="2"/>
  <c r="AM33" i="6"/>
  <c r="AM35" i="6"/>
  <c r="AM38" i="6"/>
  <c r="AM40" i="6"/>
  <c r="AM41" i="6"/>
  <c r="AM63" i="6"/>
  <c r="M50" i="2" s="1"/>
  <c r="AM58" i="6"/>
  <c r="M43" i="2" s="1"/>
  <c r="AM74" i="6"/>
  <c r="AL33" i="6"/>
  <c r="AL35" i="6"/>
  <c r="AL38" i="6"/>
  <c r="AN33" i="6"/>
  <c r="AN35" i="6"/>
  <c r="AN38" i="6"/>
  <c r="AL40" i="6"/>
  <c r="AL41" i="6"/>
  <c r="AL63" i="6"/>
  <c r="L50" i="2" s="1"/>
  <c r="AL58" i="6"/>
  <c r="L43" i="2" s="1"/>
  <c r="AL74" i="6"/>
  <c r="AL84" i="6"/>
  <c r="AL86" i="6"/>
  <c r="AL87" i="6"/>
  <c r="AN40" i="6"/>
  <c r="AN41" i="6"/>
  <c r="AN63" i="6"/>
  <c r="N50" i="2" s="1"/>
  <c r="AN58" i="6"/>
  <c r="N43" i="2" s="1"/>
  <c r="AN74" i="6"/>
  <c r="L35" i="2"/>
  <c r="M35" i="2"/>
  <c r="AI63" i="6"/>
  <c r="I50" i="2" s="1"/>
  <c r="AH63" i="6"/>
  <c r="H50" i="2" s="1"/>
  <c r="AG63" i="6"/>
  <c r="AE63" i="6"/>
  <c r="AD63" i="6"/>
  <c r="AJ97" i="6"/>
  <c r="AZ97" i="6" s="1"/>
  <c r="J47" i="1" s="1"/>
  <c r="AI97" i="6"/>
  <c r="I49" i="2" s="1"/>
  <c r="AH97" i="6"/>
  <c r="AX97" i="6" s="1"/>
  <c r="H47" i="1" s="1"/>
  <c r="AF97" i="6"/>
  <c r="AV97" i="6" s="1"/>
  <c r="AE97" i="6"/>
  <c r="AD97" i="6"/>
  <c r="AJ82" i="6"/>
  <c r="AJ84" i="6"/>
  <c r="AJ85" i="6"/>
  <c r="AJ86" i="6"/>
  <c r="AJ87" i="6"/>
  <c r="AJ93" i="6"/>
  <c r="AF82" i="6"/>
  <c r="AF84" i="6"/>
  <c r="AF85" i="6"/>
  <c r="AF86" i="6"/>
  <c r="AF87" i="6"/>
  <c r="AF79" i="6"/>
  <c r="AF80" i="6"/>
  <c r="AG93" i="6"/>
  <c r="AH93" i="6"/>
  <c r="AI93" i="6"/>
  <c r="AV93" i="6"/>
  <c r="J35" i="2"/>
  <c r="I35" i="2"/>
  <c r="H35" i="2"/>
  <c r="AJ40" i="6"/>
  <c r="AJ41" i="6"/>
  <c r="AJ14" i="6"/>
  <c r="J24" i="2" s="1"/>
  <c r="AJ7" i="6"/>
  <c r="J19" i="2" s="1"/>
  <c r="J20" i="2"/>
  <c r="AJ33" i="6"/>
  <c r="AJ35" i="6"/>
  <c r="AJ38" i="6"/>
  <c r="AJ63" i="6"/>
  <c r="J50" i="2" s="1"/>
  <c r="AJ58" i="6"/>
  <c r="J43" i="2" s="1"/>
  <c r="AJ74" i="6"/>
  <c r="AI40" i="6"/>
  <c r="AI7" i="6"/>
  <c r="I19" i="2" s="1"/>
  <c r="AI33" i="6"/>
  <c r="AI41" i="6"/>
  <c r="AI35" i="6"/>
  <c r="AI38" i="6"/>
  <c r="AI58" i="6"/>
  <c r="I43" i="2" s="1"/>
  <c r="AI74" i="6"/>
  <c r="AI79" i="6"/>
  <c r="AI82" i="6"/>
  <c r="AI84" i="6"/>
  <c r="AI85" i="6"/>
  <c r="AI86" i="6"/>
  <c r="AI87" i="6"/>
  <c r="AH40" i="6"/>
  <c r="AH7" i="6"/>
  <c r="H19" i="2" s="1"/>
  <c r="AH33" i="6"/>
  <c r="AH41" i="6"/>
  <c r="AH35" i="6"/>
  <c r="AH38" i="6"/>
  <c r="AH58" i="6"/>
  <c r="H43" i="2" s="1"/>
  <c r="AH74" i="6"/>
  <c r="AH79" i="6"/>
  <c r="AH80" i="6"/>
  <c r="AH82" i="6"/>
  <c r="AH84" i="6"/>
  <c r="AH85" i="6"/>
  <c r="AE86" i="6"/>
  <c r="AG86" i="6"/>
  <c r="AH87" i="6"/>
  <c r="AG40" i="6"/>
  <c r="AG7" i="6"/>
  <c r="AG33" i="6"/>
  <c r="AG41" i="6"/>
  <c r="AG35" i="6"/>
  <c r="AG38" i="6"/>
  <c r="AG58" i="6"/>
  <c r="AG74" i="6"/>
  <c r="AG79" i="6"/>
  <c r="AG80" i="6"/>
  <c r="AG82" i="6"/>
  <c r="AG84" i="6"/>
  <c r="AG87" i="6"/>
  <c r="AF40" i="6"/>
  <c r="AF41" i="6"/>
  <c r="AF7" i="6"/>
  <c r="AF35" i="6"/>
  <c r="AF38" i="6"/>
  <c r="AF63" i="6"/>
  <c r="AF58" i="6"/>
  <c r="AF74" i="6"/>
  <c r="AE7" i="6"/>
  <c r="AE33" i="6"/>
  <c r="AE41" i="6"/>
  <c r="AE35" i="6"/>
  <c r="AE38" i="6"/>
  <c r="AE64" i="6"/>
  <c r="AE58" i="6"/>
  <c r="AE74" i="6"/>
  <c r="AE82" i="6"/>
  <c r="AE85" i="6"/>
  <c r="AE87" i="6"/>
  <c r="AD40" i="6"/>
  <c r="AD7" i="6"/>
  <c r="AD35" i="6"/>
  <c r="AD38" i="6"/>
  <c r="AD41" i="6"/>
  <c r="AD58" i="6"/>
  <c r="AD74" i="6"/>
  <c r="J26" i="2"/>
  <c r="I26" i="2"/>
  <c r="H26" i="2"/>
  <c r="I20" i="2"/>
  <c r="H20" i="2"/>
  <c r="AZ64" i="6"/>
  <c r="AY64" i="6"/>
  <c r="AX64" i="6"/>
  <c r="AW64" i="6"/>
  <c r="AV64" i="6"/>
  <c r="AU64" i="6"/>
  <c r="AT64" i="6"/>
  <c r="AS64" i="6"/>
  <c r="AZ63" i="6"/>
  <c r="J48" i="1" s="1"/>
  <c r="AY63" i="6"/>
  <c r="I48" i="1" s="1"/>
  <c r="AX63" i="6"/>
  <c r="H48" i="1" s="1"/>
  <c r="AW63" i="6"/>
  <c r="AV63" i="6"/>
  <c r="AU63" i="6"/>
  <c r="AT63" i="6"/>
  <c r="AS63" i="6"/>
  <c r="AZ82" i="6"/>
  <c r="AZ86" i="6"/>
  <c r="AZ4" i="6"/>
  <c r="AZ14" i="6"/>
  <c r="J22" i="1" s="1"/>
  <c r="AZ7" i="6"/>
  <c r="J17" i="1" s="1"/>
  <c r="AZ33" i="6"/>
  <c r="AZ40" i="6"/>
  <c r="AZ41" i="6"/>
  <c r="AZ35" i="6"/>
  <c r="AZ38" i="6"/>
  <c r="AZ9" i="6"/>
  <c r="AZ93" i="6"/>
  <c r="AZ46" i="6"/>
  <c r="AZ47" i="6"/>
  <c r="AZ55" i="6"/>
  <c r="AZ56" i="6"/>
  <c r="AZ58" i="6"/>
  <c r="J41" i="1" s="1"/>
  <c r="AZ74" i="6"/>
  <c r="AZ80" i="6"/>
  <c r="AX84" i="6"/>
  <c r="AX86" i="6"/>
  <c r="AX4" i="6"/>
  <c r="H16" i="1" s="1"/>
  <c r="AX7" i="6"/>
  <c r="H17" i="1" s="1"/>
  <c r="AX33" i="6"/>
  <c r="AX40" i="6"/>
  <c r="AX41" i="6"/>
  <c r="AX35" i="6"/>
  <c r="AX38" i="6"/>
  <c r="AX9" i="6"/>
  <c r="AX93" i="6"/>
  <c r="AX46" i="6"/>
  <c r="AX55" i="6"/>
  <c r="AX56" i="6"/>
  <c r="AX47" i="6"/>
  <c r="AX58" i="6"/>
  <c r="H41" i="1" s="1"/>
  <c r="AX74" i="6"/>
  <c r="AX79" i="6"/>
  <c r="AX80" i="6"/>
  <c r="AX87" i="6"/>
  <c r="AV82" i="6"/>
  <c r="AV4" i="6"/>
  <c r="AV33" i="6"/>
  <c r="AV40" i="6"/>
  <c r="AV41" i="6"/>
  <c r="AV35" i="6"/>
  <c r="AV38" i="6"/>
  <c r="AV9" i="6"/>
  <c r="AV46" i="6"/>
  <c r="AV55" i="6"/>
  <c r="AV47" i="6"/>
  <c r="AV56" i="6"/>
  <c r="AV58" i="6"/>
  <c r="AV74" i="6"/>
  <c r="AV80" i="6"/>
  <c r="AT86" i="6"/>
  <c r="AT4" i="6"/>
  <c r="AT7" i="6"/>
  <c r="AT79" i="6"/>
  <c r="AT9" i="6"/>
  <c r="AT93" i="6"/>
  <c r="AT33" i="6"/>
  <c r="AT35" i="6"/>
  <c r="AT38" i="6"/>
  <c r="AT40" i="6"/>
  <c r="AT41" i="6"/>
  <c r="AS41" i="6"/>
  <c r="AU41" i="6"/>
  <c r="AW41" i="6"/>
  <c r="AY41" i="6"/>
  <c r="AT46" i="6"/>
  <c r="AT55" i="6"/>
  <c r="AT47" i="6"/>
  <c r="AT56" i="6"/>
  <c r="AT58" i="6"/>
  <c r="AT74" i="6"/>
  <c r="AT87" i="6"/>
  <c r="AR82" i="6"/>
  <c r="AR85" i="6"/>
  <c r="AR86" i="6"/>
  <c r="AR74" i="6"/>
  <c r="AR87" i="6"/>
  <c r="J33" i="1"/>
  <c r="I33" i="1"/>
  <c r="H33" i="1"/>
  <c r="AY40" i="6"/>
  <c r="AY4" i="6"/>
  <c r="AY7" i="6"/>
  <c r="I17" i="1" s="1"/>
  <c r="AY33" i="6"/>
  <c r="AY35" i="6"/>
  <c r="AY38" i="6"/>
  <c r="AY9" i="6"/>
  <c r="AY46" i="6"/>
  <c r="AY55" i="6"/>
  <c r="AY47" i="6"/>
  <c r="AY56" i="6"/>
  <c r="AY58" i="6"/>
  <c r="I41" i="1" s="1"/>
  <c r="AY74" i="6"/>
  <c r="AY82" i="6"/>
  <c r="AW40" i="6"/>
  <c r="AW4" i="6"/>
  <c r="AW9" i="6"/>
  <c r="AW7" i="6"/>
  <c r="AW33" i="6"/>
  <c r="AW35" i="6"/>
  <c r="AW38" i="6"/>
  <c r="AW46" i="6"/>
  <c r="AW55" i="6"/>
  <c r="AW56" i="6"/>
  <c r="AW47" i="6"/>
  <c r="AW58" i="6"/>
  <c r="AW74" i="6"/>
  <c r="AW82" i="6"/>
  <c r="AW84" i="6"/>
  <c r="AU40" i="6"/>
  <c r="AU4" i="6"/>
  <c r="AU7" i="6"/>
  <c r="AU33" i="6"/>
  <c r="AU35" i="6"/>
  <c r="AU38" i="6"/>
  <c r="AU9" i="6"/>
  <c r="AU46" i="6"/>
  <c r="AU55" i="6"/>
  <c r="AU47" i="6"/>
  <c r="AU56" i="6"/>
  <c r="AU58" i="6"/>
  <c r="AU74" i="6"/>
  <c r="AU82" i="6"/>
  <c r="AS40" i="6"/>
  <c r="AS4" i="6"/>
  <c r="AS7" i="6"/>
  <c r="AS33" i="6"/>
  <c r="AS35" i="6"/>
  <c r="AS38" i="6"/>
  <c r="AS9" i="6"/>
  <c r="AS46" i="6"/>
  <c r="AS55" i="6"/>
  <c r="AS56" i="6"/>
  <c r="AS58" i="6"/>
  <c r="AS47" i="6"/>
  <c r="AS74" i="6"/>
  <c r="AS79" i="6"/>
  <c r="AS82" i="6"/>
  <c r="AS87" i="6"/>
  <c r="J24" i="1"/>
  <c r="J18" i="1"/>
  <c r="I24" i="1"/>
  <c r="H24" i="1"/>
  <c r="I18" i="1"/>
  <c r="H18" i="1"/>
  <c r="A15" i="1"/>
  <c r="C50" i="1"/>
  <c r="G15" i="4"/>
  <c r="D16" i="3" s="1"/>
  <c r="C47" i="2"/>
  <c r="C52" i="2" s="1"/>
  <c r="E44" i="2"/>
  <c r="C44" i="2"/>
  <c r="Q30" i="2"/>
  <c r="E32" i="2"/>
  <c r="E30" i="2"/>
  <c r="C32" i="2"/>
  <c r="Q28" i="1"/>
  <c r="C30" i="2"/>
  <c r="E23" i="2"/>
  <c r="C23" i="2"/>
  <c r="G21" i="2"/>
  <c r="F21" i="2"/>
  <c r="E21" i="2"/>
  <c r="C21" i="2"/>
  <c r="C17" i="2"/>
  <c r="G17" i="2"/>
  <c r="D33" i="4"/>
  <c r="E33" i="4"/>
  <c r="F33" i="4"/>
  <c r="G33" i="4"/>
  <c r="G37" i="4" s="1"/>
  <c r="F37" i="4"/>
  <c r="E37" i="4"/>
  <c r="C37" i="4"/>
  <c r="C33" i="4"/>
  <c r="G16" i="4"/>
  <c r="D17" i="3" s="1"/>
  <c r="G17" i="3" s="1"/>
  <c r="G17" i="4"/>
  <c r="Q21" i="1" s="1"/>
  <c r="E26" i="4"/>
  <c r="E23" i="4"/>
  <c r="E19" i="4"/>
  <c r="D13" i="4"/>
  <c r="C19" i="4"/>
  <c r="C29" i="4" s="1"/>
  <c r="C23" i="4"/>
  <c r="C26" i="4"/>
  <c r="F26" i="4"/>
  <c r="F23" i="4"/>
  <c r="F19" i="4"/>
  <c r="F29" i="4" s="1"/>
  <c r="D26" i="4"/>
  <c r="D23" i="4"/>
  <c r="D19" i="4"/>
  <c r="B10" i="4"/>
  <c r="C27" i="3"/>
  <c r="C24" i="3"/>
  <c r="C20" i="3"/>
  <c r="C15" i="3"/>
  <c r="D5" i="4"/>
  <c r="D4" i="4"/>
  <c r="D4" i="3"/>
  <c r="B12" i="5"/>
  <c r="B8" i="3" s="1"/>
  <c r="B8" i="4" s="1"/>
  <c r="F27" i="3"/>
  <c r="E27" i="3"/>
  <c r="F24" i="3"/>
  <c r="E24" i="3"/>
  <c r="F20" i="3"/>
  <c r="F15" i="3"/>
  <c r="E20" i="3"/>
  <c r="E15" i="3"/>
  <c r="D37" i="4"/>
  <c r="D21" i="3"/>
  <c r="G21" i="3" s="1"/>
  <c r="Z82" i="6"/>
  <c r="Q19" i="1"/>
  <c r="Q47" i="2"/>
  <c r="Q52" i="2" s="1"/>
  <c r="G26" i="4"/>
  <c r="D28" i="3"/>
  <c r="D27" i="3" s="1"/>
  <c r="G23" i="4"/>
  <c r="D25" i="3"/>
  <c r="D24" i="3" s="1"/>
  <c r="AT85" i="6"/>
  <c r="Q39" i="2"/>
  <c r="Q44" i="2" s="1"/>
  <c r="Q37" i="1"/>
  <c r="Q42" i="1" s="1"/>
  <c r="AP85" i="6"/>
  <c r="D22" i="3"/>
  <c r="G22" i="3" s="1"/>
  <c r="AF64" i="6"/>
  <c r="AJ64" i="6"/>
  <c r="AM64" i="6"/>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C8" i="7"/>
  <c r="H23" i="7"/>
  <c r="G23" i="7"/>
  <c r="AN37" i="6"/>
  <c r="D109" i="6"/>
  <c r="AQ64" i="6"/>
  <c r="D120" i="6"/>
  <c r="C36" i="7"/>
  <c r="AA37" i="6"/>
  <c r="AI37" i="6"/>
  <c r="AJ37" i="6"/>
  <c r="AL37" i="6"/>
  <c r="AG37" i="6"/>
  <c r="AD64" i="6"/>
  <c r="AG64" i="6"/>
  <c r="AA64" i="6"/>
  <c r="Z64" i="6"/>
  <c r="AL64" i="6"/>
  <c r="AA36" i="6"/>
  <c r="AS36" i="6"/>
  <c r="Z36" i="6"/>
  <c r="AI64" i="6"/>
  <c r="AE36" i="6"/>
  <c r="AD37" i="6"/>
  <c r="AQ93" i="6"/>
  <c r="AJ36" i="6"/>
  <c r="AG36" i="6"/>
  <c r="AH36" i="6"/>
  <c r="AI36" i="6"/>
  <c r="AK36" i="6"/>
  <c r="AD36" i="6"/>
  <c r="AY84" i="6"/>
  <c r="AM36" i="6"/>
  <c r="AF36" i="6"/>
  <c r="AL36" i="6"/>
  <c r="AN36" i="6"/>
  <c r="AQ84" i="6"/>
  <c r="Q17" i="2"/>
  <c r="Q15" i="1"/>
  <c r="AY93" i="6"/>
  <c r="AU93" i="6"/>
  <c r="G19" i="4"/>
  <c r="Q32" i="2"/>
  <c r="Q30" i="1"/>
  <c r="AU84" i="6"/>
  <c r="AH37" i="6"/>
  <c r="AK37" i="6"/>
  <c r="AW37" i="6"/>
  <c r="AE37" i="6"/>
  <c r="AM37" i="6"/>
  <c r="AF37" i="6"/>
  <c r="AQ80" i="6"/>
  <c r="C21" i="7"/>
  <c r="D21" i="7"/>
  <c r="F38" i="7"/>
  <c r="H38" i="7"/>
  <c r="G38" i="7"/>
  <c r="H39" i="7"/>
  <c r="F39" i="7"/>
  <c r="G39" i="7"/>
  <c r="H30" i="7"/>
  <c r="G30" i="7"/>
  <c r="E47" i="2"/>
  <c r="E52" i="2" s="1"/>
  <c r="D36" i="7"/>
  <c r="C30" i="7"/>
  <c r="E30" i="7"/>
  <c r="D30" i="7"/>
  <c r="F30" i="7"/>
  <c r="D19" i="7"/>
  <c r="C19" i="7"/>
  <c r="E19" i="7"/>
  <c r="F23" i="2"/>
  <c r="E13" i="7"/>
  <c r="F6" i="7"/>
  <c r="E6" i="7"/>
  <c r="C6" i="7"/>
  <c r="D6" i="7"/>
  <c r="F22" i="7"/>
  <c r="D22" i="7"/>
  <c r="E22" i="7"/>
  <c r="C22" i="7"/>
  <c r="G29" i="7"/>
  <c r="H29" i="7"/>
  <c r="D13" i="7"/>
  <c r="C13" i="7"/>
  <c r="E39" i="7"/>
  <c r="C39" i="7"/>
  <c r="D39" i="7"/>
  <c r="G22" i="7"/>
  <c r="H22" i="7"/>
  <c r="E10" i="7"/>
  <c r="D10" i="7"/>
  <c r="C10" i="7"/>
  <c r="G6" i="7"/>
  <c r="H6" i="7"/>
  <c r="F37" i="7"/>
  <c r="G37" i="7"/>
  <c r="H37" i="7"/>
  <c r="G44" i="2"/>
  <c r="E28" i="7"/>
  <c r="C28" i="7"/>
  <c r="D28" i="7"/>
  <c r="G30" i="2"/>
  <c r="G23" i="2"/>
  <c r="G32" i="2"/>
  <c r="F44" i="2"/>
  <c r="G47" i="2"/>
  <c r="G52" i="2" s="1"/>
  <c r="F30" i="2"/>
  <c r="F47" i="2"/>
  <c r="F52" i="2" s="1"/>
  <c r="G10" i="7"/>
  <c r="E36" i="7"/>
  <c r="F13" i="7"/>
  <c r="F36" i="7"/>
  <c r="H36" i="7"/>
  <c r="H13" i="7"/>
  <c r="F19" i="7"/>
  <c r="G19" i="7"/>
  <c r="H19" i="7"/>
  <c r="F10" i="7"/>
  <c r="G36" i="7"/>
  <c r="H10" i="7"/>
  <c r="F28" i="7"/>
  <c r="G28" i="7"/>
  <c r="H28" i="7"/>
  <c r="G13" i="7"/>
  <c r="F32" i="2"/>
  <c r="G21" i="7"/>
  <c r="H21" i="7"/>
  <c r="F21" i="7"/>
  <c r="E21" i="7"/>
  <c r="BF88" i="6" l="1"/>
  <c r="BF87" i="6"/>
  <c r="BF86" i="6"/>
  <c r="P18" i="1"/>
  <c r="H38" i="1"/>
  <c r="AQ123" i="6"/>
  <c r="AC123" i="6"/>
  <c r="AV123" i="6"/>
  <c r="AS123" i="6"/>
  <c r="BC123" i="6"/>
  <c r="D29" i="4"/>
  <c r="BF58" i="6"/>
  <c r="BF41" i="6"/>
  <c r="BF7" i="6"/>
  <c r="BF52" i="6"/>
  <c r="BF74" i="6"/>
  <c r="BF36" i="6"/>
  <c r="BF64" i="6"/>
  <c r="BF63" i="6"/>
  <c r="BF40" i="6"/>
  <c r="BF14" i="6"/>
  <c r="BF56" i="6"/>
  <c r="BF47" i="6"/>
  <c r="BF55" i="6"/>
  <c r="BF46" i="6"/>
  <c r="BF51" i="6"/>
  <c r="BF32" i="6"/>
  <c r="BF31" i="6"/>
  <c r="BF35" i="6"/>
  <c r="BF5" i="6"/>
  <c r="BF37" i="6"/>
  <c r="BF53" i="6"/>
  <c r="BF79" i="6"/>
  <c r="BF38" i="6"/>
  <c r="BF33" i="6"/>
  <c r="BF4" i="6"/>
  <c r="BF9" i="6"/>
  <c r="BF27" i="6"/>
  <c r="BF25" i="6"/>
  <c r="BF23" i="6"/>
  <c r="BF54" i="6"/>
  <c r="O46" i="1"/>
  <c r="O45" i="1" s="1"/>
  <c r="O50" i="1" s="1"/>
  <c r="O52" i="1" s="1"/>
  <c r="AP97" i="6"/>
  <c r="AX96" i="6"/>
  <c r="H49" i="1" s="1"/>
  <c r="BB97" i="6"/>
  <c r="L47" i="1" s="1"/>
  <c r="N38" i="1"/>
  <c r="N37" i="1" s="1"/>
  <c r="N42" i="1" s="1"/>
  <c r="N32" i="1"/>
  <c r="AR84" i="6"/>
  <c r="BF84" i="6" s="1"/>
  <c r="N16" i="1"/>
  <c r="N15" i="1" s="1"/>
  <c r="N21" i="1"/>
  <c r="N46" i="1"/>
  <c r="N20" i="1"/>
  <c r="N19" i="1" s="1"/>
  <c r="N31" i="1"/>
  <c r="N29" i="1"/>
  <c r="N28" i="1" s="1"/>
  <c r="N18" i="2"/>
  <c r="N17" i="2" s="1"/>
  <c r="N34" i="2"/>
  <c r="N25" i="2"/>
  <c r="N23" i="2" s="1"/>
  <c r="N33" i="2"/>
  <c r="N48" i="2"/>
  <c r="N40" i="2"/>
  <c r="N39" i="2" s="1"/>
  <c r="N44" i="2" s="1"/>
  <c r="Q36" i="2"/>
  <c r="D20" i="3"/>
  <c r="G20" i="3" s="1"/>
  <c r="C30" i="3"/>
  <c r="E79" i="9"/>
  <c r="Q50" i="1"/>
  <c r="L33" i="2"/>
  <c r="M33" i="2"/>
  <c r="AP96" i="6"/>
  <c r="C5" i="7"/>
  <c r="Q34" i="1"/>
  <c r="F52" i="1"/>
  <c r="J18" i="2"/>
  <c r="J17" i="2" s="1"/>
  <c r="E64" i="9"/>
  <c r="F64" i="9" s="1"/>
  <c r="G29" i="4"/>
  <c r="BD5" i="9"/>
  <c r="BD14" i="9"/>
  <c r="BD15" i="9"/>
  <c r="BD19" i="9"/>
  <c r="BD24" i="9"/>
  <c r="BD27" i="9"/>
  <c r="BD32" i="9"/>
  <c r="BD38" i="9"/>
  <c r="BD47" i="9"/>
  <c r="U48" i="9"/>
  <c r="Q25" i="1"/>
  <c r="E30" i="3"/>
  <c r="C27" i="2"/>
  <c r="E108" i="6"/>
  <c r="BD4" i="9"/>
  <c r="BD8" i="9"/>
  <c r="BD22" i="9"/>
  <c r="BD23" i="9"/>
  <c r="BD26" i="9"/>
  <c r="BD35" i="9"/>
  <c r="BD36" i="9"/>
  <c r="AV45" i="9"/>
  <c r="AR45" i="9"/>
  <c r="AN45" i="9"/>
  <c r="AX46" i="9"/>
  <c r="AT46" i="9"/>
  <c r="AP46" i="9"/>
  <c r="BD46" i="9" s="1"/>
  <c r="AO49" i="9"/>
  <c r="AY51" i="9"/>
  <c r="AU51" i="9"/>
  <c r="AQ51" i="9"/>
  <c r="U54" i="9"/>
  <c r="D74" i="9"/>
  <c r="D48" i="9"/>
  <c r="D1" i="9" s="1"/>
  <c r="Q21" i="2"/>
  <c r="F30" i="3"/>
  <c r="E29" i="4"/>
  <c r="BD7" i="9"/>
  <c r="BD12" i="9"/>
  <c r="BD44" i="9"/>
  <c r="AC48" i="9"/>
  <c r="AS48" i="9" s="1"/>
  <c r="AS49" i="9"/>
  <c r="BD54" i="9"/>
  <c r="D64" i="9"/>
  <c r="BD6" i="9"/>
  <c r="BD10" i="9"/>
  <c r="BD11" i="9"/>
  <c r="BD16" i="9"/>
  <c r="BD20" i="9"/>
  <c r="BD33" i="9"/>
  <c r="BD40" i="9"/>
  <c r="AW43" i="9"/>
  <c r="AS43" i="9"/>
  <c r="AW49" i="9"/>
  <c r="B31" i="9"/>
  <c r="B28" i="9"/>
  <c r="B29" i="9"/>
  <c r="B30" i="9"/>
  <c r="B61" i="9"/>
  <c r="AN96" i="6"/>
  <c r="BD96" i="6" s="1"/>
  <c r="N49" i="1" s="1"/>
  <c r="D105" i="6"/>
  <c r="D106" i="6" s="1"/>
  <c r="AA17" i="6"/>
  <c r="AG17" i="6"/>
  <c r="AG123" i="6" s="1"/>
  <c r="AK17" i="6"/>
  <c r="K31" i="2" s="1"/>
  <c r="K30" i="2" s="1"/>
  <c r="F5" i="7"/>
  <c r="C20" i="7"/>
  <c r="D107" i="6"/>
  <c r="D108" i="6" s="1"/>
  <c r="AD17" i="6"/>
  <c r="AD123" i="6" s="1"/>
  <c r="AH17" i="6"/>
  <c r="H31" i="2" s="1"/>
  <c r="H30" i="2" s="1"/>
  <c r="AL17" i="6"/>
  <c r="L31" i="2" s="1"/>
  <c r="L30" i="2" s="1"/>
  <c r="AE17" i="6"/>
  <c r="AE123" i="6" s="1"/>
  <c r="AI17" i="6"/>
  <c r="I31" i="2" s="1"/>
  <c r="I30" i="2" s="1"/>
  <c r="AM17" i="6"/>
  <c r="M31" i="2" s="1"/>
  <c r="M30" i="2" s="1"/>
  <c r="Z17" i="6"/>
  <c r="Z123" i="6" s="1"/>
  <c r="AF17" i="6"/>
  <c r="AF123" i="6" s="1"/>
  <c r="AJ17" i="6"/>
  <c r="J31" i="2" s="1"/>
  <c r="J30" i="2" s="1"/>
  <c r="AN17" i="6"/>
  <c r="N31" i="2" s="1"/>
  <c r="N30" i="2" s="1"/>
  <c r="AB17" i="6"/>
  <c r="K49" i="2"/>
  <c r="H22" i="2"/>
  <c r="H21" i="2" s="1"/>
  <c r="M49" i="2"/>
  <c r="D111" i="6"/>
  <c r="G111" i="6" s="1"/>
  <c r="M22" i="2"/>
  <c r="M21" i="2" s="1"/>
  <c r="L20" i="1"/>
  <c r="L19" i="1" s="1"/>
  <c r="L42" i="2"/>
  <c r="H42" i="2"/>
  <c r="L41" i="2"/>
  <c r="H41" i="2"/>
  <c r="I22" i="2"/>
  <c r="I21" i="2" s="1"/>
  <c r="H18" i="2"/>
  <c r="H17" i="2" s="1"/>
  <c r="L39" i="1"/>
  <c r="I41" i="2"/>
  <c r="J23" i="1"/>
  <c r="J21" i="1" s="1"/>
  <c r="L25" i="2"/>
  <c r="L23" i="2" s="1"/>
  <c r="L51" i="2"/>
  <c r="L49" i="2"/>
  <c r="I16" i="1"/>
  <c r="I15" i="1" s="1"/>
  <c r="K40" i="2"/>
  <c r="K42" i="2"/>
  <c r="K41" i="2"/>
  <c r="F74" i="9"/>
  <c r="G16" i="3"/>
  <c r="BD37" i="9"/>
  <c r="BD45" i="9"/>
  <c r="BD51" i="9"/>
  <c r="F69" i="9"/>
  <c r="BD49" i="9"/>
  <c r="G28" i="3"/>
  <c r="G27" i="3" s="1"/>
  <c r="BD97" i="6"/>
  <c r="N47" i="1" s="1"/>
  <c r="Q23" i="2"/>
  <c r="J16" i="1"/>
  <c r="J15" i="1" s="1"/>
  <c r="M18" i="2"/>
  <c r="M17" i="2" s="1"/>
  <c r="AA82" i="6"/>
  <c r="E106" i="6"/>
  <c r="AB85" i="6"/>
  <c r="BF85" i="6" s="1"/>
  <c r="AU18" i="9"/>
  <c r="AL18" i="9"/>
  <c r="AH18" i="9"/>
  <c r="AD18" i="9"/>
  <c r="Z18" i="9"/>
  <c r="AO43" i="9"/>
  <c r="BD43" i="9" s="1"/>
  <c r="AO48" i="9"/>
  <c r="BD48" i="9" s="1"/>
  <c r="AO55" i="9"/>
  <c r="BD55" i="9" s="1"/>
  <c r="AK18" i="9"/>
  <c r="AG18" i="9"/>
  <c r="AC18" i="9"/>
  <c r="Y18" i="9"/>
  <c r="U37" i="9"/>
  <c r="D57" i="9"/>
  <c r="D18" i="3"/>
  <c r="G18" i="3" s="1"/>
  <c r="F9" i="7"/>
  <c r="C36" i="2"/>
  <c r="G25" i="3"/>
  <c r="G24" i="3" s="1"/>
  <c r="H15" i="1"/>
  <c r="AJ18" i="9"/>
  <c r="AF18" i="9"/>
  <c r="AB18" i="9"/>
  <c r="B26" i="9"/>
  <c r="U49" i="9"/>
  <c r="I39" i="1"/>
  <c r="J20" i="1"/>
  <c r="J19" i="1" s="1"/>
  <c r="BB82" i="6"/>
  <c r="L46" i="1" s="1"/>
  <c r="I40" i="1"/>
  <c r="H40" i="1"/>
  <c r="J39" i="1"/>
  <c r="K25" i="2"/>
  <c r="K23" i="2" s="1"/>
  <c r="K29" i="1"/>
  <c r="K28" i="1" s="1"/>
  <c r="H25" i="2"/>
  <c r="H23" i="2" s="1"/>
  <c r="M16" i="1"/>
  <c r="M15" i="1" s="1"/>
  <c r="K48" i="2"/>
  <c r="L40" i="1"/>
  <c r="J42" i="2"/>
  <c r="AU97" i="6"/>
  <c r="AU123" i="6" s="1"/>
  <c r="H20" i="1"/>
  <c r="H19" i="1" s="1"/>
  <c r="M40" i="1"/>
  <c r="K40" i="1"/>
  <c r="B62" i="9"/>
  <c r="B27" i="9"/>
  <c r="B63" i="9"/>
  <c r="E27" i="2"/>
  <c r="B5" i="9"/>
  <c r="B6" i="9"/>
  <c r="E5" i="7"/>
  <c r="B7" i="9"/>
  <c r="B43" i="9"/>
  <c r="B59" i="9"/>
  <c r="C11" i="7"/>
  <c r="F27" i="2"/>
  <c r="B8" i="9"/>
  <c r="B40" i="9"/>
  <c r="B44" i="9"/>
  <c r="B51" i="9"/>
  <c r="B60" i="9"/>
  <c r="B70" i="9"/>
  <c r="E27" i="7"/>
  <c r="H5" i="7"/>
  <c r="D5" i="7"/>
  <c r="G5" i="7"/>
  <c r="C18" i="7"/>
  <c r="G36" i="2"/>
  <c r="G27" i="2"/>
  <c r="E36" i="2"/>
  <c r="F27" i="7"/>
  <c r="G27" i="7"/>
  <c r="D27" i="7"/>
  <c r="H27" i="7"/>
  <c r="C27" i="7"/>
  <c r="F36" i="2"/>
  <c r="G9" i="7"/>
  <c r="H9" i="7"/>
  <c r="I18" i="2"/>
  <c r="I17" i="2" s="1"/>
  <c r="J38" i="1"/>
  <c r="J49" i="2"/>
  <c r="M25" i="2"/>
  <c r="M23" i="2" s="1"/>
  <c r="J41" i="2"/>
  <c r="I23" i="1"/>
  <c r="I21" i="1" s="1"/>
  <c r="K18" i="2"/>
  <c r="K17" i="2" s="1"/>
  <c r="M42" i="2"/>
  <c r="I51" i="2"/>
  <c r="I20" i="1"/>
  <c r="I19" i="1" s="1"/>
  <c r="I33" i="2"/>
  <c r="L29" i="1"/>
  <c r="L28" i="1" s="1"/>
  <c r="I42" i="2"/>
  <c r="M41" i="2"/>
  <c r="M20" i="1"/>
  <c r="M19" i="1" s="1"/>
  <c r="J38" i="7"/>
  <c r="M51" i="2"/>
  <c r="J40" i="2"/>
  <c r="J48" i="2"/>
  <c r="L31" i="1"/>
  <c r="H51" i="2"/>
  <c r="K16" i="1"/>
  <c r="AW97" i="6"/>
  <c r="H31" i="1"/>
  <c r="M23" i="1"/>
  <c r="M21" i="1" s="1"/>
  <c r="I49" i="1"/>
  <c r="K39" i="1"/>
  <c r="K33" i="2"/>
  <c r="I31" i="1"/>
  <c r="J40" i="1"/>
  <c r="L23" i="1"/>
  <c r="L21" i="1" s="1"/>
  <c r="K46" i="1"/>
  <c r="H48" i="2"/>
  <c r="BA80" i="6"/>
  <c r="K23" i="1" s="1"/>
  <c r="K21" i="1" s="1"/>
  <c r="J25" i="2"/>
  <c r="J23" i="2" s="1"/>
  <c r="J51" i="2"/>
  <c r="M49" i="1"/>
  <c r="H23" i="1"/>
  <c r="H21" i="1" s="1"/>
  <c r="K34" i="2"/>
  <c r="I25" i="2"/>
  <c r="I23" i="2" s="1"/>
  <c r="L16" i="1"/>
  <c r="L15" i="1" s="1"/>
  <c r="L49" i="1"/>
  <c r="J32" i="1"/>
  <c r="L22" i="2"/>
  <c r="L21" i="2" s="1"/>
  <c r="I40" i="2"/>
  <c r="M34" i="2"/>
  <c r="K49" i="1"/>
  <c r="K22" i="2"/>
  <c r="K21" i="2" s="1"/>
  <c r="I29" i="1"/>
  <c r="I28" i="1" s="1"/>
  <c r="J34" i="2"/>
  <c r="L18" i="2"/>
  <c r="L17" i="2" s="1"/>
  <c r="K32" i="1"/>
  <c r="M31" i="1"/>
  <c r="I32" i="1"/>
  <c r="J33" i="2"/>
  <c r="M40" i="2"/>
  <c r="L40" i="2"/>
  <c r="M38" i="1"/>
  <c r="K38" i="1"/>
  <c r="I38" i="1"/>
  <c r="J29" i="1"/>
  <c r="J28" i="1" s="1"/>
  <c r="H29" i="1"/>
  <c r="H28" i="1" s="1"/>
  <c r="J12" i="7"/>
  <c r="K31" i="1"/>
  <c r="L32" i="1"/>
  <c r="I39" i="7"/>
  <c r="J31" i="1"/>
  <c r="I34" i="2"/>
  <c r="M48" i="2"/>
  <c r="M39" i="1"/>
  <c r="M32" i="1"/>
  <c r="L38" i="1"/>
  <c r="M29" i="1"/>
  <c r="M28" i="1" s="1"/>
  <c r="AZ89" i="6"/>
  <c r="J49" i="1" s="1"/>
  <c r="AY97" i="6"/>
  <c r="I47" i="1" s="1"/>
  <c r="I14" i="7"/>
  <c r="H34" i="2"/>
  <c r="I48" i="2"/>
  <c r="H39" i="1"/>
  <c r="H32" i="1"/>
  <c r="H33" i="2"/>
  <c r="L34" i="2"/>
  <c r="K20" i="1"/>
  <c r="K19" i="1" s="1"/>
  <c r="I29" i="7"/>
  <c r="H40" i="2"/>
  <c r="I6" i="7"/>
  <c r="I13" i="7"/>
  <c r="M31" i="7"/>
  <c r="H49" i="2"/>
  <c r="J22" i="2"/>
  <c r="J21" i="2" s="1"/>
  <c r="AT97" i="6"/>
  <c r="AT123" i="6" s="1"/>
  <c r="AX82" i="6"/>
  <c r="H46" i="1" s="1"/>
  <c r="K51" i="2"/>
  <c r="L48" i="2"/>
  <c r="AW80" i="6"/>
  <c r="AW123" i="6" s="1"/>
  <c r="F35" i="7"/>
  <c r="F18" i="7"/>
  <c r="D18" i="7"/>
  <c r="H18" i="7"/>
  <c r="G18" i="7"/>
  <c r="E18" i="7"/>
  <c r="G35" i="7"/>
  <c r="D9" i="7"/>
  <c r="D35" i="7"/>
  <c r="H35" i="7"/>
  <c r="C35" i="7"/>
  <c r="E35" i="7"/>
  <c r="E9" i="7"/>
  <c r="C9" i="7"/>
  <c r="D20" i="7"/>
  <c r="G20" i="7"/>
  <c r="E20" i="7"/>
  <c r="F20" i="7"/>
  <c r="H20" i="7"/>
  <c r="C32" i="7"/>
  <c r="G32" i="7"/>
  <c r="E32" i="7"/>
  <c r="F32" i="7"/>
  <c r="H32" i="7"/>
  <c r="D32" i="7"/>
  <c r="I21" i="7"/>
  <c r="P38" i="7"/>
  <c r="I10" i="7"/>
  <c r="K23" i="7"/>
  <c r="L38" i="7"/>
  <c r="R38" i="7"/>
  <c r="I23" i="7"/>
  <c r="J23" i="7"/>
  <c r="D116" i="6"/>
  <c r="G116" i="6" s="1"/>
  <c r="M7" i="7"/>
  <c r="O12" i="7"/>
  <c r="N7" i="7"/>
  <c r="L14" i="7"/>
  <c r="J14" i="7"/>
  <c r="K14" i="7"/>
  <c r="S7" i="7"/>
  <c r="P48" i="1"/>
  <c r="I37" i="7"/>
  <c r="P26" i="2"/>
  <c r="Q7" i="7"/>
  <c r="I30" i="7"/>
  <c r="J7" i="7"/>
  <c r="M14" i="7"/>
  <c r="P7" i="7"/>
  <c r="P33" i="1"/>
  <c r="S31" i="7"/>
  <c r="P22" i="1"/>
  <c r="K7" i="7"/>
  <c r="M8" i="7"/>
  <c r="J8" i="7"/>
  <c r="P8" i="7"/>
  <c r="N8" i="7"/>
  <c r="S8" i="7"/>
  <c r="K8" i="7"/>
  <c r="L8" i="7"/>
  <c r="P20" i="2"/>
  <c r="O8" i="7"/>
  <c r="I8" i="7"/>
  <c r="Q8" i="7"/>
  <c r="Q23" i="7"/>
  <c r="O23" i="7"/>
  <c r="P23" i="7"/>
  <c r="R23" i="7"/>
  <c r="S23" i="7"/>
  <c r="L23" i="7"/>
  <c r="N23" i="7"/>
  <c r="M23" i="7"/>
  <c r="P35" i="2"/>
  <c r="N38" i="7"/>
  <c r="I38" i="7"/>
  <c r="Q38" i="7"/>
  <c r="P50" i="2"/>
  <c r="O38" i="7"/>
  <c r="S38" i="7"/>
  <c r="K38" i="7"/>
  <c r="M38" i="7"/>
  <c r="R8" i="7"/>
  <c r="I28" i="7"/>
  <c r="P14" i="7"/>
  <c r="S14" i="7"/>
  <c r="Q14" i="7"/>
  <c r="O14" i="7"/>
  <c r="P24" i="1"/>
  <c r="L31" i="7"/>
  <c r="J31" i="7"/>
  <c r="N31" i="7"/>
  <c r="K31" i="7"/>
  <c r="R31" i="7"/>
  <c r="Q31" i="7"/>
  <c r="O31" i="7"/>
  <c r="P31" i="7"/>
  <c r="I31" i="7"/>
  <c r="R14" i="7"/>
  <c r="P41" i="1"/>
  <c r="P12" i="7"/>
  <c r="I12" i="7"/>
  <c r="L12" i="7"/>
  <c r="P24" i="2"/>
  <c r="K12" i="7"/>
  <c r="N12" i="7"/>
  <c r="S12" i="7"/>
  <c r="M12" i="7"/>
  <c r="R12" i="7"/>
  <c r="Q12" i="7"/>
  <c r="P43" i="2"/>
  <c r="O7" i="7"/>
  <c r="I7" i="7"/>
  <c r="R7" i="7"/>
  <c r="L7" i="7"/>
  <c r="P17" i="1"/>
  <c r="P19" i="2"/>
  <c r="N14" i="7"/>
  <c r="BF89" i="6" l="1"/>
  <c r="H37" i="1"/>
  <c r="H42" i="1" s="1"/>
  <c r="BF82" i="6"/>
  <c r="AP123" i="6"/>
  <c r="E123" i="6"/>
  <c r="H39" i="2"/>
  <c r="H44" i="2" s="1"/>
  <c r="AB123" i="6"/>
  <c r="AA123" i="6"/>
  <c r="BD123" i="6"/>
  <c r="AZ123" i="6"/>
  <c r="AH123" i="6"/>
  <c r="AX123" i="6"/>
  <c r="BA123" i="6"/>
  <c r="AR123" i="6"/>
  <c r="AL123" i="6"/>
  <c r="AY123" i="6"/>
  <c r="AK123" i="6"/>
  <c r="AI123" i="6"/>
  <c r="AJ123" i="6"/>
  <c r="BB123" i="6"/>
  <c r="AM123" i="6"/>
  <c r="BF97" i="6"/>
  <c r="BF96" i="6"/>
  <c r="BF17" i="6"/>
  <c r="BF80" i="6"/>
  <c r="N30" i="1"/>
  <c r="N34" i="1" s="1"/>
  <c r="N45" i="1"/>
  <c r="N50" i="1" s="1"/>
  <c r="N25" i="1"/>
  <c r="N32" i="2"/>
  <c r="N36" i="2" s="1"/>
  <c r="N51" i="2"/>
  <c r="N47" i="2" s="1"/>
  <c r="N52" i="2" s="1"/>
  <c r="R19" i="7"/>
  <c r="R9" i="7"/>
  <c r="N10" i="7"/>
  <c r="P18" i="2"/>
  <c r="P17" i="2" s="1"/>
  <c r="R17" i="2" s="1"/>
  <c r="Q27" i="2"/>
  <c r="Q54" i="2" s="1"/>
  <c r="Q52" i="1"/>
  <c r="C52" i="1"/>
  <c r="F40" i="7"/>
  <c r="D52" i="1"/>
  <c r="C54" i="2"/>
  <c r="G108" i="6"/>
  <c r="BD18" i="9"/>
  <c r="D15" i="3"/>
  <c r="G15" i="3" s="1"/>
  <c r="G30" i="3" s="1"/>
  <c r="D75" i="9"/>
  <c r="D79" i="9" s="1"/>
  <c r="F79" i="9" s="1"/>
  <c r="C24" i="7"/>
  <c r="J46" i="1"/>
  <c r="J45" i="1" s="1"/>
  <c r="J50" i="1" s="1"/>
  <c r="G24" i="7"/>
  <c r="L30" i="1"/>
  <c r="L34" i="1" s="1"/>
  <c r="G106" i="6"/>
  <c r="H24" i="7"/>
  <c r="L39" i="2"/>
  <c r="L44" i="2" s="1"/>
  <c r="G54" i="2"/>
  <c r="M30" i="1"/>
  <c r="M34" i="1" s="1"/>
  <c r="J6" i="7"/>
  <c r="F54" i="2"/>
  <c r="E54" i="2"/>
  <c r="I32" i="2"/>
  <c r="J29" i="7"/>
  <c r="H30" i="1"/>
  <c r="H34" i="1" s="1"/>
  <c r="D117" i="6"/>
  <c r="M46" i="1"/>
  <c r="M45" i="1" s="1"/>
  <c r="M50" i="1" s="1"/>
  <c r="J39" i="2"/>
  <c r="J44" i="2" s="1"/>
  <c r="K39" i="2"/>
  <c r="K44" i="2" s="1"/>
  <c r="L32" i="2"/>
  <c r="L36" i="2" s="1"/>
  <c r="M47" i="2"/>
  <c r="M52" i="2" s="1"/>
  <c r="K6" i="7"/>
  <c r="O30" i="7"/>
  <c r="J39" i="7"/>
  <c r="L39" i="7"/>
  <c r="H47" i="2"/>
  <c r="H52" i="2" s="1"/>
  <c r="K39" i="7"/>
  <c r="N39" i="7"/>
  <c r="D30" i="3"/>
  <c r="P16" i="1"/>
  <c r="E24" i="7"/>
  <c r="F24" i="7"/>
  <c r="G40" i="7"/>
  <c r="D24" i="7"/>
  <c r="K27" i="2"/>
  <c r="K30" i="7"/>
  <c r="J30" i="7"/>
  <c r="R30" i="7"/>
  <c r="I37" i="1"/>
  <c r="I42" i="1" s="1"/>
  <c r="J30" i="1"/>
  <c r="J34" i="1" s="1"/>
  <c r="H45" i="1"/>
  <c r="H50" i="1" s="1"/>
  <c r="I39" i="2"/>
  <c r="I44" i="2" s="1"/>
  <c r="K37" i="1"/>
  <c r="K42" i="1" s="1"/>
  <c r="M39" i="2"/>
  <c r="M44" i="2" s="1"/>
  <c r="I25" i="1"/>
  <c r="J47" i="2"/>
  <c r="J52" i="2" s="1"/>
  <c r="K36" i="7"/>
  <c r="K15" i="1"/>
  <c r="K25" i="1" s="1"/>
  <c r="E40" i="7"/>
  <c r="K30" i="1"/>
  <c r="K34" i="1" s="1"/>
  <c r="L25" i="1"/>
  <c r="M25" i="1"/>
  <c r="P31" i="1"/>
  <c r="J19" i="7"/>
  <c r="O39" i="7"/>
  <c r="P30" i="7"/>
  <c r="J13" i="7"/>
  <c r="K10" i="7"/>
  <c r="M39" i="7"/>
  <c r="J10" i="7"/>
  <c r="P39" i="7"/>
  <c r="N30" i="7"/>
  <c r="M27" i="2"/>
  <c r="M30" i="7"/>
  <c r="J25" i="1"/>
  <c r="M32" i="2"/>
  <c r="M36" i="2" s="1"/>
  <c r="M28" i="7"/>
  <c r="I27" i="2"/>
  <c r="J27" i="2"/>
  <c r="L45" i="1"/>
  <c r="L50" i="1" s="1"/>
  <c r="S30" i="7"/>
  <c r="H32" i="2"/>
  <c r="H36" i="2" s="1"/>
  <c r="P42" i="2"/>
  <c r="L30" i="7"/>
  <c r="Q39" i="7"/>
  <c r="P6" i="7"/>
  <c r="J32" i="2"/>
  <c r="J36" i="2" s="1"/>
  <c r="K45" i="1"/>
  <c r="K50" i="1" s="1"/>
  <c r="Q30" i="7"/>
  <c r="P49" i="1"/>
  <c r="M37" i="1"/>
  <c r="M42" i="1" s="1"/>
  <c r="Q37" i="7"/>
  <c r="L10" i="7"/>
  <c r="N19" i="7"/>
  <c r="K28" i="7"/>
  <c r="L28" i="7"/>
  <c r="J28" i="7"/>
  <c r="O6" i="7"/>
  <c r="P32" i="1"/>
  <c r="R39" i="7"/>
  <c r="P49" i="2"/>
  <c r="N28" i="7"/>
  <c r="S37" i="7"/>
  <c r="P40" i="1"/>
  <c r="K21" i="7"/>
  <c r="R28" i="7"/>
  <c r="P33" i="2"/>
  <c r="P28" i="7"/>
  <c r="N37" i="7"/>
  <c r="P40" i="2"/>
  <c r="H27" i="2"/>
  <c r="M22" i="7"/>
  <c r="P38" i="1"/>
  <c r="B38" i="7"/>
  <c r="Q28" i="7"/>
  <c r="L37" i="7"/>
  <c r="J37" i="1"/>
  <c r="J42" i="1" s="1"/>
  <c r="K22" i="7"/>
  <c r="J22" i="7"/>
  <c r="P29" i="1"/>
  <c r="P28" i="1" s="1"/>
  <c r="O28" i="7"/>
  <c r="P37" i="7"/>
  <c r="L27" i="2"/>
  <c r="I46" i="1"/>
  <c r="I45" i="1" s="1"/>
  <c r="I50" i="1" s="1"/>
  <c r="J37" i="7"/>
  <c r="I36" i="7"/>
  <c r="K37" i="7"/>
  <c r="P34" i="2"/>
  <c r="J36" i="7"/>
  <c r="K32" i="2"/>
  <c r="K36" i="2" s="1"/>
  <c r="O37" i="7"/>
  <c r="M37" i="7"/>
  <c r="P47" i="1"/>
  <c r="R37" i="7"/>
  <c r="P29" i="7"/>
  <c r="P21" i="7"/>
  <c r="K47" i="2"/>
  <c r="K52" i="2" s="1"/>
  <c r="O29" i="7"/>
  <c r="H25" i="1"/>
  <c r="S28" i="7"/>
  <c r="B8" i="7"/>
  <c r="I30" i="1"/>
  <c r="I34" i="1" s="1"/>
  <c r="Q21" i="7"/>
  <c r="N21" i="7"/>
  <c r="Q29" i="7"/>
  <c r="L37" i="1"/>
  <c r="L42" i="1" s="1"/>
  <c r="R22" i="7"/>
  <c r="I47" i="2"/>
  <c r="I52" i="2" s="1"/>
  <c r="S39" i="7"/>
  <c r="I22" i="7"/>
  <c r="M29" i="7"/>
  <c r="O22" i="7"/>
  <c r="P20" i="1"/>
  <c r="P19" i="1" s="1"/>
  <c r="O21" i="7"/>
  <c r="P25" i="2"/>
  <c r="P23" i="2" s="1"/>
  <c r="P39" i="1"/>
  <c r="N29" i="7"/>
  <c r="S22" i="7"/>
  <c r="R29" i="7"/>
  <c r="S29" i="7"/>
  <c r="J21" i="7"/>
  <c r="N6" i="7"/>
  <c r="L47" i="2"/>
  <c r="L52" i="2" s="1"/>
  <c r="K29" i="7"/>
  <c r="L6" i="7"/>
  <c r="R6" i="7"/>
  <c r="L22" i="7"/>
  <c r="Q22" i="7"/>
  <c r="R21" i="7"/>
  <c r="M21" i="7"/>
  <c r="M6" i="7"/>
  <c r="P22" i="7"/>
  <c r="P48" i="2"/>
  <c r="L21" i="7"/>
  <c r="Q6" i="7"/>
  <c r="L19" i="7"/>
  <c r="S21" i="7"/>
  <c r="N18" i="7"/>
  <c r="I19" i="7"/>
  <c r="S6" i="7"/>
  <c r="L29" i="7"/>
  <c r="P41" i="2"/>
  <c r="K19" i="7"/>
  <c r="N22" i="7"/>
  <c r="C40" i="7"/>
  <c r="H40" i="7"/>
  <c r="D40" i="7"/>
  <c r="C15" i="7"/>
  <c r="B23" i="7"/>
  <c r="B31" i="7"/>
  <c r="I20" i="7"/>
  <c r="I27" i="7"/>
  <c r="I5" i="7"/>
  <c r="J5" i="7"/>
  <c r="K5" i="7"/>
  <c r="B12" i="7"/>
  <c r="I9" i="7"/>
  <c r="B7" i="7"/>
  <c r="I35" i="7"/>
  <c r="B14" i="7"/>
  <c r="P37" i="1" l="1"/>
  <c r="P42" i="1" s="1"/>
  <c r="P39" i="2"/>
  <c r="P44" i="2" s="1"/>
  <c r="P45" i="1"/>
  <c r="P15" i="1"/>
  <c r="B5" i="7" s="1"/>
  <c r="B6" i="7"/>
  <c r="N52" i="1"/>
  <c r="P32" i="2"/>
  <c r="Q19" i="7"/>
  <c r="O19" i="7"/>
  <c r="S19" i="7"/>
  <c r="P31" i="2"/>
  <c r="P30" i="2" s="1"/>
  <c r="R30" i="2" s="1"/>
  <c r="M19" i="7"/>
  <c r="P19" i="7"/>
  <c r="N24" i="7"/>
  <c r="P20" i="7"/>
  <c r="O10" i="7"/>
  <c r="S10" i="7"/>
  <c r="P10" i="7"/>
  <c r="M10" i="7"/>
  <c r="R10" i="7"/>
  <c r="S5" i="7"/>
  <c r="Q10" i="7"/>
  <c r="P30" i="1"/>
  <c r="P34" i="1" s="1"/>
  <c r="I36" i="2"/>
  <c r="I54" i="2" s="1"/>
  <c r="K13" i="7"/>
  <c r="L13" i="7"/>
  <c r="O13" i="7"/>
  <c r="P13" i="7"/>
  <c r="P23" i="1"/>
  <c r="M13" i="7"/>
  <c r="Q13" i="7"/>
  <c r="R13" i="7"/>
  <c r="N13" i="7"/>
  <c r="S13" i="7"/>
  <c r="P51" i="2"/>
  <c r="B39" i="7" s="1"/>
  <c r="B30" i="7"/>
  <c r="J52" i="1"/>
  <c r="M54" i="2"/>
  <c r="B21" i="7"/>
  <c r="J54" i="2"/>
  <c r="B37" i="7"/>
  <c r="B22" i="7"/>
  <c r="H54" i="2"/>
  <c r="H52" i="1"/>
  <c r="K52" i="1"/>
  <c r="B28" i="7"/>
  <c r="J35" i="7"/>
  <c r="K9" i="7"/>
  <c r="L36" i="7"/>
  <c r="O35" i="7"/>
  <c r="N36" i="7"/>
  <c r="M36" i="7"/>
  <c r="L52" i="1"/>
  <c r="I52" i="1"/>
  <c r="M52" i="1"/>
  <c r="Q9" i="7"/>
  <c r="J9" i="7"/>
  <c r="P9" i="7"/>
  <c r="O9" i="7"/>
  <c r="M9" i="7"/>
  <c r="N9" i="7"/>
  <c r="S9" i="7"/>
  <c r="L9" i="7"/>
  <c r="K54" i="2"/>
  <c r="J27" i="7"/>
  <c r="M18" i="7"/>
  <c r="K20" i="7"/>
  <c r="P47" i="2"/>
  <c r="P52" i="2" s="1"/>
  <c r="L20" i="7"/>
  <c r="P18" i="7"/>
  <c r="P36" i="7"/>
  <c r="S36" i="7"/>
  <c r="O36" i="7"/>
  <c r="P46" i="1"/>
  <c r="B36" i="7" s="1"/>
  <c r="Q27" i="7"/>
  <c r="O27" i="7"/>
  <c r="J24" i="7"/>
  <c r="Q36" i="7"/>
  <c r="P27" i="7"/>
  <c r="R27" i="7"/>
  <c r="O18" i="7"/>
  <c r="L18" i="7"/>
  <c r="K27" i="7"/>
  <c r="R18" i="7"/>
  <c r="R36" i="7"/>
  <c r="L54" i="2"/>
  <c r="S18" i="7"/>
  <c r="S27" i="7"/>
  <c r="N27" i="7"/>
  <c r="B29" i="7"/>
  <c r="R23" i="2"/>
  <c r="J20" i="7"/>
  <c r="K32" i="7"/>
  <c r="J18" i="7"/>
  <c r="Q18" i="7"/>
  <c r="I18" i="7"/>
  <c r="K18" i="7"/>
  <c r="L5" i="7"/>
  <c r="L27" i="7"/>
  <c r="M27" i="7"/>
  <c r="J32" i="7"/>
  <c r="O32" i="7"/>
  <c r="M32" i="7"/>
  <c r="L32" i="7"/>
  <c r="N32" i="7"/>
  <c r="R32" i="7"/>
  <c r="I32" i="7"/>
  <c r="S32" i="7"/>
  <c r="K24" i="7"/>
  <c r="I24" i="7"/>
  <c r="Q32" i="7"/>
  <c r="I40" i="7"/>
  <c r="J40" i="7"/>
  <c r="P32" i="7"/>
  <c r="R28" i="1"/>
  <c r="R19" i="1"/>
  <c r="R15" i="1" l="1"/>
  <c r="M24" i="7"/>
  <c r="N20" i="7"/>
  <c r="R20" i="7"/>
  <c r="O20" i="7"/>
  <c r="M20" i="7"/>
  <c r="S20" i="7"/>
  <c r="B18" i="7"/>
  <c r="Q20" i="7"/>
  <c r="B19" i="7"/>
  <c r="P36" i="2"/>
  <c r="B21" i="5"/>
  <c r="O5" i="7"/>
  <c r="N5" i="7"/>
  <c r="M5" i="7"/>
  <c r="Q5" i="7"/>
  <c r="P5" i="7"/>
  <c r="R5" i="7"/>
  <c r="P21" i="1"/>
  <c r="P25" i="1" s="1"/>
  <c r="R24" i="7"/>
  <c r="O24" i="7"/>
  <c r="P24" i="7"/>
  <c r="B13" i="7"/>
  <c r="R32" i="2"/>
  <c r="R36" i="2" s="1"/>
  <c r="R37" i="1"/>
  <c r="R42" i="1" s="1"/>
  <c r="R47" i="2"/>
  <c r="R52" i="2" s="1"/>
  <c r="R30" i="1"/>
  <c r="R34" i="1" s="1"/>
  <c r="B20" i="7"/>
  <c r="N35" i="7"/>
  <c r="Q35" i="7"/>
  <c r="L35" i="7"/>
  <c r="R35" i="7"/>
  <c r="P35" i="7"/>
  <c r="M35" i="7"/>
  <c r="P50" i="1"/>
  <c r="S35" i="7"/>
  <c r="K35" i="7"/>
  <c r="S24" i="7"/>
  <c r="L24" i="7"/>
  <c r="Q24" i="7"/>
  <c r="R39" i="2"/>
  <c r="R44" i="2" s="1"/>
  <c r="B27" i="7"/>
  <c r="B32" i="7"/>
  <c r="B11" i="7" l="1"/>
  <c r="B24" i="7"/>
  <c r="R21" i="1"/>
  <c r="R25" i="1" s="1"/>
  <c r="P52" i="1"/>
  <c r="B40" i="7"/>
  <c r="R45" i="1"/>
  <c r="R50" i="1" s="1"/>
  <c r="B35" i="7"/>
  <c r="P40" i="7"/>
  <c r="N40" i="7"/>
  <c r="Q40" i="7"/>
  <c r="L40" i="7"/>
  <c r="R40" i="7"/>
  <c r="M40" i="7"/>
  <c r="O40" i="7"/>
  <c r="S40" i="7"/>
  <c r="K40" i="7"/>
  <c r="R52" i="1" l="1"/>
  <c r="G11" i="7"/>
  <c r="H11" i="7"/>
  <c r="M11" i="7"/>
  <c r="L11" i="7"/>
  <c r="D11" i="7"/>
  <c r="I11" i="7"/>
  <c r="P11" i="7"/>
  <c r="S11" i="7"/>
  <c r="E11" i="7"/>
  <c r="J11" i="7"/>
  <c r="K11" i="7"/>
  <c r="Q11" i="7"/>
  <c r="F11" i="7"/>
  <c r="O11" i="7"/>
  <c r="R11" i="7"/>
  <c r="N11" i="7"/>
  <c r="D27" i="2"/>
  <c r="H15" i="7" s="1"/>
  <c r="S15" i="7" l="1"/>
  <c r="J15" i="7"/>
  <c r="F15" i="7"/>
  <c r="D54" i="2"/>
  <c r="E15" i="7"/>
  <c r="I15" i="7"/>
  <c r="D15" i="7"/>
  <c r="O15" i="7"/>
  <c r="P15" i="7"/>
  <c r="G15" i="7"/>
  <c r="K15" i="7"/>
  <c r="Q15" i="7"/>
  <c r="R15" i="7"/>
  <c r="L15" i="7"/>
  <c r="N15" i="7"/>
  <c r="M15" i="7"/>
  <c r="AN93" i="6" l="1"/>
  <c r="BF93" i="6" l="1"/>
  <c r="BF123" i="6" s="1"/>
  <c r="AN123" i="6"/>
  <c r="N22" i="2"/>
  <c r="P22" i="2" s="1"/>
  <c r="B10" i="7" s="1"/>
  <c r="N21" i="2" l="1"/>
  <c r="N27" i="2" s="1"/>
  <c r="N54" i="2" s="1"/>
  <c r="P21" i="2"/>
  <c r="B9" i="7" s="1"/>
  <c r="P27" i="2" l="1"/>
  <c r="B15" i="7" s="1"/>
  <c r="R21" i="2"/>
  <c r="R27" i="2" s="1"/>
  <c r="R54" i="2" s="1"/>
  <c r="P54" i="2" l="1"/>
  <c r="D1" i="6" l="1"/>
  <c r="D99" i="6"/>
  <c r="D118" i="6"/>
  <c r="D121" i="6" s="1"/>
  <c r="G121" i="6" s="1"/>
  <c r="G123" i="6" s="1"/>
  <c r="D123" i="6" l="1"/>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E5" authorId="0" shapeId="0">
      <text>
        <r>
          <rPr>
            <b/>
            <sz val="9"/>
            <color indexed="81"/>
            <rFont val="Tahoma"/>
            <family val="2"/>
          </rPr>
          <t>Josue Andreé Ricart Vásquez:</t>
        </r>
        <r>
          <rPr>
            <sz val="9"/>
            <color indexed="81"/>
            <rFont val="Tahoma"/>
            <family val="2"/>
          </rPr>
          <t xml:space="preserve">
Según Liseth es probable que se ejecute en abril
se traslada al Q10 según solicitud </t>
        </r>
      </text>
    </comment>
    <comment ref="C7" authorId="0" shapeId="0">
      <text>
        <r>
          <rPr>
            <b/>
            <sz val="9"/>
            <color indexed="81"/>
            <rFont val="Tahoma"/>
            <family val="2"/>
          </rPr>
          <t>Josue Andreé Ricart Vásquez:</t>
        </r>
        <r>
          <rPr>
            <sz val="9"/>
            <color indexed="81"/>
            <rFont val="Tahoma"/>
            <family val="2"/>
          </rPr>
          <t xml:space="preserve">
Universidades Programas de Formación</t>
        </r>
      </text>
    </comment>
    <comment ref="D7"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9" authorId="0" shapeId="0">
      <text>
        <r>
          <rPr>
            <sz val="9"/>
            <color indexed="81"/>
            <rFont val="Tahoma"/>
            <family val="2"/>
          </rPr>
          <t xml:space="preserve">
CAMBIA EL MONTO ADJUDICADO DE 2,800,000 A 2,400,000
GOPA
25/06/2018 Monto adjudicado 2329507.00 
se realizaron ajustes a los entregables</t>
        </r>
      </text>
    </comment>
    <comment ref="C13"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3" authorId="0" shapeId="0">
      <text>
        <r>
          <rPr>
            <b/>
            <sz val="9"/>
            <color indexed="81"/>
            <rFont val="Tahoma"/>
            <family val="2"/>
          </rPr>
          <t>Josue Andreé Ricart Vásquez:</t>
        </r>
        <r>
          <rPr>
            <sz val="9"/>
            <color indexed="81"/>
            <rFont val="Tahoma"/>
            <family val="2"/>
          </rPr>
          <t xml:space="preserve">
actualizar a 1,200,000.00
actualizado
</t>
        </r>
      </text>
    </comment>
    <comment ref="C14" authorId="0" shapeId="0">
      <text>
        <r>
          <rPr>
            <b/>
            <sz val="9"/>
            <color indexed="81"/>
            <rFont val="Tahoma"/>
            <family val="2"/>
          </rPr>
          <t>Josue Andreé Ricart Vásquez:</t>
        </r>
        <r>
          <rPr>
            <sz val="9"/>
            <color indexed="81"/>
            <rFont val="Tahoma"/>
            <family val="2"/>
          </rPr>
          <t xml:space="preserve">
FHI</t>
        </r>
      </text>
    </comment>
    <comment ref="C19" authorId="0" shapeId="0">
      <text>
        <r>
          <rPr>
            <b/>
            <sz val="9"/>
            <color indexed="81"/>
            <rFont val="Tahoma"/>
            <family val="2"/>
          </rPr>
          <t>Josue Andreé Ricart Vásquez:</t>
        </r>
        <r>
          <rPr>
            <sz val="9"/>
            <color indexed="81"/>
            <rFont val="Tahoma"/>
            <family val="2"/>
          </rPr>
          <t xml:space="preserve">
Lilian Merlo contrato 2018
</t>
        </r>
      </text>
    </comment>
    <comment ref="C20" authorId="0" shapeId="0">
      <text>
        <r>
          <rPr>
            <b/>
            <sz val="9"/>
            <color indexed="81"/>
            <rFont val="Tahoma"/>
            <family val="2"/>
          </rPr>
          <t>Josue Andreé Ricart Vásquez:</t>
        </r>
        <r>
          <rPr>
            <sz val="9"/>
            <color indexed="81"/>
            <rFont val="Tahoma"/>
            <family val="2"/>
          </rPr>
          <t xml:space="preserve">
en fase inicial se pretendió adquirir sus servicios en el q6 pero sigue en fase de TDR´s por lo que se traslada al q7
borrar el ya no va a estar</t>
        </r>
      </text>
    </comment>
    <comment ref="C21" authorId="0" shapeId="0">
      <text>
        <r>
          <rPr>
            <b/>
            <sz val="9"/>
            <color indexed="81"/>
            <rFont val="Tahoma"/>
            <family val="2"/>
          </rPr>
          <t>Josue Andreé Ricart Vásquez:</t>
        </r>
        <r>
          <rPr>
            <sz val="9"/>
            <color indexed="81"/>
            <rFont val="Tahoma"/>
            <family val="2"/>
          </rPr>
          <t xml:space="preserve">
consultor en sistema de aduanas</t>
        </r>
      </text>
    </comment>
    <comment ref="C22" authorId="0" shapeId="0">
      <text>
        <r>
          <rPr>
            <b/>
            <sz val="9"/>
            <color indexed="81"/>
            <rFont val="Tahoma"/>
            <family val="2"/>
          </rPr>
          <t>Josue Andreé Ricart Vásquez:</t>
        </r>
        <r>
          <rPr>
            <sz val="9"/>
            <color indexed="81"/>
            <rFont val="Tahoma"/>
            <family val="2"/>
          </rPr>
          <t xml:space="preserve">
esta en fase de tdr</t>
        </r>
      </text>
    </comment>
    <comment ref="C23" authorId="0" shapeId="0">
      <text>
        <r>
          <rPr>
            <b/>
            <sz val="9"/>
            <color indexed="81"/>
            <rFont val="Tahoma"/>
            <family val="2"/>
          </rPr>
          <t>Josue Andreé Ricart Vásquez:</t>
        </r>
        <r>
          <rPr>
            <sz val="9"/>
            <color indexed="81"/>
            <rFont val="Tahoma"/>
            <family val="2"/>
          </rPr>
          <t xml:space="preserve">
LAS DATABASE YA FUERON PAGADAS</t>
        </r>
      </text>
    </comment>
    <comment ref="C25" authorId="0" shapeId="0">
      <text>
        <r>
          <rPr>
            <b/>
            <sz val="9"/>
            <color indexed="81"/>
            <rFont val="Tahoma"/>
            <family val="2"/>
          </rPr>
          <t>Josue Andreé Ricart Vásquez:</t>
        </r>
        <r>
          <rPr>
            <sz val="9"/>
            <color indexed="81"/>
            <rFont val="Tahoma"/>
            <family val="2"/>
          </rPr>
          <t xml:space="preserve">
PAGOS DICIEMBRE Y ENERO
</t>
        </r>
      </text>
    </comment>
    <comment ref="C26" authorId="0" shapeId="0">
      <text>
        <r>
          <rPr>
            <b/>
            <sz val="9"/>
            <color indexed="81"/>
            <rFont val="Tahoma"/>
            <family val="2"/>
          </rPr>
          <t>Josue Andreé Ricart Vásquez:</t>
        </r>
        <r>
          <rPr>
            <sz val="9"/>
            <color indexed="81"/>
            <rFont val="Tahoma"/>
            <family val="2"/>
          </rPr>
          <t xml:space="preserve">
CONTRATACIONES 2018 Y PAGO DE FEBRERO 2018</t>
        </r>
      </text>
    </comment>
    <comment ref="C27" authorId="0" shapeId="0">
      <text>
        <r>
          <rPr>
            <b/>
            <sz val="9"/>
            <color indexed="81"/>
            <rFont val="Tahoma"/>
            <family val="2"/>
          </rPr>
          <t>investigadores de aduanas</t>
        </r>
        <r>
          <rPr>
            <sz val="9"/>
            <color indexed="81"/>
            <rFont val="Tahoma"/>
            <family val="2"/>
          </rPr>
          <t xml:space="preserve">
</t>
        </r>
      </text>
    </comment>
    <comment ref="C31" authorId="0" shapeId="0">
      <text>
        <r>
          <rPr>
            <sz val="9"/>
            <color indexed="81"/>
            <rFont val="Tahoma"/>
            <family val="2"/>
          </rPr>
          <t>pagado</t>
        </r>
      </text>
    </comment>
    <comment ref="C33" authorId="0" shapeId="0">
      <text>
        <r>
          <rPr>
            <sz val="9"/>
            <color indexed="81"/>
            <rFont val="Tahoma"/>
            <family val="2"/>
          </rPr>
          <t>UNIVERSIDAD INTERNACIONES</t>
        </r>
      </text>
    </comment>
    <comment ref="C34" authorId="0" shapeId="0">
      <text>
        <r>
          <rPr>
            <b/>
            <sz val="9"/>
            <color indexed="81"/>
            <rFont val="Tahoma"/>
            <family val="2"/>
          </rPr>
          <t>Josue Andreé Ricart Vásquez:</t>
        </r>
        <r>
          <rPr>
            <sz val="9"/>
            <color indexed="81"/>
            <rFont val="Tahoma"/>
            <family val="2"/>
          </rPr>
          <t xml:space="preserve">
Enmienda 1
</t>
        </r>
      </text>
    </comment>
    <comment ref="C37" authorId="0" shapeId="0">
      <text>
        <r>
          <rPr>
            <sz val="9"/>
            <color indexed="81"/>
            <rFont val="Tahoma"/>
            <family val="2"/>
          </rPr>
          <t xml:space="preserve">Probablemente Sergio Bravo
</t>
        </r>
      </text>
    </comment>
    <comment ref="C38" authorId="0" shapeId="0">
      <text>
        <r>
          <rPr>
            <b/>
            <sz val="9"/>
            <color indexed="81"/>
            <rFont val="Tahoma"/>
            <family val="2"/>
          </rPr>
          <t>Josue Andreé Ricart Vásquez:</t>
        </r>
        <r>
          <rPr>
            <sz val="9"/>
            <color indexed="81"/>
            <rFont val="Tahoma"/>
            <family val="2"/>
          </rPr>
          <t xml:space="preserve">
ya fue pagado en su totalidad PU-MCC-002-2016</t>
        </r>
      </text>
    </comment>
    <comment ref="C39" authorId="0" shapeId="0">
      <text>
        <r>
          <rPr>
            <b/>
            <sz val="9"/>
            <color indexed="81"/>
            <rFont val="Tahoma"/>
            <family val="2"/>
          </rPr>
          <t>probablemente un tercer contrato de sergio bravo</t>
        </r>
      </text>
    </comment>
    <comment ref="C40" authorId="0" shapeId="0">
      <text>
        <r>
          <rPr>
            <b/>
            <sz val="9"/>
            <color indexed="81"/>
            <rFont val="Tahoma"/>
            <family val="2"/>
          </rPr>
          <t>Josue Andreé Ricart Vásquez:</t>
        </r>
        <r>
          <rPr>
            <sz val="9"/>
            <color indexed="81"/>
            <rFont val="Tahoma"/>
            <family val="2"/>
          </rPr>
          <t xml:space="preserve">
Deloitte</t>
        </r>
      </text>
    </comment>
    <comment ref="C41" authorId="0" shapeId="0">
      <text>
        <r>
          <rPr>
            <b/>
            <sz val="9"/>
            <color indexed="81"/>
            <rFont val="Tahoma"/>
            <family val="2"/>
          </rPr>
          <t>Josue Andreé Ricart Vásquez:</t>
        </r>
        <r>
          <rPr>
            <sz val="9"/>
            <color indexed="81"/>
            <rFont val="Tahoma"/>
            <family val="2"/>
          </rPr>
          <t xml:space="preserve">
ya están los terminos de referencia</t>
        </r>
      </text>
    </comment>
    <comment ref="D41"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t>
        </r>
      </text>
    </comment>
    <comment ref="D43"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44" authorId="0" shapeId="0">
      <text>
        <r>
          <rPr>
            <b/>
            <sz val="9"/>
            <color indexed="81"/>
            <rFont val="Tahoma"/>
            <family val="2"/>
          </rPr>
          <t>Josue Andreé Ricart Vásquez:</t>
        </r>
        <r>
          <rPr>
            <sz val="9"/>
            <color indexed="81"/>
            <rFont val="Tahoma"/>
            <family val="2"/>
          </rPr>
          <t xml:space="preserve">
MGO</t>
        </r>
      </text>
    </comment>
    <comment ref="C45" authorId="0" shapeId="0">
      <text>
        <r>
          <rPr>
            <b/>
            <sz val="9"/>
            <color indexed="81"/>
            <rFont val="Tahoma"/>
            <family val="2"/>
          </rPr>
          <t>Josue Andreé Ricart Vásquez:</t>
        </r>
        <r>
          <rPr>
            <sz val="9"/>
            <color indexed="81"/>
            <rFont val="Tahoma"/>
            <family val="2"/>
          </rPr>
          <t xml:space="preserve">
QUINTOS TRAVEL</t>
        </r>
      </text>
    </comment>
    <comment ref="C55" authorId="0" shapeId="0">
      <text>
        <r>
          <rPr>
            <sz val="9"/>
            <color indexed="81"/>
            <rFont val="Tahoma"/>
            <family val="2"/>
          </rPr>
          <t>Experto en escala vertical</t>
        </r>
      </text>
    </comment>
    <comment ref="C64" authorId="0" shapeId="0">
      <text>
        <r>
          <rPr>
            <b/>
            <sz val="9"/>
            <color indexed="81"/>
            <rFont val="Tahoma"/>
            <family val="2"/>
          </rPr>
          <t>Josue Andreé Ricart Grupo Sega</t>
        </r>
      </text>
    </comment>
    <comment ref="C65" authorId="0" shapeId="0">
      <text>
        <r>
          <rPr>
            <b/>
            <sz val="9"/>
            <color indexed="81"/>
            <rFont val="Tahoma"/>
            <family val="2"/>
          </rPr>
          <t>Josue Andreé Ricart Vásquez:</t>
        </r>
        <r>
          <rPr>
            <sz val="9"/>
            <color indexed="81"/>
            <rFont val="Tahoma"/>
            <family val="2"/>
          </rPr>
          <t xml:space="preserve">
Tecnasa</t>
        </r>
      </text>
    </comment>
    <comment ref="C67" authorId="0" shapeId="0">
      <text>
        <r>
          <rPr>
            <b/>
            <sz val="9"/>
            <color indexed="81"/>
            <rFont val="Tahoma"/>
            <family val="2"/>
          </rPr>
          <t>Josue Andreé Ricart Vásquez:</t>
        </r>
        <r>
          <rPr>
            <sz val="9"/>
            <color indexed="81"/>
            <rFont val="Tahoma"/>
            <family val="2"/>
          </rPr>
          <t xml:space="preserve">
poliycom phone</t>
        </r>
      </text>
    </comment>
    <comment ref="C68" authorId="0" shapeId="0">
      <text>
        <r>
          <rPr>
            <b/>
            <sz val="9"/>
            <color indexed="81"/>
            <rFont val="Tahoma"/>
            <family val="2"/>
          </rPr>
          <t>Josue Andreé Ricart Vásquez:</t>
        </r>
        <r>
          <rPr>
            <sz val="9"/>
            <color indexed="81"/>
            <rFont val="Tahoma"/>
            <family val="2"/>
          </rPr>
          <t xml:space="preserve">
Reparación Impresora</t>
        </r>
      </text>
    </comment>
    <comment ref="C69" authorId="0" shapeId="0">
      <text>
        <r>
          <rPr>
            <b/>
            <sz val="9"/>
            <color indexed="81"/>
            <rFont val="Tahoma"/>
            <family val="2"/>
          </rPr>
          <t>Josue Andreé Ricart Vásquez:</t>
        </r>
        <r>
          <rPr>
            <sz val="9"/>
            <color indexed="81"/>
            <rFont val="Tahoma"/>
            <family val="2"/>
          </rPr>
          <t xml:space="preserve">
compra de credenzas</t>
        </r>
      </text>
    </comment>
    <comment ref="C70" authorId="0" shapeId="0">
      <text>
        <r>
          <rPr>
            <b/>
            <sz val="9"/>
            <color indexed="81"/>
            <rFont val="Tahoma"/>
            <family val="2"/>
          </rPr>
          <t>Josue Andreé Ricart Vásquez:</t>
        </r>
        <r>
          <rPr>
            <sz val="9"/>
            <color indexed="81"/>
            <rFont val="Tahoma"/>
            <family val="2"/>
          </rPr>
          <t xml:space="preserve">
PU-MCC-SNC-001-2016
</t>
        </r>
      </text>
    </comment>
    <comment ref="C71" authorId="0" shapeId="0">
      <text>
        <r>
          <rPr>
            <b/>
            <sz val="9"/>
            <color indexed="81"/>
            <rFont val="Tahoma"/>
            <family val="2"/>
          </rPr>
          <t>Josue Andreé Ricart Vásquez:</t>
        </r>
        <r>
          <rPr>
            <sz val="9"/>
            <color indexed="81"/>
            <rFont val="Tahoma"/>
            <family val="2"/>
          </rPr>
          <t xml:space="preserve">
01-2017</t>
        </r>
      </text>
    </comment>
    <comment ref="C72" authorId="0" shapeId="0">
      <text>
        <r>
          <rPr>
            <b/>
            <sz val="9"/>
            <color indexed="81"/>
            <rFont val="Tahoma"/>
            <family val="2"/>
          </rPr>
          <t>Josue Andreé Ricart Vásquez:</t>
        </r>
        <r>
          <rPr>
            <sz val="9"/>
            <color indexed="81"/>
            <rFont val="Tahoma"/>
            <family val="2"/>
          </rPr>
          <t xml:space="preserve">
03-2017
</t>
        </r>
      </text>
    </comment>
    <comment ref="C73" authorId="0" shapeId="0">
      <text>
        <r>
          <rPr>
            <b/>
            <sz val="9"/>
            <color indexed="81"/>
            <rFont val="Tahoma"/>
            <family val="2"/>
          </rPr>
          <t>Josue Andreé Ricart Vásquez:</t>
        </r>
        <r>
          <rPr>
            <sz val="9"/>
            <color indexed="81"/>
            <rFont val="Tahoma"/>
            <family val="2"/>
          </rPr>
          <t xml:space="preserve">
01-2018</t>
        </r>
      </text>
    </comment>
    <comment ref="C80" authorId="0" shapeId="0">
      <text>
        <r>
          <rPr>
            <b/>
            <sz val="9"/>
            <color indexed="81"/>
            <rFont val="Tahoma"/>
            <family val="2"/>
          </rPr>
          <t xml:space="preserve">julio
</t>
        </r>
      </text>
    </comment>
  </commentList>
</comments>
</file>

<file path=xl/sharedStrings.xml><?xml version="1.0" encoding="utf-8"?>
<sst xmlns="http://schemas.openxmlformats.org/spreadsheetml/2006/main" count="914" uniqueCount="290">
  <si>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</si>
  <si>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</si>
  <si>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</si>
  <si>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</si>
  <si>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</si>
  <si>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</si>
  <si>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</si>
  <si>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</si>
  <si>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</si>
  <si>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</si>
  <si>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</si>
  <si>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</si>
  <si>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</si>
  <si>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</si>
  <si>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</si>
  <si>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</si>
  <si>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</si>
  <si>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</si>
  <si>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</si>
  <si>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</si>
  <si>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</si>
  <si>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</si>
  <si>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</si>
  <si>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</si>
  <si>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</si>
  <si>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</si>
  <si>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</si>
  <si>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</si>
  <si>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</si>
  <si>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</si>
  <si>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</si>
  <si>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</si>
  <si>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</si>
  <si>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</si>
  <si>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</si>
  <si>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</si>
  <si>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</si>
  <si>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</si>
  <si>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</si>
  <si>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</si>
  <si>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</si>
  <si>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</si>
  <si>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</si>
  <si>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</si>
  <si>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</si>
  <si>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</si>
  <si>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</si>
  <si>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</si>
  <si>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</si>
  <si>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</si>
  <si>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</si>
  <si>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</si>
  <si>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</si>
  <si>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</si>
  <si>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</si>
  <si>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</si>
  <si>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</si>
  <si>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</si>
  <si>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</si>
  <si>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</si>
  <si>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</si>
  <si>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</si>
  <si>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</si>
  <si>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</si>
  <si>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Oct '18
Dec '18</t>
  </si>
  <si>
    <t>Jan '19
Mar '19</t>
  </si>
  <si>
    <t>Apr '19
Jun '19</t>
  </si>
  <si>
    <t>Guatemala</t>
  </si>
  <si>
    <t>PRONACOM</t>
  </si>
  <si>
    <t>TR14GTM15001</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</si>
  <si>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</si>
  <si>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</si>
  <si>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</si>
  <si>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</si>
  <si>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</si>
  <si>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</si>
  <si>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</si>
  <si>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</si>
  <si>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</si>
  <si>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</si>
  <si>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</si>
  <si>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</si>
  <si>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</si>
  <si>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</si>
  <si>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</si>
  <si>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</si>
  <si>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</si>
  <si>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</si>
  <si>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</si>
  <si>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</si>
  <si>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</si>
  <si>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</si>
  <si>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</si>
  <si>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</si>
  <si>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</si>
  <si>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</si>
  <si>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</si>
  <si>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</si>
  <si>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</si>
  <si>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</si>
  <si>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</si>
  <si>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8</t>
  </si>
  <si>
    <t>Column 9</t>
  </si>
  <si>
    <t>Column 10</t>
  </si>
  <si>
    <t>Column 11</t>
  </si>
  <si>
    <t>Column 12</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</si>
  <si>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</si>
  <si>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</si>
  <si>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</si>
  <si>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</si>
  <si>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</si>
  <si>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</si>
  <si>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</si>
  <si>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</si>
  <si>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</si>
  <si>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</si>
  <si>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</si>
  <si>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</si>
  <si>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</si>
  <si>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</si>
  <si>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</si>
  <si>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</si>
  <si>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</si>
  <si>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</si>
  <si>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</si>
  <si>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</si>
  <si>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</si>
  <si>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</si>
  <si>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</si>
  <si>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</si>
  <si>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</si>
  <si>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</si>
  <si>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</si>
  <si>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</si>
  <si>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</si>
  <si>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</si>
  <si>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</si>
  <si>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</si>
  <si>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</si>
  <si>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</si>
  <si>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</si>
  <si>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</si>
  <si>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</si>
  <si>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</si>
  <si>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</si>
  <si>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</si>
  <si>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</si>
  <si>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</si>
  <si>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</si>
  <si>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</si>
  <si>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</si>
  <si>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</si>
  <si>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</si>
  <si>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</si>
  <si>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</si>
  <si>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</si>
  <si>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</si>
  <si>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</si>
  <si>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</si>
  <si>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</si>
  <si>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</si>
  <si>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</si>
  <si>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</si>
  <si>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</si>
  <si>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</si>
  <si>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</si>
  <si>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</si>
  <si>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</si>
  <si>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</si>
  <si>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</si>
  <si>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</si>
  <si>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</si>
  <si>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</si>
  <si>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</si>
  <si>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</si>
  <si>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</si>
  <si>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</si>
  <si>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</si>
  <si>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</si>
  <si>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</si>
  <si>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</si>
  <si>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</si>
  <si>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</si>
  <si>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</si>
  <si>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</si>
  <si>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</si>
  <si>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</si>
  <si>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</si>
  <si>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</si>
  <si>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</si>
  <si>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</si>
  <si>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</si>
  <si>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</si>
  <si>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</si>
  <si>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</si>
  <si>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</si>
  <si>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</si>
  <si>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</si>
  <si>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</si>
  <si>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</si>
  <si>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</si>
  <si>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</si>
  <si>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</si>
  <si>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</si>
  <si>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</si>
  <si>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</si>
  <si>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</si>
  <si>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</si>
  <si>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</si>
  <si>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</si>
  <si>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</si>
  <si>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</si>
  <si>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</si>
  <si>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</si>
  <si>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</si>
  <si>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</si>
  <si>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</si>
  <si>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</si>
  <si>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</si>
  <si>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</si>
  <si>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</si>
  <si>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</si>
  <si>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</si>
  <si>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</si>
  <si>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</si>
  <si>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</si>
  <si>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</si>
  <si>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</si>
  <si>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</si>
  <si>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</si>
  <si>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</si>
  <si>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</si>
  <si>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</si>
  <si>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</si>
  <si>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</si>
  <si>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</si>
  <si>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</si>
  <si>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</si>
  <si>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</si>
  <si>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</si>
  <si>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</si>
  <si>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</si>
  <si>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</si>
  <si>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</si>
  <si>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</si>
  <si>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</si>
  <si>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</si>
  <si>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</si>
  <si>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</si>
  <si>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</si>
  <si>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</si>
  <si>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</si>
  <si>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</si>
  <si>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</si>
  <si>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</si>
  <si>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'18
Sep '18</t>
  </si>
  <si>
    <t>Jul '19
Sep '19</t>
  </si>
  <si>
    <t>Grant Quarter #9</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</si>
  <si>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</si>
  <si>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</si>
  <si>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</si>
  <si>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</si>
  <si>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</si>
  <si>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</si>
  <si>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</si>
  <si>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Apr-20</t>
  </si>
  <si>
    <t>Q16</t>
  </si>
  <si>
    <t>Name: Francisca de Jesús Cárdenas Morán</t>
  </si>
  <si>
    <t>Name:  Acisclo Valladares Urruela</t>
  </si>
  <si>
    <t>Threshold Program / Program Administration and Monitoring and Evaluation</t>
  </si>
  <si>
    <t>April 8, 2015/May 16, 2016</t>
  </si>
  <si>
    <t>Certified by the Minister of Economy</t>
  </si>
  <si>
    <t>Mar '18</t>
  </si>
  <si>
    <t>Jul´18</t>
  </si>
  <si>
    <t>Aug`18</t>
  </si>
  <si>
    <t>Sep´18</t>
  </si>
  <si>
    <t>Apr  '18
Jun '18</t>
  </si>
  <si>
    <t>Date: Jun 22, 2018</t>
  </si>
  <si>
    <t>Signed by the  Executive Director of PRONACOM</t>
  </si>
  <si>
    <t xml:space="preserve"> two million five hundred ninety-six thousand two hundred forty-five dollars   and   ninety-nine  cents</t>
  </si>
  <si>
    <t>q14</t>
  </si>
  <si>
    <t>techos presupuestarios</t>
  </si>
  <si>
    <t>Techos Presupuestarios</t>
  </si>
  <si>
    <t>Educación</t>
  </si>
  <si>
    <t>Solicitar en este trimsetre que viene si se queda</t>
  </si>
  <si>
    <t>va bien</t>
  </si>
  <si>
    <t>preguntar si podemos seguir cargando aquí los gastos de viaje</t>
  </si>
  <si>
    <t>ok</t>
  </si>
  <si>
    <t>lo vamos a quitar y trasladar (quitar 200)</t>
  </si>
  <si>
    <t>Se volverá 2 lineas de 200 mil cada una para intecap e 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</si>
</sst>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0.0000%"/>
    <numFmt numFmtId="177" formatCode="_(* #,##0.00000000000000000_);_(* \(#,##0.00000000000000000\);_(* &quot;-&quot;??_);_(@_)"/>
  </numFmts>
  <fonts count="37"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s>
  <fills count="27">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99CCFF"/>
        <bgColor indexed="64"/>
      </patternFill>
    </fill>
    <fill>
      <patternFill patternType="solid">
        <fgColor theme="9" tint="0.79998168889431442"/>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0">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cellStyleXfs>
  <cellXfs count="430">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0" fillId="0" borderId="0" xfId="0" applyAlignment="1">
      <alignment vertical="center"/>
    </xf>
    <xf numFmtId="172" fontId="0" fillId="6" borderId="0" xfId="0" applyNumberFormat="1" applyFill="1" applyAlignment="1">
      <alignment vertical="center"/>
    </xf>
    <xf numFmtId="0" fontId="0" fillId="0" borderId="0" xfId="0" applyFill="1" applyAlignment="1">
      <alignment vertical="center"/>
    </xf>
    <xf numFmtId="9" fontId="0" fillId="0" borderId="0" xfId="0" applyNumberFormat="1" applyFill="1" applyAlignment="1">
      <alignment vertical="center"/>
    </xf>
    <xf numFmtId="10" fontId="0" fillId="0" borderId="0" xfId="0" applyNumberFormat="1" applyFill="1" applyAlignment="1">
      <alignment vertical="center"/>
    </xf>
    <xf numFmtId="9" fontId="0" fillId="0" borderId="0" xfId="0" applyNumberFormat="1" applyFill="1" applyBorder="1" applyAlignment="1">
      <alignment vertical="center"/>
    </xf>
    <xf numFmtId="172" fontId="22" fillId="0" borderId="0" xfId="12" applyNumberFormat="1" applyFont="1" applyFill="1" applyAlignment="1">
      <alignment vertical="center"/>
    </xf>
    <xf numFmtId="172" fontId="0" fillId="0" borderId="0" xfId="12" applyNumberFormat="1" applyFont="1" applyFill="1"/>
    <xf numFmtId="0" fontId="4" fillId="0" borderId="33" xfId="5" applyFont="1" applyFill="1" applyBorder="1"/>
    <xf numFmtId="166" fontId="0" fillId="6" borderId="0" xfId="1" applyFont="1" applyFill="1"/>
    <xf numFmtId="0" fontId="17" fillId="0" borderId="12" xfId="5" applyFont="1" applyFill="1" applyBorder="1" applyAlignment="1">
      <alignment horizontal="left" vertical="top" wrapText="1"/>
    </xf>
    <xf numFmtId="0" fontId="0" fillId="14" borderId="0" xfId="0" applyFill="1"/>
    <xf numFmtId="9" fontId="0" fillId="0" borderId="0" xfId="19" applyFont="1" applyFill="1" applyAlignment="1">
      <alignment vertical="center"/>
    </xf>
    <xf numFmtId="169" fontId="35" fillId="0" borderId="8" xfId="0" applyNumberFormat="1" applyFont="1" applyBorder="1" applyAlignment="1">
      <alignment horizontal="left" indent="1"/>
    </xf>
    <xf numFmtId="172" fontId="22" fillId="0" borderId="0" xfId="12" applyNumberFormat="1" applyFont="1" applyFill="1"/>
    <xf numFmtId="4" fontId="0" fillId="0" borderId="0" xfId="0" applyNumberFormat="1" applyFill="1"/>
    <xf numFmtId="9" fontId="0" fillId="0" borderId="0" xfId="0" applyNumberFormat="1" applyFill="1"/>
    <xf numFmtId="166" fontId="2" fillId="22" borderId="12" xfId="0" applyNumberFormat="1" applyFont="1" applyFill="1" applyBorder="1"/>
    <xf numFmtId="173" fontId="30" fillId="0" borderId="0" xfId="0" applyNumberFormat="1" applyFont="1" applyFill="1" applyAlignment="1">
      <alignment vertical="center"/>
    </xf>
    <xf numFmtId="173" fontId="0" fillId="0" borderId="0" xfId="0" applyNumberFormat="1" applyFill="1" applyAlignment="1">
      <alignment vertical="center"/>
    </xf>
    <xf numFmtId="0" fontId="30" fillId="0" borderId="0" xfId="0" applyFont="1" applyFill="1" applyAlignment="1">
      <alignment vertical="center"/>
    </xf>
    <xf numFmtId="9" fontId="30" fillId="0" borderId="0" xfId="0" applyNumberFormat="1" applyFont="1" applyFill="1" applyAlignment="1">
      <alignment vertical="center"/>
    </xf>
    <xf numFmtId="9" fontId="30" fillId="0" borderId="0" xfId="19" applyFont="1" applyFill="1" applyAlignment="1">
      <alignment vertical="center"/>
    </xf>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6" fontId="0" fillId="6" borderId="0" xfId="0" applyNumberFormat="1" applyFill="1"/>
    <xf numFmtId="49" fontId="0" fillId="0" borderId="0" xfId="0" applyNumberFormat="1"/>
    <xf numFmtId="49" fontId="0" fillId="0" borderId="0" xfId="0" applyNumberFormat="1" applyFill="1"/>
    <xf numFmtId="166" fontId="24" fillId="0" borderId="0" xfId="1" applyFont="1" applyFill="1"/>
    <xf numFmtId="165" fontId="0" fillId="0" borderId="0" xfId="0" applyNumberFormat="1"/>
    <xf numFmtId="175" fontId="0" fillId="0" borderId="0" xfId="0" applyNumberFormat="1"/>
    <xf numFmtId="9" fontId="22" fillId="0" borderId="0" xfId="19" applyFont="1" applyFill="1"/>
    <xf numFmtId="9" fontId="0" fillId="0" borderId="0" xfId="19" applyFont="1" applyFill="1"/>
    <xf numFmtId="9" fontId="30" fillId="0" borderId="0" xfId="0" applyNumberFormat="1" applyFont="1" applyFill="1" applyBorder="1" applyAlignment="1">
      <alignment vertical="center"/>
    </xf>
    <xf numFmtId="172" fontId="32" fillId="0" borderId="0" xfId="12" applyNumberFormat="1" applyFont="1" applyFill="1"/>
    <xf numFmtId="172" fontId="30" fillId="0" borderId="0" xfId="12" applyNumberFormat="1" applyFont="1" applyFill="1"/>
    <xf numFmtId="0" fontId="30" fillId="23" borderId="0" xfId="0" applyFont="1" applyFill="1"/>
    <xf numFmtId="9" fontId="0" fillId="0" borderId="0" xfId="19" applyNumberFormat="1" applyFont="1" applyFill="1"/>
    <xf numFmtId="43" fontId="30" fillId="0" borderId="0" xfId="0" applyNumberFormat="1" applyFont="1"/>
    <xf numFmtId="166" fontId="22" fillId="0" borderId="0" xfId="1" applyFont="1" applyFill="1"/>
    <xf numFmtId="166" fontId="32" fillId="0" borderId="0" xfId="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0" fontId="4" fillId="7" borderId="13" xfId="4" applyFont="1" applyFill="1" applyBorder="1" applyAlignment="1">
      <alignment horizontal="center" vertical="center" wrapText="1"/>
    </xf>
    <xf numFmtId="14" fontId="4" fillId="5" borderId="12" xfId="0" applyNumberFormat="1" applyFont="1" applyFill="1" applyBorder="1" applyAlignment="1">
      <alignment horizontal="center" vertical="center" wrapText="1"/>
    </xf>
    <xf numFmtId="166" fontId="0" fillId="0" borderId="0" xfId="1" applyFont="1" applyFill="1"/>
    <xf numFmtId="0" fontId="4" fillId="25" borderId="12" xfId="4" applyFont="1" applyFill="1" applyBorder="1" applyAlignment="1">
      <alignment horizontal="center" vertical="center" wrapText="1"/>
    </xf>
    <xf numFmtId="166" fontId="0" fillId="0" borderId="0" xfId="1" applyFont="1" applyFill="1" applyAlignment="1">
      <alignment vertical="center"/>
    </xf>
    <xf numFmtId="166" fontId="0" fillId="0" borderId="0" xfId="1" applyFont="1"/>
    <xf numFmtId="0" fontId="0" fillId="24" borderId="0" xfId="0" applyFill="1"/>
    <xf numFmtId="166" fontId="30" fillId="0" borderId="0" xfId="1" applyFont="1" applyFill="1"/>
    <xf numFmtId="166" fontId="22" fillId="0" borderId="0" xfId="1" applyFont="1" applyFill="1" applyAlignment="1">
      <alignment vertical="center"/>
    </xf>
    <xf numFmtId="166" fontId="32" fillId="0" borderId="0" xfId="1" applyFont="1" applyFill="1" applyAlignment="1">
      <alignment vertical="center"/>
    </xf>
    <xf numFmtId="172" fontId="0" fillId="26" borderId="0" xfId="0" applyNumberFormat="1" applyFill="1"/>
    <xf numFmtId="176" fontId="0" fillId="0" borderId="0" xfId="19" applyNumberFormat="1" applyFont="1"/>
    <xf numFmtId="166" fontId="4" fillId="5" borderId="13" xfId="1" applyFont="1" applyFill="1" applyBorder="1"/>
    <xf numFmtId="166" fontId="0" fillId="6" borderId="0" xfId="1" applyFont="1" applyFill="1" applyAlignment="1">
      <alignment vertical="center"/>
    </xf>
    <xf numFmtId="166" fontId="1" fillId="0" borderId="0" xfId="1" applyFont="1" applyFill="1"/>
    <xf numFmtId="9" fontId="1" fillId="0" borderId="0" xfId="19" applyFont="1" applyFill="1"/>
    <xf numFmtId="10" fontId="0" fillId="0" borderId="0" xfId="0" applyNumberFormat="1" applyFill="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xf numFmtId="177" fontId="0" fillId="0" borderId="0" xfId="1" applyNumberFormat="1" applyFont="1" applyAlignment="1">
      <alignment horizontal="center"/>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topLeftCell="C10" zoomScale="70" zoomScaleNormal="70" zoomScaleSheetLayoutView="70" zoomScalePageLayoutView="85" workbookViewId="0">
      <selection activeCell="K37" sqref="K37"/>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7" customWidth="1" outlineLevel="1"/>
    <col min="4" max="4" width="17.42578125" style="1" customWidth="1"/>
    <col min="5" max="7" width="17.42578125" style="267" customWidth="1" outlineLevel="1"/>
    <col min="8" max="15" width="17.42578125" style="1" customWidth="1"/>
    <col min="16" max="16" width="17.42578125" style="6" customWidth="1"/>
    <col min="17" max="17" width="17.42578125" style="190" customWidth="1"/>
    <col min="18" max="18" width="17.42578125" style="7" customWidth="1"/>
    <col min="19" max="16384" width="0" style="1" hidden="1"/>
  </cols>
  <sheetData>
    <row r="1" spans="1:19" ht="13.5" hidden="1" outlineLevel="1" thickBot="1" x14ac:dyDescent="0.25">
      <c r="B1" s="2" t="s">
        <v>0</v>
      </c>
      <c r="C1" s="3"/>
      <c r="D1" s="4"/>
      <c r="E1" s="258"/>
      <c r="F1" s="258"/>
      <c r="G1" s="258"/>
    </row>
    <row r="2" spans="1:19" ht="13.5" hidden="1" outlineLevel="1" thickBot="1" x14ac:dyDescent="0.25">
      <c r="B2" s="8"/>
      <c r="C2" s="3"/>
      <c r="D2" s="4"/>
      <c r="E2" s="258"/>
      <c r="F2" s="258"/>
      <c r="G2" s="258"/>
      <c r="Q2" s="191"/>
    </row>
    <row r="3" spans="1:19" ht="12.75" hidden="1" customHeight="1" outlineLevel="1" x14ac:dyDescent="0.25">
      <c r="B3" s="11" t="s">
        <v>1</v>
      </c>
      <c r="C3" s="12"/>
      <c r="D3" s="13" t="s">
        <v>67</v>
      </c>
      <c r="E3" s="259"/>
      <c r="F3" s="259"/>
      <c r="G3" s="259"/>
    </row>
    <row r="4" spans="1:19" ht="12.75" hidden="1" customHeight="1" outlineLevel="1" x14ac:dyDescent="0.25">
      <c r="B4" s="14" t="s">
        <v>2</v>
      </c>
      <c r="C4" s="15"/>
      <c r="D4" s="16" t="s">
        <v>68</v>
      </c>
      <c r="E4" s="259"/>
      <c r="F4" s="259"/>
      <c r="G4" s="259"/>
    </row>
    <row r="5" spans="1:19" ht="12.75" hidden="1" customHeight="1" outlineLevel="1" x14ac:dyDescent="0.25">
      <c r="B5" s="17" t="s">
        <v>3</v>
      </c>
      <c r="C5" s="15"/>
      <c r="D5" s="16" t="str">
        <f>'THP DR'!B7</f>
        <v>TR14GTM15001</v>
      </c>
      <c r="E5" s="259"/>
      <c r="F5" s="259"/>
      <c r="G5" s="259"/>
    </row>
    <row r="6" spans="1:19" ht="12.75" hidden="1" customHeight="1" outlineLevel="1" x14ac:dyDescent="0.25">
      <c r="B6" s="14" t="s">
        <v>4</v>
      </c>
      <c r="C6" s="15"/>
      <c r="D6" s="305">
        <v>43063</v>
      </c>
      <c r="E6" s="259"/>
      <c r="F6" s="259"/>
      <c r="G6" s="259"/>
      <c r="Q6" s="192"/>
    </row>
    <row r="7" spans="1:19" ht="13.5" hidden="1" customHeight="1" outlineLevel="1" thickBot="1" x14ac:dyDescent="0.25">
      <c r="B7" s="18" t="s">
        <v>5</v>
      </c>
      <c r="C7" s="19"/>
      <c r="D7" s="189">
        <v>9</v>
      </c>
      <c r="E7" s="259"/>
      <c r="F7" s="259"/>
      <c r="G7" s="259"/>
    </row>
    <row r="8" spans="1:19" s="25" customFormat="1" ht="13.5" hidden="1" customHeight="1" outlineLevel="1" x14ac:dyDescent="0.2">
      <c r="B8" s="26"/>
      <c r="C8" s="27"/>
      <c r="D8" s="28"/>
      <c r="E8" s="262"/>
      <c r="F8" s="262"/>
      <c r="G8" s="262"/>
      <c r="P8" s="24"/>
      <c r="Q8" s="190"/>
      <c r="R8" s="7"/>
    </row>
    <row r="9" spans="1:19" ht="15.75" hidden="1" outlineLevel="1" x14ac:dyDescent="0.2">
      <c r="A9" s="5"/>
      <c r="B9" s="397" t="s">
        <v>6</v>
      </c>
      <c r="C9" s="29" t="s">
        <v>7</v>
      </c>
      <c r="D9" s="30" t="s">
        <v>8</v>
      </c>
      <c r="E9" s="402" t="s">
        <v>9</v>
      </c>
      <c r="F9" s="402"/>
      <c r="G9" s="402"/>
      <c r="H9" s="402"/>
      <c r="I9" s="324"/>
      <c r="J9" s="324"/>
      <c r="K9" s="324"/>
      <c r="L9" s="230"/>
      <c r="M9" s="230"/>
      <c r="N9" s="230"/>
      <c r="O9" s="230"/>
      <c r="P9" s="31" t="s">
        <v>10</v>
      </c>
      <c r="Q9" s="193" t="s">
        <v>10</v>
      </c>
      <c r="R9" s="31" t="s">
        <v>11</v>
      </c>
    </row>
    <row r="10" spans="1:19" s="37" customFormat="1" ht="72.75" customHeight="1" collapsed="1" x14ac:dyDescent="0.2">
      <c r="A10" s="5"/>
      <c r="B10" s="397"/>
      <c r="C10" s="33" t="s">
        <v>12</v>
      </c>
      <c r="D10" s="34" t="s">
        <v>13</v>
      </c>
      <c r="E10" s="401" t="str">
        <f>"Grant Quarter #"&amp;$D$7</f>
        <v>Grant Quarter #9</v>
      </c>
      <c r="F10" s="401"/>
      <c r="G10" s="401"/>
      <c r="H10" s="379" t="s">
        <v>257</v>
      </c>
      <c r="I10" s="378" t="s">
        <v>70</v>
      </c>
      <c r="J10" s="327" t="s">
        <v>71</v>
      </c>
      <c r="K10" s="327" t="s">
        <v>72</v>
      </c>
      <c r="L10" s="327" t="s">
        <v>73</v>
      </c>
      <c r="M10" s="327" t="s">
        <v>74</v>
      </c>
      <c r="N10" s="327" t="s">
        <v>216</v>
      </c>
      <c r="O10" s="327" t="s">
        <v>217</v>
      </c>
      <c r="P10" s="399" t="s">
        <v>14</v>
      </c>
      <c r="Q10" s="398" t="s">
        <v>132</v>
      </c>
      <c r="R10" s="396" t="s">
        <v>15</v>
      </c>
      <c r="S10" s="36"/>
    </row>
    <row r="11" spans="1:19" s="37" customFormat="1" ht="25.5" x14ac:dyDescent="0.2">
      <c r="A11" s="5"/>
      <c r="B11" s="38" t="s">
        <v>16</v>
      </c>
      <c r="C11" s="39" t="s">
        <v>272</v>
      </c>
      <c r="D11" s="40" t="s">
        <v>276</v>
      </c>
      <c r="E11" s="268" t="s">
        <v>273</v>
      </c>
      <c r="F11" s="268" t="s">
        <v>274</v>
      </c>
      <c r="G11" s="268" t="s">
        <v>275</v>
      </c>
      <c r="H11" s="379" t="s">
        <v>255</v>
      </c>
      <c r="I11" s="231" t="s">
        <v>64</v>
      </c>
      <c r="J11" s="231" t="s">
        <v>65</v>
      </c>
      <c r="K11" s="231" t="s">
        <v>66</v>
      </c>
      <c r="L11" s="231" t="s">
        <v>256</v>
      </c>
      <c r="M11" s="231" t="s">
        <v>218</v>
      </c>
      <c r="N11" s="231" t="s">
        <v>219</v>
      </c>
      <c r="O11" s="327" t="s">
        <v>258</v>
      </c>
      <c r="P11" s="400"/>
      <c r="Q11" s="398"/>
      <c r="R11" s="396"/>
      <c r="S11" s="36"/>
    </row>
    <row r="12" spans="1:19" customFormat="1" ht="15" x14ac:dyDescent="0.25">
      <c r="B12" s="188" t="s">
        <v>95</v>
      </c>
      <c r="C12" s="188" t="s">
        <v>96</v>
      </c>
      <c r="D12" s="188" t="s">
        <v>97</v>
      </c>
      <c r="E12" s="263" t="s">
        <v>98</v>
      </c>
      <c r="F12" s="263" t="s">
        <v>99</v>
      </c>
      <c r="G12" s="257" t="s">
        <v>100</v>
      </c>
      <c r="H12" s="263" t="s">
        <v>101</v>
      </c>
      <c r="I12" s="263" t="s">
        <v>102</v>
      </c>
      <c r="J12" s="257" t="s">
        <v>103</v>
      </c>
      <c r="K12" s="188" t="s">
        <v>104</v>
      </c>
      <c r="L12" s="188" t="s">
        <v>105</v>
      </c>
      <c r="M12" s="263" t="s">
        <v>106</v>
      </c>
      <c r="N12" s="263" t="s">
        <v>107</v>
      </c>
      <c r="O12" s="257" t="s">
        <v>108</v>
      </c>
      <c r="P12" s="188" t="s">
        <v>109</v>
      </c>
      <c r="Q12" s="194" t="s">
        <v>110</v>
      </c>
      <c r="R12" s="188" t="s">
        <v>111</v>
      </c>
    </row>
    <row r="13" spans="1:19" s="37" customFormat="1" x14ac:dyDescent="0.2">
      <c r="A13" s="5"/>
      <c r="B13" s="42"/>
      <c r="C13" s="43"/>
      <c r="D13" s="42"/>
      <c r="E13" s="264"/>
      <c r="F13" s="264"/>
      <c r="G13" s="264"/>
      <c r="H13" s="42"/>
      <c r="I13" s="42"/>
      <c r="J13" s="42"/>
      <c r="K13" s="42"/>
      <c r="L13" s="42"/>
      <c r="M13" s="42"/>
      <c r="N13" s="42"/>
      <c r="O13" s="42"/>
      <c r="P13" s="42"/>
      <c r="Q13" s="42"/>
      <c r="R13" s="42"/>
      <c r="S13" s="36"/>
    </row>
    <row r="14" spans="1:19" s="37" customFormat="1" x14ac:dyDescent="0.2">
      <c r="A14" s="5"/>
      <c r="B14" s="44" t="s">
        <v>76</v>
      </c>
      <c r="C14" s="45"/>
      <c r="D14" s="46"/>
      <c r="E14" s="265"/>
      <c r="F14" s="265"/>
      <c r="G14" s="265"/>
      <c r="H14" s="46"/>
      <c r="I14" s="46"/>
      <c r="J14" s="46"/>
      <c r="K14" s="46"/>
      <c r="L14" s="46"/>
      <c r="M14" s="46"/>
      <c r="N14" s="46"/>
      <c r="O14" s="46"/>
      <c r="P14" s="47"/>
      <c r="Q14" s="195"/>
      <c r="R14" s="47"/>
      <c r="S14" s="36"/>
    </row>
    <row r="15" spans="1:19" s="207" customFormat="1" outlineLevel="1" x14ac:dyDescent="0.2">
      <c r="A15" s="204" t="str">
        <f>LEFT(B15,4)</f>
        <v xml:space="preserve">1.1 </v>
      </c>
      <c r="B15" s="49" t="s">
        <v>77</v>
      </c>
      <c r="C15" s="196">
        <f>SUM(C16:C18)</f>
        <v>7593016.0899999999</v>
      </c>
      <c r="D15" s="196">
        <f>SUM(D16:D18)</f>
        <v>0</v>
      </c>
      <c r="E15" s="196">
        <f t="shared" ref="E15:J15" si="0">SUM(E16:E18)</f>
        <v>4002000</v>
      </c>
      <c r="F15" s="196">
        <f t="shared" si="0"/>
        <v>2000</v>
      </c>
      <c r="G15" s="196">
        <f t="shared" si="0"/>
        <v>2000</v>
      </c>
      <c r="H15" s="196">
        <f t="shared" si="0"/>
        <v>4029997.83</v>
      </c>
      <c r="I15" s="196">
        <f t="shared" si="0"/>
        <v>400000</v>
      </c>
      <c r="J15" s="196">
        <f t="shared" si="0"/>
        <v>0</v>
      </c>
      <c r="K15" s="196">
        <f t="shared" ref="K15:N15" si="1">SUM(K16:K18)</f>
        <v>0</v>
      </c>
      <c r="L15" s="196">
        <f t="shared" si="1"/>
        <v>0</v>
      </c>
      <c r="M15" s="196">
        <f t="shared" si="1"/>
        <v>0</v>
      </c>
      <c r="N15" s="196">
        <f t="shared" si="1"/>
        <v>0</v>
      </c>
      <c r="O15" s="196">
        <f t="shared" ref="O15" si="2">SUM(O16:O18)</f>
        <v>0</v>
      </c>
      <c r="P15" s="196">
        <f>SUM(P16:P18)</f>
        <v>12023013.92</v>
      </c>
      <c r="Q15" s="198">
        <f>'QFR - B'!G15</f>
        <v>12000000</v>
      </c>
      <c r="R15" s="284">
        <f>Q15-P15</f>
        <v>-23013.919999999925</v>
      </c>
      <c r="S15" s="206"/>
    </row>
    <row r="16" spans="1:19" s="207" customFormat="1" outlineLevel="1" x14ac:dyDescent="0.2">
      <c r="A16" s="204" t="s">
        <v>142</v>
      </c>
      <c r="B16" s="200" t="s">
        <v>112</v>
      </c>
      <c r="C16" s="201">
        <v>7593016.0899999999</v>
      </c>
      <c r="D16" s="299">
        <v>0</v>
      </c>
      <c r="E16" s="299">
        <v>0</v>
      </c>
      <c r="F16" s="299"/>
      <c r="G16" s="299">
        <v>0</v>
      </c>
      <c r="H16" s="202">
        <f>SUMIF('Contract level'!$A:$A,"="&amp;'DFP-Com'!$A16,'Contract level'!AX:AX)</f>
        <v>0</v>
      </c>
      <c r="I16" s="202">
        <f>SUMIF('Contract level'!$A:$A,"="&amp;'DFP-Com'!$A16,'Contract level'!AY:AY)</f>
        <v>400000</v>
      </c>
      <c r="J16" s="202">
        <f>SUMIF('Contract level'!$A:$A,"="&amp;'DFP-Com'!$A16,'Contract level'!AZ:AZ)</f>
        <v>0</v>
      </c>
      <c r="K16" s="202">
        <f>SUMIF('Contract level'!$A:$A,"="&amp;'DFP-Com'!$A16,'Contract level'!BA:BA)</f>
        <v>0</v>
      </c>
      <c r="L16" s="202">
        <f>SUMIF('Contract level'!$A:$A,"="&amp;'DFP-Com'!$A16,'Contract level'!BB:BB)</f>
        <v>0</v>
      </c>
      <c r="M16" s="202">
        <f>SUMIF('Contract level'!$A:$A,"="&amp;'DFP-Com'!$A16,'Contract level'!BC:BC)</f>
        <v>0</v>
      </c>
      <c r="N16" s="202">
        <f>SUMIF('Contract level'!$A:$A,"="&amp;'DFP-Com'!$A16,'Contract level'!BD:BD)</f>
        <v>0</v>
      </c>
      <c r="O16" s="299">
        <f>SUMIF('Contract level'!$A:$A,"="&amp;'DFP-Com'!$A16,'Contract level'!BE:BE)</f>
        <v>0</v>
      </c>
      <c r="P16" s="202">
        <f>SUM(H16:O16)+D16+C16</f>
        <v>7993016.0899999999</v>
      </c>
      <c r="Q16" s="203">
        <v>0</v>
      </c>
      <c r="R16" s="285"/>
      <c r="S16" s="206"/>
    </row>
    <row r="17" spans="1:19" s="207" customFormat="1" outlineLevel="1" x14ac:dyDescent="0.2">
      <c r="A17" s="204" t="s">
        <v>143</v>
      </c>
      <c r="B17" s="200" t="s">
        <v>113</v>
      </c>
      <c r="C17" s="201">
        <v>0</v>
      </c>
      <c r="D17" s="202">
        <v>0</v>
      </c>
      <c r="E17" s="202">
        <v>4000000</v>
      </c>
      <c r="F17" s="202"/>
      <c r="G17" s="202"/>
      <c r="H17" s="202">
        <f>SUMIF('Contract level'!$A:$A,"="&amp;'DFP-Com'!$A17,'Contract level'!AX:AX)</f>
        <v>4023997.83</v>
      </c>
      <c r="I17" s="202">
        <f>SUMIF('Contract level'!$A:$A,"="&amp;'DFP-Com'!$A17,'Contract level'!AY:AY)</f>
        <v>0</v>
      </c>
      <c r="J17" s="202">
        <f>SUMIF('Contract level'!$A:$A,"="&amp;'DFP-Com'!$A17,'Contract level'!AZ:AZ)</f>
        <v>0</v>
      </c>
      <c r="K17" s="202">
        <f>SUMIF('Contract level'!$A:$A,"="&amp;'DFP-Com'!$A17,'Contract level'!BA:BA)</f>
        <v>0</v>
      </c>
      <c r="L17" s="202">
        <f>SUMIF('Contract level'!$A:$A,"="&amp;'DFP-Com'!$A17,'Contract level'!BB:BB)</f>
        <v>0</v>
      </c>
      <c r="M17" s="202">
        <f>SUMIF('Contract level'!$A:$A,"="&amp;'DFP-Com'!$A17,'Contract level'!BC:BC)</f>
        <v>0</v>
      </c>
      <c r="N17" s="202">
        <f>SUMIF('Contract level'!$A:$A,"="&amp;'DFP-Com'!$A17,'Contract level'!BD:BD)</f>
        <v>0</v>
      </c>
      <c r="O17" s="299">
        <f>SUMIF('Contract level'!$A:$A,"="&amp;'DFP-Com'!$A17,'Contract level'!BE:BE)</f>
        <v>0</v>
      </c>
      <c r="P17" s="299">
        <f>SUM(H17:O17)+D17+C17</f>
        <v>4023997.83</v>
      </c>
      <c r="Q17" s="203">
        <v>0</v>
      </c>
      <c r="R17" s="285"/>
      <c r="S17" s="206"/>
    </row>
    <row r="18" spans="1:19" s="207" customFormat="1" outlineLevel="1" x14ac:dyDescent="0.2">
      <c r="A18" s="204" t="s">
        <v>144</v>
      </c>
      <c r="B18" s="200" t="s">
        <v>120</v>
      </c>
      <c r="C18" s="201">
        <v>0</v>
      </c>
      <c r="D18" s="202">
        <v>0</v>
      </c>
      <c r="E18" s="202">
        <v>2000</v>
      </c>
      <c r="F18" s="202">
        <v>2000</v>
      </c>
      <c r="G18" s="202">
        <v>2000</v>
      </c>
      <c r="H18" s="202">
        <f>SUMIF('Contract level'!$A:$A,"="&amp;'DFP-Com'!$A18,'Contract level'!AX:AX)</f>
        <v>6000</v>
      </c>
      <c r="I18" s="202">
        <f>SUMIF('Contract level'!$A:$A,"="&amp;'DFP-Com'!$A18,'Contract level'!AY:AY)</f>
        <v>0</v>
      </c>
      <c r="J18" s="202">
        <f>SUMIF('Contract level'!$A:$A,"="&amp;'DFP-Com'!$A18,'Contract level'!AZ:AZ)</f>
        <v>0</v>
      </c>
      <c r="K18" s="202">
        <f>SUMIF('Contract level'!$A:$A,"="&amp;'DFP-Com'!$A18,'Contract level'!BA:BA)</f>
        <v>0</v>
      </c>
      <c r="L18" s="202">
        <f>SUMIF('Contract level'!$A:$A,"="&amp;'DFP-Com'!$A18,'Contract level'!BB:BB)</f>
        <v>0</v>
      </c>
      <c r="M18" s="202">
        <f>SUMIF('Contract level'!$A:$A,"="&amp;'DFP-Com'!$A18,'Contract level'!BC:BC)</f>
        <v>0</v>
      </c>
      <c r="N18" s="202">
        <f>SUMIF('Contract level'!$A:$A,"="&amp;'DFP-Com'!$A18,'Contract level'!BD:BD)</f>
        <v>0</v>
      </c>
      <c r="O18" s="299">
        <f>SUMIF('Contract level'!$A:$A,"="&amp;'DFP-Com'!$A18,'Contract level'!BE:BE)</f>
        <v>0</v>
      </c>
      <c r="P18" s="202">
        <f>SUM(H18:O18)+D18+C18</f>
        <v>6000</v>
      </c>
      <c r="Q18" s="203">
        <v>0</v>
      </c>
      <c r="R18" s="285"/>
      <c r="S18" s="206"/>
    </row>
    <row r="19" spans="1:19" s="207" customFormat="1" ht="12.95" customHeight="1" outlineLevel="1" x14ac:dyDescent="0.2">
      <c r="A19" s="204" t="str">
        <f t="shared" ref="A19:A37" si="3">LEFT(B19,4)</f>
        <v xml:space="preserve">1.2 </v>
      </c>
      <c r="B19" s="49" t="s">
        <v>78</v>
      </c>
      <c r="C19" s="196">
        <f>C20</f>
        <v>2364509.34</v>
      </c>
      <c r="D19" s="196">
        <f>D20</f>
        <v>35320.93</v>
      </c>
      <c r="E19" s="196">
        <f t="shared" ref="E19:P19" si="4">E20</f>
        <v>1200000</v>
      </c>
      <c r="F19" s="196">
        <f t="shared" si="4"/>
        <v>94000</v>
      </c>
      <c r="G19" s="196">
        <f t="shared" si="4"/>
        <v>2000</v>
      </c>
      <c r="H19" s="196">
        <f t="shared" si="4"/>
        <v>1296000</v>
      </c>
      <c r="I19" s="196">
        <f t="shared" si="4"/>
        <v>400000</v>
      </c>
      <c r="J19" s="196">
        <f t="shared" si="4"/>
        <v>0</v>
      </c>
      <c r="K19" s="196">
        <f t="shared" si="4"/>
        <v>22253</v>
      </c>
      <c r="L19" s="196">
        <f t="shared" si="4"/>
        <v>0</v>
      </c>
      <c r="M19" s="196">
        <f t="shared" si="4"/>
        <v>0</v>
      </c>
      <c r="N19" s="196">
        <f t="shared" si="4"/>
        <v>0</v>
      </c>
      <c r="O19" s="196">
        <f t="shared" si="4"/>
        <v>0</v>
      </c>
      <c r="P19" s="196">
        <f t="shared" si="4"/>
        <v>4118083.2699999996</v>
      </c>
      <c r="Q19" s="198">
        <f>'QFR - B'!G16</f>
        <v>4300000</v>
      </c>
      <c r="R19" s="284">
        <f>Q19-P19</f>
        <v>181916.73000000045</v>
      </c>
      <c r="S19" s="206"/>
    </row>
    <row r="20" spans="1:19" s="207" customFormat="1" ht="12.95" customHeight="1" outlineLevel="1" x14ac:dyDescent="0.2">
      <c r="A20" s="204" t="s">
        <v>145</v>
      </c>
      <c r="B20" s="200" t="s">
        <v>121</v>
      </c>
      <c r="C20" s="201">
        <v>2364509.34</v>
      </c>
      <c r="D20" s="299">
        <v>35320.93</v>
      </c>
      <c r="E20" s="299">
        <v>1200000</v>
      </c>
      <c r="F20" s="299">
        <v>94000</v>
      </c>
      <c r="G20" s="299">
        <v>2000</v>
      </c>
      <c r="H20" s="202">
        <f>SUMIF('Contract level'!$A:$A,"="&amp;'DFP-Com'!$A20,'Contract level'!AX:AX)</f>
        <v>1296000</v>
      </c>
      <c r="I20" s="202">
        <f>SUMIF('Contract level'!$A:$A,"="&amp;'DFP-Com'!$A20,'Contract level'!AY:AY)</f>
        <v>400000</v>
      </c>
      <c r="J20" s="202">
        <f>SUMIF('Contract level'!$A:$A,"="&amp;'DFP-Com'!$A20,'Contract level'!AZ:AZ)</f>
        <v>0</v>
      </c>
      <c r="K20" s="202">
        <f>SUMIF('Contract level'!$A:$A,"="&amp;'DFP-Com'!$A20,'Contract level'!BA:BA)</f>
        <v>22253</v>
      </c>
      <c r="L20" s="202">
        <f>SUMIF('Contract level'!$A:$A,"="&amp;'DFP-Com'!$A20,'Contract level'!BB:BB)</f>
        <v>0</v>
      </c>
      <c r="M20" s="202">
        <f>SUMIF('Contract level'!$A:$A,"="&amp;'DFP-Com'!$A20,'Contract level'!BC:BC)</f>
        <v>0</v>
      </c>
      <c r="N20" s="202">
        <f>SUMIF('Contract level'!$A:$A,"="&amp;'DFP-Com'!$A20,'Contract level'!BD:BD)</f>
        <v>0</v>
      </c>
      <c r="O20" s="299">
        <f>SUMIF('Contract level'!$A:$A,"="&amp;'DFP-Com'!$A20,'Contract level'!BE:BE)</f>
        <v>0</v>
      </c>
      <c r="P20" s="202">
        <f>SUM(H20:O20)+D20+C20</f>
        <v>4118083.2699999996</v>
      </c>
      <c r="Q20" s="203">
        <v>0</v>
      </c>
      <c r="R20" s="285"/>
      <c r="S20" s="206"/>
    </row>
    <row r="21" spans="1:19" s="207" customFormat="1" outlineLevel="1" x14ac:dyDescent="0.2">
      <c r="A21" s="204">
        <v>1.3</v>
      </c>
      <c r="B21" s="49" t="s">
        <v>79</v>
      </c>
      <c r="C21" s="196">
        <f>SUM(C22:C24)</f>
        <v>2885879.7500000005</v>
      </c>
      <c r="D21" s="196">
        <f>SUM(D22:D24)</f>
        <v>198.71</v>
      </c>
      <c r="E21" s="196">
        <f t="shared" ref="E21:P21" si="5">SUM(E22:E24)</f>
        <v>0</v>
      </c>
      <c r="F21" s="196">
        <f t="shared" si="5"/>
        <v>0</v>
      </c>
      <c r="G21" s="196">
        <f t="shared" si="5"/>
        <v>0</v>
      </c>
      <c r="H21" s="196">
        <f t="shared" si="5"/>
        <v>0</v>
      </c>
      <c r="I21" s="196">
        <f t="shared" si="5"/>
        <v>24000</v>
      </c>
      <c r="J21" s="196">
        <f t="shared" si="5"/>
        <v>42000</v>
      </c>
      <c r="K21" s="196">
        <f t="shared" ref="K21:N21" si="6">SUM(K22:K24)</f>
        <v>0</v>
      </c>
      <c r="L21" s="196">
        <f t="shared" si="6"/>
        <v>0</v>
      </c>
      <c r="M21" s="196">
        <f t="shared" si="6"/>
        <v>14320.16</v>
      </c>
      <c r="N21" s="196">
        <f t="shared" si="6"/>
        <v>17640.88</v>
      </c>
      <c r="O21" s="196">
        <f t="shared" ref="O21" si="7">SUM(O22:O24)</f>
        <v>0</v>
      </c>
      <c r="P21" s="196">
        <f t="shared" si="5"/>
        <v>2984039.5</v>
      </c>
      <c r="Q21" s="198">
        <f>'QFR - B'!G17</f>
        <v>3000000</v>
      </c>
      <c r="R21" s="284">
        <f>Q21-P21</f>
        <v>15960.5</v>
      </c>
      <c r="S21" s="206"/>
    </row>
    <row r="22" spans="1:19" s="207" customFormat="1" ht="12.95" customHeight="1" outlineLevel="1" x14ac:dyDescent="0.2">
      <c r="A22" s="204" t="s">
        <v>146</v>
      </c>
      <c r="B22" s="200" t="s">
        <v>114</v>
      </c>
      <c r="C22" s="201">
        <v>2772876.18</v>
      </c>
      <c r="D22" s="299">
        <v>0</v>
      </c>
      <c r="E22" s="202"/>
      <c r="F22" s="202">
        <v>0</v>
      </c>
      <c r="G22" s="202"/>
      <c r="H22" s="202">
        <f>SUMIF('Contract level'!$A:$A,"="&amp;'DFP-Com'!$A22,'Contract level'!AX:AX)</f>
        <v>0</v>
      </c>
      <c r="I22" s="202">
        <f>SUMIF('Contract level'!$A:$A,"="&amp;'DFP-Com'!$A22,'Contract level'!AY:AY)</f>
        <v>0</v>
      </c>
      <c r="J22" s="202">
        <f>SUMIF('Contract level'!$A:$A,"="&amp;'DFP-Com'!$A22,'Contract level'!AZ:AZ)</f>
        <v>0</v>
      </c>
      <c r="K22" s="202">
        <f>SUMIF('Contract level'!$A:$A,"="&amp;'DFP-Com'!$A22,'Contract level'!BA:BA)</f>
        <v>0</v>
      </c>
      <c r="L22" s="202">
        <f>SUMIF('Contract level'!$A:$A,"="&amp;'DFP-Com'!$A22,'Contract level'!BB:BB)</f>
        <v>0</v>
      </c>
      <c r="M22" s="202">
        <f>SUMIF('Contract level'!$A:$A,"="&amp;'DFP-Com'!$A22,'Contract level'!BC:BC)</f>
        <v>0</v>
      </c>
      <c r="N22" s="202">
        <f>SUMIF('Contract level'!$A:$A,"="&amp;'DFP-Com'!$A22,'Contract level'!BD:BD)</f>
        <v>0</v>
      </c>
      <c r="O22" s="299">
        <f>SUMIF('Contract level'!$A:$A,"="&amp;'DFP-Com'!$A22,'Contract level'!BE:BE)</f>
        <v>0</v>
      </c>
      <c r="P22" s="202">
        <f>SUM(H22:O22)+D22+C22</f>
        <v>2772876.18</v>
      </c>
      <c r="Q22" s="203"/>
      <c r="R22" s="285"/>
      <c r="S22" s="206"/>
    </row>
    <row r="23" spans="1:19" s="207" customFormat="1" ht="12.95" customHeight="1" outlineLevel="1" x14ac:dyDescent="0.2">
      <c r="A23" s="204" t="s">
        <v>147</v>
      </c>
      <c r="B23" s="200" t="s">
        <v>130</v>
      </c>
      <c r="C23" s="201">
        <v>112393.2</v>
      </c>
      <c r="D23" s="202">
        <v>0</v>
      </c>
      <c r="E23" s="299">
        <v>0</v>
      </c>
      <c r="F23" s="299">
        <v>0</v>
      </c>
      <c r="G23" s="299"/>
      <c r="H23" s="202">
        <f>SUMIF('Contract level'!$A:$A,"="&amp;'DFP-Com'!$A23,'Contract level'!AX:AX)</f>
        <v>0</v>
      </c>
      <c r="I23" s="202">
        <f>SUMIF('Contract level'!$A:$A,"="&amp;'DFP-Com'!$A23,'Contract level'!AY:AY)</f>
        <v>24000</v>
      </c>
      <c r="J23" s="202">
        <f>SUMIF('Contract level'!$A:$A,"="&amp;'DFP-Com'!$A23,'Contract level'!AZ:AZ)</f>
        <v>42000</v>
      </c>
      <c r="K23" s="202">
        <f>SUMIF('Contract level'!$A:$A,"="&amp;'DFP-Com'!$A23,'Contract level'!BA:BA)</f>
        <v>0</v>
      </c>
      <c r="L23" s="202">
        <f>SUMIF('Contract level'!$A:$A,"="&amp;'DFP-Com'!$A23,'Contract level'!BB:BB)</f>
        <v>0</v>
      </c>
      <c r="M23" s="202">
        <f>SUMIF('Contract level'!$A:$A,"="&amp;'DFP-Com'!$A23,'Contract level'!BC:BC)</f>
        <v>14320.16</v>
      </c>
      <c r="N23" s="202">
        <f>SUMIF('Contract level'!$A:$A,"="&amp;'DFP-Com'!$A23,'Contract level'!BD:BD)</f>
        <v>17640.88</v>
      </c>
      <c r="O23" s="299">
        <f>SUMIF('Contract level'!$A:$A,"="&amp;'DFP-Com'!$A23,'Contract level'!BE:BE)</f>
        <v>0</v>
      </c>
      <c r="P23" s="299">
        <f>SUM(H23:O23)+D23+C23</f>
        <v>210354.24</v>
      </c>
      <c r="Q23" s="203"/>
      <c r="R23" s="285"/>
      <c r="S23" s="206"/>
    </row>
    <row r="24" spans="1:19" s="207" customFormat="1" outlineLevel="1" x14ac:dyDescent="0.2">
      <c r="A24" s="204" t="s">
        <v>148</v>
      </c>
      <c r="B24" s="200" t="s">
        <v>129</v>
      </c>
      <c r="C24" s="201">
        <v>610.37</v>
      </c>
      <c r="D24" s="202">
        <v>198.71</v>
      </c>
      <c r="E24" s="202">
        <v>0</v>
      </c>
      <c r="F24" s="202">
        <v>0</v>
      </c>
      <c r="G24" s="202">
        <v>0</v>
      </c>
      <c r="H24" s="202">
        <f>SUMIF('Contract level'!$A:$A,"="&amp;'DFP-Com'!$A24,'Contract level'!AX:AX)</f>
        <v>0</v>
      </c>
      <c r="I24" s="202">
        <f>SUMIF('Contract level'!$A:$A,"="&amp;'DFP-Com'!$A24,'Contract level'!AY:AY)</f>
        <v>0</v>
      </c>
      <c r="J24" s="202">
        <f>SUMIF('Contract level'!$A:$A,"="&amp;'DFP-Com'!$A24,'Contract level'!AZ:AZ)</f>
        <v>0</v>
      </c>
      <c r="K24" s="202">
        <f>SUMIF('Contract level'!$A:$A,"="&amp;'DFP-Com'!$A24,'Contract level'!BA:BA)</f>
        <v>0</v>
      </c>
      <c r="L24" s="202">
        <f>SUMIF('Contract level'!$A:$A,"="&amp;'DFP-Com'!$A24,'Contract level'!BB:BB)</f>
        <v>0</v>
      </c>
      <c r="M24" s="202">
        <f>SUMIF('Contract level'!$A:$A,"="&amp;'DFP-Com'!$A24,'Contract level'!BC:BC)</f>
        <v>0</v>
      </c>
      <c r="N24" s="202">
        <f>SUMIF('Contract level'!$A:$A,"="&amp;'DFP-Com'!$A24,'Contract level'!BD:BD)</f>
        <v>0</v>
      </c>
      <c r="O24" s="299">
        <f>SUMIF('Contract level'!$A:$A,"="&amp;'DFP-Com'!$A24,'Contract level'!BE:BE)</f>
        <v>0</v>
      </c>
      <c r="P24" s="202">
        <f>SUM(H24:N24)+D24+C24</f>
        <v>809.08</v>
      </c>
      <c r="Q24" s="203"/>
      <c r="R24" s="285"/>
      <c r="S24" s="206"/>
    </row>
    <row r="25" spans="1:19" s="207" customFormat="1" x14ac:dyDescent="0.2">
      <c r="A25" s="204" t="str">
        <f t="shared" si="3"/>
        <v>TOTA</v>
      </c>
      <c r="B25" s="51" t="s">
        <v>62</v>
      </c>
      <c r="C25" s="197">
        <f>C21+C19+C15</f>
        <v>12843405.18</v>
      </c>
      <c r="D25" s="197">
        <f>D21+D19+D15</f>
        <v>35519.64</v>
      </c>
      <c r="E25" s="197">
        <f t="shared" ref="E25:P25" si="8">E21+E19+E15</f>
        <v>5202000</v>
      </c>
      <c r="F25" s="197">
        <f t="shared" si="8"/>
        <v>96000</v>
      </c>
      <c r="G25" s="197">
        <f t="shared" si="8"/>
        <v>4000</v>
      </c>
      <c r="H25" s="197">
        <f t="shared" si="8"/>
        <v>5325997.83</v>
      </c>
      <c r="I25" s="197">
        <f t="shared" si="8"/>
        <v>824000</v>
      </c>
      <c r="J25" s="197">
        <f t="shared" si="8"/>
        <v>42000</v>
      </c>
      <c r="K25" s="197">
        <f t="shared" ref="K25:N25" si="9">K21+K19+K15</f>
        <v>22253</v>
      </c>
      <c r="L25" s="197">
        <f t="shared" si="9"/>
        <v>0</v>
      </c>
      <c r="M25" s="197">
        <f t="shared" si="9"/>
        <v>14320.16</v>
      </c>
      <c r="N25" s="197">
        <f t="shared" si="9"/>
        <v>17640.88</v>
      </c>
      <c r="O25" s="197">
        <f t="shared" ref="O25" si="10">O21+O19+O15</f>
        <v>0</v>
      </c>
      <c r="P25" s="197">
        <f t="shared" si="8"/>
        <v>19125136.689999998</v>
      </c>
      <c r="Q25" s="199">
        <f>Q15+Q19+Q21</f>
        <v>19300000</v>
      </c>
      <c r="R25" s="286">
        <f>R15+R19+R21</f>
        <v>174863.31000000052</v>
      </c>
      <c r="S25" s="206"/>
    </row>
    <row r="26" spans="1:19" s="37" customFormat="1" x14ac:dyDescent="0.2">
      <c r="A26" s="204" t="str">
        <f t="shared" si="3"/>
        <v/>
      </c>
      <c r="B26" s="53"/>
      <c r="C26" s="273"/>
      <c r="D26" s="216"/>
      <c r="E26" s="216"/>
      <c r="F26" s="216"/>
      <c r="G26" s="216"/>
      <c r="H26" s="216"/>
      <c r="I26" s="216"/>
      <c r="J26" s="216"/>
      <c r="K26" s="216"/>
      <c r="L26" s="216"/>
      <c r="M26" s="216"/>
      <c r="N26" s="216"/>
      <c r="O26" s="216"/>
      <c r="P26" s="216"/>
      <c r="Q26" s="269"/>
      <c r="R26" s="287"/>
      <c r="S26" s="36"/>
    </row>
    <row r="27" spans="1:19" s="37" customFormat="1" x14ac:dyDescent="0.2">
      <c r="A27" s="204" t="str">
        <f t="shared" si="3"/>
        <v>2. R</v>
      </c>
      <c r="B27" s="44" t="s">
        <v>82</v>
      </c>
      <c r="C27" s="274"/>
      <c r="D27" s="217"/>
      <c r="E27" s="217"/>
      <c r="F27" s="217"/>
      <c r="G27" s="217"/>
      <c r="H27" s="217"/>
      <c r="I27" s="217"/>
      <c r="J27" s="217"/>
      <c r="K27" s="217"/>
      <c r="L27" s="217"/>
      <c r="M27" s="217"/>
      <c r="N27" s="217"/>
      <c r="O27" s="217"/>
      <c r="P27" s="217"/>
      <c r="Q27" s="270"/>
      <c r="R27" s="288"/>
      <c r="S27" s="36"/>
    </row>
    <row r="28" spans="1:19" s="37" customFormat="1" outlineLevel="1" x14ac:dyDescent="0.2">
      <c r="A28" s="204">
        <v>2.1</v>
      </c>
      <c r="B28" s="49" t="s">
        <v>131</v>
      </c>
      <c r="C28" s="219">
        <f t="shared" ref="C28:P28" si="11">SUM(C29:C29)</f>
        <v>317258.46000000002</v>
      </c>
      <c r="D28" s="219">
        <f t="shared" si="11"/>
        <v>16330.63</v>
      </c>
      <c r="E28" s="219">
        <f t="shared" si="11"/>
        <v>0</v>
      </c>
      <c r="F28" s="219">
        <f t="shared" si="11"/>
        <v>2000</v>
      </c>
      <c r="G28" s="219">
        <f t="shared" si="11"/>
        <v>0</v>
      </c>
      <c r="H28" s="219">
        <f t="shared" si="11"/>
        <v>2000</v>
      </c>
      <c r="I28" s="219">
        <f t="shared" si="11"/>
        <v>442000</v>
      </c>
      <c r="J28" s="219">
        <f t="shared" si="11"/>
        <v>0</v>
      </c>
      <c r="K28" s="219">
        <f t="shared" si="11"/>
        <v>0</v>
      </c>
      <c r="L28" s="219">
        <f t="shared" si="11"/>
        <v>0</v>
      </c>
      <c r="M28" s="219">
        <f t="shared" si="11"/>
        <v>0</v>
      </c>
      <c r="N28" s="219">
        <f t="shared" si="11"/>
        <v>0</v>
      </c>
      <c r="O28" s="219">
        <f t="shared" si="11"/>
        <v>0</v>
      </c>
      <c r="P28" s="219">
        <f t="shared" si="11"/>
        <v>777589.09000000008</v>
      </c>
      <c r="Q28" s="198">
        <f>'QFR - B'!G20</f>
        <v>800000</v>
      </c>
      <c r="R28" s="284">
        <f>Q28-P28</f>
        <v>22410.909999999916</v>
      </c>
      <c r="S28" s="36"/>
    </row>
    <row r="29" spans="1:19" s="207" customFormat="1" outlineLevel="1" x14ac:dyDescent="0.2">
      <c r="A29" s="204" t="s">
        <v>149</v>
      </c>
      <c r="B29" s="200" t="s">
        <v>124</v>
      </c>
      <c r="C29" s="201">
        <v>317258.46000000002</v>
      </c>
      <c r="D29" s="299">
        <v>16330.63</v>
      </c>
      <c r="E29" s="299"/>
      <c r="F29" s="299">
        <v>2000</v>
      </c>
      <c r="G29" s="299">
        <v>0</v>
      </c>
      <c r="H29" s="202">
        <f>SUMIF('Contract level'!$A:$A,"="&amp;'DFP-Com'!$A29,'Contract level'!AX:AX)</f>
        <v>2000</v>
      </c>
      <c r="I29" s="202">
        <f>SUMIF('Contract level'!$A:$A,"="&amp;'DFP-Com'!$A29,'Contract level'!AY:AY)</f>
        <v>442000</v>
      </c>
      <c r="J29" s="202">
        <f>SUMIF('Contract level'!$A:$A,"="&amp;'DFP-Com'!$A29,'Contract level'!AZ:AZ)</f>
        <v>0</v>
      </c>
      <c r="K29" s="202">
        <f>SUMIF('Contract level'!$A:$A,"="&amp;'DFP-Com'!$A29,'Contract level'!BA:BA)</f>
        <v>0</v>
      </c>
      <c r="L29" s="202">
        <f>SUMIF('Contract level'!$A:$A,"="&amp;'DFP-Com'!$A29,'Contract level'!BB:BB)</f>
        <v>0</v>
      </c>
      <c r="M29" s="202">
        <f>SUMIF('Contract level'!$A:$A,"="&amp;'DFP-Com'!$A29,'Contract level'!BC:BC)</f>
        <v>0</v>
      </c>
      <c r="N29" s="202">
        <f>SUMIF('Contract level'!$A:$A,"="&amp;'DFP-Com'!$A29,'Contract level'!BD:BD)</f>
        <v>0</v>
      </c>
      <c r="O29" s="299">
        <f>SUMIF('Contract level'!$A:$A,"="&amp;'DFP-Com'!$A29,'Contract level'!BE:BE)</f>
        <v>0</v>
      </c>
      <c r="P29" s="202">
        <f>SUM(H29:O29)+D29+C29</f>
        <v>777589.09000000008</v>
      </c>
      <c r="Q29" s="203"/>
      <c r="R29" s="285"/>
      <c r="S29" s="206"/>
    </row>
    <row r="30" spans="1:19" s="37" customFormat="1" outlineLevel="1" x14ac:dyDescent="0.2">
      <c r="A30" s="204">
        <v>2.2000000000000002</v>
      </c>
      <c r="B30" s="49" t="s">
        <v>86</v>
      </c>
      <c r="C30" s="196">
        <f>SUM(C31:C33)</f>
        <v>1623472.7099999997</v>
      </c>
      <c r="D30" s="196">
        <f>SUM(D31:D33)</f>
        <v>0</v>
      </c>
      <c r="E30" s="196">
        <f t="shared" ref="E30:J30" si="12">SUM(E31:E33)</f>
        <v>0</v>
      </c>
      <c r="F30" s="196">
        <f t="shared" si="12"/>
        <v>75000</v>
      </c>
      <c r="G30" s="196">
        <f t="shared" si="12"/>
        <v>147000</v>
      </c>
      <c r="H30" s="196">
        <f t="shared" si="12"/>
        <v>222000</v>
      </c>
      <c r="I30" s="196">
        <f t="shared" si="12"/>
        <v>973500</v>
      </c>
      <c r="J30" s="196">
        <f t="shared" si="12"/>
        <v>0</v>
      </c>
      <c r="K30" s="196">
        <f t="shared" ref="K30:N30" si="13">SUM(K31:K33)</f>
        <v>0</v>
      </c>
      <c r="L30" s="196">
        <f t="shared" si="13"/>
        <v>0</v>
      </c>
      <c r="M30" s="196">
        <f t="shared" si="13"/>
        <v>770000</v>
      </c>
      <c r="N30" s="196">
        <f t="shared" si="13"/>
        <v>0</v>
      </c>
      <c r="O30" s="196">
        <f t="shared" ref="O30" si="14">SUM(O31:O33)</f>
        <v>0</v>
      </c>
      <c r="P30" s="196">
        <f>SUM(P31:P33)</f>
        <v>3588972.71</v>
      </c>
      <c r="Q30" s="198">
        <f>'QFR - B'!G21</f>
        <v>3600000</v>
      </c>
      <c r="R30" s="284">
        <f>Q30-P30</f>
        <v>11027.290000000037</v>
      </c>
      <c r="S30" s="36"/>
    </row>
    <row r="31" spans="1:19" s="207" customFormat="1" outlineLevel="1" x14ac:dyDescent="0.2">
      <c r="A31" s="204" t="s">
        <v>150</v>
      </c>
      <c r="B31" s="200" t="s">
        <v>125</v>
      </c>
      <c r="C31" s="201">
        <v>587282.06999999995</v>
      </c>
      <c r="D31" s="299">
        <v>0</v>
      </c>
      <c r="E31" s="202">
        <v>0</v>
      </c>
      <c r="F31" s="202">
        <v>0</v>
      </c>
      <c r="G31" s="202">
        <v>147000</v>
      </c>
      <c r="H31" s="202">
        <f>SUMIF('Contract level'!$A:$A,"="&amp;'DFP-Com'!$A31,'Contract level'!AX:AX)</f>
        <v>147000</v>
      </c>
      <c r="I31" s="202">
        <f>SUMIF('Contract level'!$A:$A,"="&amp;'DFP-Com'!$A31,'Contract level'!AY:AY)</f>
        <v>73500</v>
      </c>
      <c r="J31" s="202">
        <f>SUMIF('Contract level'!$A:$A,"="&amp;'DFP-Com'!$A31,'Contract level'!AZ:AZ)</f>
        <v>0</v>
      </c>
      <c r="K31" s="202">
        <f>SUMIF('Contract level'!$A:$A,"="&amp;'DFP-Com'!$A31,'Contract level'!BA:BA)</f>
        <v>0</v>
      </c>
      <c r="L31" s="202">
        <f>SUMIF('Contract level'!$A:$A,"="&amp;'DFP-Com'!$A31,'Contract level'!BB:BB)</f>
        <v>0</v>
      </c>
      <c r="M31" s="202">
        <f>SUMIF('Contract level'!$A:$A,"="&amp;'DFP-Com'!$A31,'Contract level'!BC:BC)</f>
        <v>0</v>
      </c>
      <c r="N31" s="202">
        <f>SUMIF('Contract level'!$A:$A,"="&amp;'DFP-Com'!$A31,'Contract level'!BD:BD)</f>
        <v>0</v>
      </c>
      <c r="O31" s="299">
        <f>SUMIF('Contract level'!$A:$A,"="&amp;'DFP-Com'!$A31,'Contract level'!BE:BE)</f>
        <v>0</v>
      </c>
      <c r="P31" s="202">
        <f>SUM(H31:O31)+D31+C31</f>
        <v>807782.07</v>
      </c>
      <c r="Q31" s="203"/>
      <c r="R31" s="285"/>
      <c r="S31" s="206"/>
    </row>
    <row r="32" spans="1:19" s="207" customFormat="1" outlineLevel="1" x14ac:dyDescent="0.2">
      <c r="A32" s="204" t="s">
        <v>151</v>
      </c>
      <c r="B32" s="200" t="s">
        <v>126</v>
      </c>
      <c r="C32" s="201">
        <v>1030229</v>
      </c>
      <c r="D32" s="202">
        <v>0</v>
      </c>
      <c r="E32" s="299">
        <v>0</v>
      </c>
      <c r="F32" s="299">
        <v>0</v>
      </c>
      <c r="G32" s="299">
        <v>0</v>
      </c>
      <c r="H32" s="202">
        <f>SUMIF('Contract level'!$A:$A,"="&amp;'DFP-Com'!$A32,'Contract level'!AX:AX)</f>
        <v>0</v>
      </c>
      <c r="I32" s="202">
        <f>SUMIF('Contract level'!$A:$A,"="&amp;'DFP-Com'!$A32,'Contract level'!AY:AY)</f>
        <v>900000</v>
      </c>
      <c r="J32" s="202">
        <f>SUMIF('Contract level'!$A:$A,"="&amp;'DFP-Com'!$A32,'Contract level'!AZ:AZ)</f>
        <v>0</v>
      </c>
      <c r="K32" s="202">
        <f>SUMIF('Contract level'!$A:$A,"="&amp;'DFP-Com'!$A32,'Contract level'!BA:BA)</f>
        <v>0</v>
      </c>
      <c r="L32" s="202">
        <f>SUMIF('Contract level'!$A:$A,"="&amp;'DFP-Com'!$A32,'Contract level'!BB:BB)</f>
        <v>0</v>
      </c>
      <c r="M32" s="202">
        <f>SUMIF('Contract level'!$A:$A,"="&amp;'DFP-Com'!$A32,'Contract level'!BC:BC)</f>
        <v>770000</v>
      </c>
      <c r="N32" s="202">
        <f>SUMIF('Contract level'!$A:$A,"="&amp;'DFP-Com'!$A32,'Contract level'!BD:BD)</f>
        <v>0</v>
      </c>
      <c r="O32" s="299">
        <f>SUMIF('Contract level'!$A:$A,"="&amp;'DFP-Com'!$A32,'Contract level'!BE:BE)</f>
        <v>0</v>
      </c>
      <c r="P32" s="299">
        <f>SUM(H32:O32)+D32+C32</f>
        <v>2700229</v>
      </c>
      <c r="Q32" s="203"/>
      <c r="R32" s="285"/>
      <c r="S32" s="206"/>
    </row>
    <row r="33" spans="1:19" s="207" customFormat="1" outlineLevel="1" x14ac:dyDescent="0.2">
      <c r="A33" s="204" t="s">
        <v>152</v>
      </c>
      <c r="B33" s="200" t="s">
        <v>128</v>
      </c>
      <c r="C33" s="201">
        <v>5961.64</v>
      </c>
      <c r="D33" s="299">
        <v>0</v>
      </c>
      <c r="E33" s="202">
        <v>0</v>
      </c>
      <c r="F33" s="202">
        <v>75000</v>
      </c>
      <c r="G33" s="202">
        <v>0</v>
      </c>
      <c r="H33" s="202">
        <f>SUMIF('Contract level'!$A:$A,"="&amp;'DFP-Com'!$A33,'Contract level'!AX:AX)</f>
        <v>75000</v>
      </c>
      <c r="I33" s="202">
        <f>SUMIF('Contract level'!$A:$A,"="&amp;'DFP-Com'!$A33,'Contract level'!AY:AY)</f>
        <v>0</v>
      </c>
      <c r="J33" s="202">
        <f>SUMIF('Contract level'!$A:$A,"="&amp;'DFP-Com'!$A33,'Contract level'!AZ:AZ)</f>
        <v>0</v>
      </c>
      <c r="K33" s="202">
        <f>SUMIF('Contract level'!$A:$A,"="&amp;'DFP-Com'!$A33,'Contract level'!BA:BA)</f>
        <v>0</v>
      </c>
      <c r="L33" s="202">
        <f>SUMIF('Contract level'!$A:$A,"="&amp;'DFP-Com'!$A33,'Contract level'!BB:BB)</f>
        <v>0</v>
      </c>
      <c r="M33" s="202">
        <f>SUMIF('Contract level'!$A:$A,"="&amp;'DFP-Com'!$A33,'Contract level'!BC:BC)</f>
        <v>0</v>
      </c>
      <c r="N33" s="202">
        <f>SUMIF('Contract level'!$A:$A,"="&amp;'DFP-Com'!$A33,'Contract level'!BD:BD)</f>
        <v>0</v>
      </c>
      <c r="O33" s="299">
        <f>SUMIF('Contract level'!$A:$A,"="&amp;'DFP-Com'!$A33,'Contract level'!BE:BE)</f>
        <v>0</v>
      </c>
      <c r="P33" s="202">
        <f>SUM(H33:N33)+D33+C33</f>
        <v>80961.64</v>
      </c>
      <c r="Q33" s="203"/>
      <c r="R33" s="285"/>
      <c r="S33" s="206"/>
    </row>
    <row r="34" spans="1:19" s="37" customFormat="1" x14ac:dyDescent="0.2">
      <c r="A34" s="204" t="str">
        <f t="shared" si="3"/>
        <v>TOTA</v>
      </c>
      <c r="B34" s="58" t="s">
        <v>63</v>
      </c>
      <c r="C34" s="197">
        <f>C30+C28</f>
        <v>1940731.1699999997</v>
      </c>
      <c r="D34" s="197">
        <f>D30+D28</f>
        <v>16330.63</v>
      </c>
      <c r="E34" s="197">
        <f>+E28+E30</f>
        <v>0</v>
      </c>
      <c r="F34" s="197">
        <f>+F28+F30</f>
        <v>77000</v>
      </c>
      <c r="G34" s="197">
        <f>+G28+G30</f>
        <v>147000</v>
      </c>
      <c r="H34" s="197">
        <f t="shared" ref="H34:N34" si="15">H30+H28</f>
        <v>224000</v>
      </c>
      <c r="I34" s="197">
        <f t="shared" si="15"/>
        <v>1415500</v>
      </c>
      <c r="J34" s="197">
        <f t="shared" si="15"/>
        <v>0</v>
      </c>
      <c r="K34" s="197">
        <f t="shared" si="15"/>
        <v>0</v>
      </c>
      <c r="L34" s="197">
        <f t="shared" si="15"/>
        <v>0</v>
      </c>
      <c r="M34" s="197">
        <f t="shared" si="15"/>
        <v>770000</v>
      </c>
      <c r="N34" s="197">
        <f t="shared" si="15"/>
        <v>0</v>
      </c>
      <c r="O34" s="197">
        <f t="shared" ref="O34" si="16">O30+O28</f>
        <v>0</v>
      </c>
      <c r="P34" s="197">
        <f>P28+P30</f>
        <v>4366561.8</v>
      </c>
      <c r="Q34" s="272">
        <f>SUM(Q28:Q33)</f>
        <v>4400000</v>
      </c>
      <c r="R34" s="286">
        <f>SUM(R27:R33)</f>
        <v>33438.199999999953</v>
      </c>
      <c r="S34" s="36"/>
    </row>
    <row r="35" spans="1:19" s="37" customFormat="1" x14ac:dyDescent="0.2">
      <c r="A35" s="204" t="str">
        <f t="shared" si="3"/>
        <v/>
      </c>
      <c r="B35" s="53"/>
      <c r="C35" s="273"/>
      <c r="D35" s="216"/>
      <c r="E35" s="216"/>
      <c r="F35" s="216"/>
      <c r="G35" s="216"/>
      <c r="H35" s="216"/>
      <c r="I35" s="216"/>
      <c r="J35" s="216"/>
      <c r="K35" s="216"/>
      <c r="L35" s="216"/>
      <c r="M35" s="216"/>
      <c r="N35" s="216"/>
      <c r="O35" s="216"/>
      <c r="P35" s="216"/>
      <c r="Q35" s="269"/>
      <c r="R35" s="287"/>
      <c r="S35" s="36"/>
    </row>
    <row r="36" spans="1:19" s="63" customFormat="1" x14ac:dyDescent="0.2">
      <c r="A36" s="204" t="str">
        <f t="shared" si="3"/>
        <v>3. M</v>
      </c>
      <c r="B36" s="44" t="s">
        <v>91</v>
      </c>
      <c r="C36" s="275"/>
      <c r="D36" s="266"/>
      <c r="E36" s="266"/>
      <c r="F36" s="266"/>
      <c r="G36" s="266"/>
      <c r="H36" s="266"/>
      <c r="I36" s="266"/>
      <c r="J36" s="266"/>
      <c r="K36" s="266"/>
      <c r="L36" s="266"/>
      <c r="M36" s="266"/>
      <c r="N36" s="266"/>
      <c r="O36" s="266"/>
      <c r="P36" s="217"/>
      <c r="Q36" s="270"/>
      <c r="R36" s="288"/>
      <c r="S36" s="62"/>
    </row>
    <row r="37" spans="1:19" s="63" customFormat="1" outlineLevel="1" x14ac:dyDescent="0.2">
      <c r="A37" s="204" t="str">
        <f t="shared" si="3"/>
        <v xml:space="preserve">   M</v>
      </c>
      <c r="B37" s="64" t="s">
        <v>92</v>
      </c>
      <c r="C37" s="196">
        <f t="shared" ref="C37:G37" si="17">SUM(C38:C41)</f>
        <v>209980.37</v>
      </c>
      <c r="D37" s="196">
        <f t="shared" si="17"/>
        <v>74370.399999999994</v>
      </c>
      <c r="E37" s="196">
        <f t="shared" si="17"/>
        <v>36000</v>
      </c>
      <c r="F37" s="196">
        <f t="shared" si="17"/>
        <v>3000</v>
      </c>
      <c r="G37" s="196">
        <f t="shared" si="17"/>
        <v>4000</v>
      </c>
      <c r="H37" s="196">
        <f>SUM(H38:H41)</f>
        <v>38000</v>
      </c>
      <c r="I37" s="196">
        <f t="shared" ref="I37:J37" si="18">SUM(I38:I40)</f>
        <v>0</v>
      </c>
      <c r="J37" s="196">
        <f t="shared" si="18"/>
        <v>0</v>
      </c>
      <c r="K37" s="196">
        <f t="shared" ref="K37:N37" si="19">SUM(K38:K40)</f>
        <v>0</v>
      </c>
      <c r="L37" s="196">
        <f t="shared" si="19"/>
        <v>0</v>
      </c>
      <c r="M37" s="196">
        <f t="shared" si="19"/>
        <v>0</v>
      </c>
      <c r="N37" s="196">
        <f t="shared" si="19"/>
        <v>160000</v>
      </c>
      <c r="O37" s="196">
        <f t="shared" ref="O37" si="20">SUM(O38:O40)</f>
        <v>0</v>
      </c>
      <c r="P37" s="219">
        <f>SUM(P38:P41)</f>
        <v>482350.77</v>
      </c>
      <c r="Q37" s="198">
        <f>'QFR - B'!G24</f>
        <v>1700000</v>
      </c>
      <c r="R37" s="284">
        <f>Q37-P37</f>
        <v>1217649.23</v>
      </c>
      <c r="S37" s="62"/>
    </row>
    <row r="38" spans="1:19" s="214" customFormat="1" outlineLevel="1" x14ac:dyDescent="0.2">
      <c r="A38" s="204" t="s">
        <v>153</v>
      </c>
      <c r="B38" s="211" t="s">
        <v>115</v>
      </c>
      <c r="C38" s="201">
        <v>195000</v>
      </c>
      <c r="D38" s="299">
        <v>73987.31</v>
      </c>
      <c r="E38" s="201">
        <v>33000</v>
      </c>
      <c r="F38" s="201"/>
      <c r="G38" s="201"/>
      <c r="H38" s="202">
        <f>SUMIF('Contract level'!$A:$A,"="&amp;'DFP-Com'!$A38,'Contract level'!AX:AX)</f>
        <v>28000</v>
      </c>
      <c r="I38" s="202">
        <f>SUMIF('Contract level'!$A:$A,"="&amp;'DFP-Com'!$A38,'Contract level'!AY:AY)</f>
        <v>0</v>
      </c>
      <c r="J38" s="202">
        <f>SUMIF('Contract level'!$A:$A,"="&amp;'DFP-Com'!$A38,'Contract level'!AZ:AZ)</f>
        <v>0</v>
      </c>
      <c r="K38" s="202">
        <f>SUMIF('Contract level'!$A:$A,"="&amp;'DFP-Com'!$A38,'Contract level'!BA:BA)</f>
        <v>0</v>
      </c>
      <c r="L38" s="202">
        <f>SUMIF('Contract level'!$A:$A,"="&amp;'DFP-Com'!$A38,'Contract level'!BB:BB)</f>
        <v>0</v>
      </c>
      <c r="M38" s="202">
        <f>SUMIF('Contract level'!$A:$A,"="&amp;'DFP-Com'!$A38,'Contract level'!BC:BC)</f>
        <v>0</v>
      </c>
      <c r="N38" s="202">
        <f>SUMIF('Contract level'!$A:$A,"="&amp;'DFP-Com'!$A38,'Contract level'!BD:BD)</f>
        <v>0</v>
      </c>
      <c r="O38" s="299">
        <f>SUMIF('Contract level'!$A:$A,"="&amp;'DFP-Com'!$A38,'Contract level'!BE:BE)</f>
        <v>0</v>
      </c>
      <c r="P38" s="202">
        <f>SUM(H38:O38)+D38+C38</f>
        <v>296987.31</v>
      </c>
      <c r="Q38" s="271"/>
      <c r="R38" s="289"/>
      <c r="S38" s="213"/>
    </row>
    <row r="39" spans="1:19" s="214" customFormat="1" outlineLevel="1" x14ac:dyDescent="0.2">
      <c r="A39" s="204" t="s">
        <v>154</v>
      </c>
      <c r="B39" s="211" t="s">
        <v>116</v>
      </c>
      <c r="C39" s="201">
        <v>0</v>
      </c>
      <c r="D39" s="202">
        <v>0</v>
      </c>
      <c r="E39" s="201"/>
      <c r="F39" s="201">
        <v>0</v>
      </c>
      <c r="G39" s="201"/>
      <c r="H39" s="202">
        <f>SUMIF('Contract level'!$A:$A,"="&amp;'DFP-Com'!$A39,'Contract level'!AX:AX)</f>
        <v>0</v>
      </c>
      <c r="I39" s="202">
        <f>SUMIF('Contract level'!$A:$A,"="&amp;'DFP-Com'!$A39,'Contract level'!AY:AY)</f>
        <v>0</v>
      </c>
      <c r="J39" s="202">
        <f>SUMIF('Contract level'!$A:$A,"="&amp;'DFP-Com'!$A39,'Contract level'!AZ:AZ)</f>
        <v>0</v>
      </c>
      <c r="K39" s="202">
        <f>SUMIF('Contract level'!$A:$A,"="&amp;'DFP-Com'!$A39,'Contract level'!BA:BA)</f>
        <v>0</v>
      </c>
      <c r="L39" s="202">
        <f>SUMIF('Contract level'!$A:$A,"="&amp;'DFP-Com'!$A39,'Contract level'!BB:BB)</f>
        <v>0</v>
      </c>
      <c r="M39" s="202">
        <f>SUMIF('Contract level'!$A:$A,"="&amp;'DFP-Com'!$A39,'Contract level'!BC:BC)</f>
        <v>0</v>
      </c>
      <c r="N39" s="202">
        <f>SUMIF('Contract level'!$A:$A,"="&amp;'DFP-Com'!$A39,'Contract level'!BD:BD)</f>
        <v>0</v>
      </c>
      <c r="O39" s="299">
        <f>SUMIF('Contract level'!$A:$A,"="&amp;'DFP-Com'!$A39,'Contract level'!BE:BE)</f>
        <v>0</v>
      </c>
      <c r="P39" s="299">
        <f>SUM(H39:O39)+D39+C39</f>
        <v>0</v>
      </c>
      <c r="Q39" s="271"/>
      <c r="R39" s="289"/>
      <c r="S39" s="213"/>
    </row>
    <row r="40" spans="1:19" s="214" customFormat="1" outlineLevel="1" x14ac:dyDescent="0.2">
      <c r="A40" s="204" t="s">
        <v>155</v>
      </c>
      <c r="B40" s="211" t="s">
        <v>117</v>
      </c>
      <c r="C40" s="201">
        <v>0</v>
      </c>
      <c r="D40" s="202">
        <v>0</v>
      </c>
      <c r="E40" s="201"/>
      <c r="F40" s="201"/>
      <c r="G40" s="201"/>
      <c r="H40" s="202">
        <f>SUMIF('Contract level'!$A:$A,"="&amp;'DFP-Com'!$A40,'Contract level'!AX:AX)</f>
        <v>0</v>
      </c>
      <c r="I40" s="202">
        <f>SUMIF('Contract level'!$A:$A,"="&amp;'DFP-Com'!$A40,'Contract level'!AY:AY)</f>
        <v>0</v>
      </c>
      <c r="J40" s="202">
        <f>SUMIF('Contract level'!$A:$A,"="&amp;'DFP-Com'!$A40,'Contract level'!AZ:AZ)</f>
        <v>0</v>
      </c>
      <c r="K40" s="202">
        <f>SUMIF('Contract level'!$A:$A,"="&amp;'DFP-Com'!$A40,'Contract level'!BA:BA)</f>
        <v>0</v>
      </c>
      <c r="L40" s="202">
        <f>SUMIF('Contract level'!$A:$A,"="&amp;'DFP-Com'!$A40,'Contract level'!BB:BB)</f>
        <v>0</v>
      </c>
      <c r="M40" s="202">
        <f>SUMIF('Contract level'!$A:$A,"="&amp;'DFP-Com'!$A40,'Contract level'!BC:BC)</f>
        <v>0</v>
      </c>
      <c r="N40" s="202">
        <f>SUMIF('Contract level'!$A:$A,"="&amp;'DFP-Com'!$A40,'Contract level'!BD:BD)</f>
        <v>160000</v>
      </c>
      <c r="O40" s="299">
        <f>SUMIF('Contract level'!$A:$A,"="&amp;'DFP-Com'!$A40,'Contract level'!BE:BE)</f>
        <v>0</v>
      </c>
      <c r="P40" s="299">
        <f>SUM(H40:O40)+D40+C40</f>
        <v>160000</v>
      </c>
      <c r="Q40" s="271"/>
      <c r="R40" s="289"/>
      <c r="S40" s="213"/>
    </row>
    <row r="41" spans="1:19" s="214" customFormat="1" outlineLevel="1" x14ac:dyDescent="0.2">
      <c r="A41" s="204" t="s">
        <v>156</v>
      </c>
      <c r="B41" s="211" t="s">
        <v>127</v>
      </c>
      <c r="C41" s="201">
        <v>14980.37</v>
      </c>
      <c r="D41" s="202">
        <v>383.09</v>
      </c>
      <c r="E41" s="201">
        <v>3000</v>
      </c>
      <c r="F41" s="201">
        <v>3000</v>
      </c>
      <c r="G41" s="201">
        <v>4000</v>
      </c>
      <c r="H41" s="202">
        <f>SUMIF('Contract level'!$A:$A,"="&amp;'DFP-Com'!$A41,'Contract level'!AX:AX)</f>
        <v>10000</v>
      </c>
      <c r="I41" s="202">
        <f>SUMIF('Contract level'!$A:$A,"="&amp;'DFP-Com'!$A41,'Contract level'!AY:AY)</f>
        <v>0</v>
      </c>
      <c r="J41" s="202">
        <f>SUMIF('Contract level'!$A:$A,"="&amp;'DFP-Com'!$A41,'Contract level'!AZ:AZ)</f>
        <v>0</v>
      </c>
      <c r="K41" s="202">
        <f>SUMIF('Contract level'!$A:$A,"="&amp;'DFP-Com'!$A41,'Contract level'!BA:BA)</f>
        <v>0</v>
      </c>
      <c r="L41" s="202">
        <f>SUMIF('Contract level'!$A:$A,"="&amp;'DFP-Com'!$A41,'Contract level'!BB:BB)</f>
        <v>0</v>
      </c>
      <c r="M41" s="202">
        <f>SUMIF('Contract level'!$A:$A,"="&amp;'DFP-Com'!$A41,'Contract level'!BC:BC)</f>
        <v>0</v>
      </c>
      <c r="N41" s="202">
        <f>SUMIF('Contract level'!$A:$A,"="&amp;'DFP-Com'!$A41,'Contract level'!BD:BD)</f>
        <v>0</v>
      </c>
      <c r="O41" s="299">
        <f>SUMIF('Contract level'!$A:$A,"="&amp;'DFP-Com'!$A41,'Contract level'!BE:BE)</f>
        <v>0</v>
      </c>
      <c r="P41" s="299">
        <f>SUM(H41:O41)+D41+C41</f>
        <v>25363.46</v>
      </c>
      <c r="Q41" s="271"/>
      <c r="R41" s="289"/>
      <c r="S41" s="213"/>
    </row>
    <row r="42" spans="1:19" s="37" customFormat="1" x14ac:dyDescent="0.2">
      <c r="A42" s="204"/>
      <c r="B42" s="58" t="s">
        <v>17</v>
      </c>
      <c r="C42" s="197">
        <f>C37</f>
        <v>209980.37</v>
      </c>
      <c r="D42" s="197">
        <f>D37</f>
        <v>74370.399999999994</v>
      </c>
      <c r="E42" s="197">
        <f t="shared" ref="E42:R42" si="21">E37</f>
        <v>36000</v>
      </c>
      <c r="F42" s="197">
        <f t="shared" si="21"/>
        <v>3000</v>
      </c>
      <c r="G42" s="197">
        <f t="shared" si="21"/>
        <v>4000</v>
      </c>
      <c r="H42" s="197">
        <f t="shared" si="21"/>
        <v>38000</v>
      </c>
      <c r="I42" s="197">
        <f t="shared" si="21"/>
        <v>0</v>
      </c>
      <c r="J42" s="197">
        <f t="shared" si="21"/>
        <v>0</v>
      </c>
      <c r="K42" s="197">
        <f t="shared" ref="K42:N42" si="22">K37</f>
        <v>0</v>
      </c>
      <c r="L42" s="197">
        <f t="shared" si="22"/>
        <v>0</v>
      </c>
      <c r="M42" s="197">
        <f t="shared" si="22"/>
        <v>0</v>
      </c>
      <c r="N42" s="197">
        <f t="shared" si="22"/>
        <v>160000</v>
      </c>
      <c r="O42" s="197">
        <f t="shared" ref="O42" si="23">O37</f>
        <v>0</v>
      </c>
      <c r="P42" s="197">
        <f t="shared" si="21"/>
        <v>482350.77</v>
      </c>
      <c r="Q42" s="272">
        <f t="shared" si="21"/>
        <v>1700000</v>
      </c>
      <c r="R42" s="290">
        <f t="shared" si="21"/>
        <v>1217649.23</v>
      </c>
      <c r="S42" s="36"/>
    </row>
    <row r="43" spans="1:19" s="37" customFormat="1" x14ac:dyDescent="0.2">
      <c r="A43" s="204"/>
      <c r="B43" s="53"/>
      <c r="C43" s="273"/>
      <c r="D43" s="216"/>
      <c r="E43" s="216"/>
      <c r="F43" s="216"/>
      <c r="G43" s="216"/>
      <c r="H43" s="216"/>
      <c r="I43" s="216"/>
      <c r="J43" s="216"/>
      <c r="K43" s="216"/>
      <c r="L43" s="216"/>
      <c r="M43" s="216"/>
      <c r="N43" s="216"/>
      <c r="O43" s="216"/>
      <c r="P43" s="216"/>
      <c r="Q43" s="269"/>
      <c r="R43" s="287"/>
      <c r="S43" s="36"/>
    </row>
    <row r="44" spans="1:19" s="63" customFormat="1" x14ac:dyDescent="0.2">
      <c r="A44" s="204"/>
      <c r="B44" s="44" t="s">
        <v>84</v>
      </c>
      <c r="C44" s="275"/>
      <c r="D44" s="266"/>
      <c r="E44" s="266"/>
      <c r="F44" s="266"/>
      <c r="G44" s="266"/>
      <c r="H44" s="266"/>
      <c r="I44" s="266"/>
      <c r="J44" s="266"/>
      <c r="K44" s="266"/>
      <c r="L44" s="266"/>
      <c r="M44" s="266"/>
      <c r="N44" s="266"/>
      <c r="O44" s="266"/>
      <c r="P44" s="217"/>
      <c r="Q44" s="270"/>
      <c r="R44" s="288"/>
      <c r="S44" s="62"/>
    </row>
    <row r="45" spans="1:19" s="37" customFormat="1" outlineLevel="1" x14ac:dyDescent="0.2">
      <c r="A45" s="204"/>
      <c r="B45" s="65" t="s">
        <v>94</v>
      </c>
      <c r="C45" s="196">
        <f t="shared" ref="C45:J45" si="24">SUM(C46:C49)</f>
        <v>329165.52</v>
      </c>
      <c r="D45" s="196">
        <f t="shared" si="24"/>
        <v>189953.34</v>
      </c>
      <c r="E45" s="196">
        <f t="shared" si="24"/>
        <v>50000</v>
      </c>
      <c r="F45" s="196">
        <f t="shared" si="24"/>
        <v>24000</v>
      </c>
      <c r="G45" s="196">
        <f t="shared" si="24"/>
        <v>5000</v>
      </c>
      <c r="H45" s="196">
        <f t="shared" si="24"/>
        <v>84991</v>
      </c>
      <c r="I45" s="196">
        <f t="shared" si="24"/>
        <v>29300</v>
      </c>
      <c r="J45" s="196">
        <f t="shared" si="24"/>
        <v>31800</v>
      </c>
      <c r="K45" s="196">
        <f t="shared" ref="K45:N45" si="25">SUM(K46:K49)</f>
        <v>75609</v>
      </c>
      <c r="L45" s="196">
        <f t="shared" si="25"/>
        <v>27553.660000000011</v>
      </c>
      <c r="M45" s="196">
        <f t="shared" si="25"/>
        <v>19344.36</v>
      </c>
      <c r="N45" s="196">
        <f t="shared" si="25"/>
        <v>13992.84</v>
      </c>
      <c r="O45" s="196">
        <f t="shared" ref="O45" si="26">SUM(O46:O49)</f>
        <v>2222.8200000000002</v>
      </c>
      <c r="P45" s="219">
        <f>C45+D45+SUM(H45:O45)</f>
        <v>803932.54</v>
      </c>
      <c r="Q45" s="198">
        <f>'QFR - B'!G27</f>
        <v>797500</v>
      </c>
      <c r="R45" s="284">
        <f>Q45-P45</f>
        <v>-6432.5400000000373</v>
      </c>
      <c r="S45" s="36"/>
    </row>
    <row r="46" spans="1:19" s="207" customFormat="1" ht="12.75" customHeight="1" outlineLevel="1" x14ac:dyDescent="0.2">
      <c r="A46" s="204" t="s">
        <v>157</v>
      </c>
      <c r="B46" s="215" t="s">
        <v>137</v>
      </c>
      <c r="C46" s="201">
        <v>292856.61</v>
      </c>
      <c r="D46" s="202">
        <v>56616</v>
      </c>
      <c r="E46" s="298">
        <v>50000</v>
      </c>
      <c r="F46" s="298">
        <v>24000</v>
      </c>
      <c r="G46" s="298">
        <v>0</v>
      </c>
      <c r="H46" s="202">
        <f>SUMIF('Contract level'!$A:$A,"="&amp;'DFP-Com'!$A46,'Contract level'!AX:AX)</f>
        <v>79991</v>
      </c>
      <c r="I46" s="202">
        <f>SUMIF('Contract level'!$A:$A,"="&amp;'DFP-Com'!$A46,'Contract level'!AY:AY)</f>
        <v>28800</v>
      </c>
      <c r="J46" s="202">
        <f>SUMIF('Contract level'!$A:$A,"="&amp;'DFP-Com'!$A46,'Contract level'!AZ:AZ)</f>
        <v>28800</v>
      </c>
      <c r="K46" s="202">
        <f>SUMIF('Contract level'!$A:$A,"="&amp;'DFP-Com'!$A46,'Contract level'!BA:BA)</f>
        <v>69609</v>
      </c>
      <c r="L46" s="202">
        <f>SUMIF('Contract level'!$A:$A,"="&amp;'DFP-Com'!$A46,'Contract level'!BB:BB)</f>
        <v>22848.310000000012</v>
      </c>
      <c r="M46" s="202">
        <f>SUMIF('Contract level'!$A:$A,"="&amp;'DFP-Com'!$A46,'Contract level'!BC:BC)</f>
        <v>16344.36</v>
      </c>
      <c r="N46" s="202">
        <f>SUMIF('Contract level'!$A:$A,"="&amp;'DFP-Com'!$A46,'Contract level'!BD:BD)</f>
        <v>10992.84</v>
      </c>
      <c r="O46" s="299">
        <f>SUMIF('Contract level'!$A:$A,"="&amp;'DFP-Com'!$A46,'Contract level'!BE:BE)</f>
        <v>894.92</v>
      </c>
      <c r="P46" s="202">
        <f>SUM(H46:O46)+D46+C46</f>
        <v>607753.04</v>
      </c>
      <c r="Q46" s="271"/>
      <c r="R46" s="285"/>
      <c r="S46" s="206"/>
    </row>
    <row r="47" spans="1:19" s="207" customFormat="1" outlineLevel="1" x14ac:dyDescent="0.2">
      <c r="A47" s="204" t="s">
        <v>158</v>
      </c>
      <c r="B47" s="215" t="s">
        <v>138</v>
      </c>
      <c r="C47" s="201">
        <v>6912.46</v>
      </c>
      <c r="D47" s="202">
        <v>13337.34</v>
      </c>
      <c r="E47" s="298"/>
      <c r="F47" s="298"/>
      <c r="G47" s="298">
        <v>5000</v>
      </c>
      <c r="H47" s="202">
        <f>SUMIF('Contract level'!$A:$A,"="&amp;'DFP-Com'!$A47,'Contract level'!AX:AX)</f>
        <v>5000</v>
      </c>
      <c r="I47" s="202">
        <f>SUMIF('Contract level'!$A:$A,"="&amp;'DFP-Com'!$A47,'Contract level'!AY:AY)</f>
        <v>500</v>
      </c>
      <c r="J47" s="202">
        <f>SUMIF('Contract level'!$A:$A,"="&amp;'DFP-Com'!$A47,'Contract level'!AZ:AZ)</f>
        <v>3000</v>
      </c>
      <c r="K47" s="202">
        <f>SUMIF('Contract level'!$A:$A,"="&amp;'DFP-Com'!$A47,'Contract level'!BA:BA)</f>
        <v>1000</v>
      </c>
      <c r="L47" s="202">
        <f>SUMIF('Contract level'!$A:$A,"="&amp;'DFP-Com'!$A47,'Contract level'!BB:BB)</f>
        <v>2705.3500000000004</v>
      </c>
      <c r="M47" s="202">
        <f>SUMIF('Contract level'!$A:$A,"="&amp;'DFP-Com'!$A47,'Contract level'!BC:BC)</f>
        <v>1000</v>
      </c>
      <c r="N47" s="202">
        <f>SUMIF('Contract level'!$A:$A,"="&amp;'DFP-Com'!$A47,'Contract level'!BD:BD)</f>
        <v>1000</v>
      </c>
      <c r="O47" s="299">
        <f>SUMIF('Contract level'!$A:$A,"="&amp;'DFP-Com'!$A47,'Contract level'!BE:BE)</f>
        <v>0</v>
      </c>
      <c r="P47" s="299">
        <f>SUM(H47:O47)+D47+C47</f>
        <v>34455.15</v>
      </c>
      <c r="Q47" s="271"/>
      <c r="R47" s="289"/>
      <c r="S47" s="206"/>
    </row>
    <row r="48" spans="1:19" s="207" customFormat="1" outlineLevel="1" x14ac:dyDescent="0.2">
      <c r="A48" s="204" t="s">
        <v>159</v>
      </c>
      <c r="B48" s="215" t="s">
        <v>139</v>
      </c>
      <c r="C48" s="201">
        <v>0</v>
      </c>
      <c r="D48" s="202">
        <v>120000</v>
      </c>
      <c r="E48" s="298">
        <v>0</v>
      </c>
      <c r="F48" s="298">
        <v>0</v>
      </c>
      <c r="G48" s="298">
        <v>0</v>
      </c>
      <c r="H48" s="202">
        <f>SUMIF('Contract level'!$A:$A,"="&amp;'DFP-Com'!$A48,'Contract level'!AX:AX)</f>
        <v>0</v>
      </c>
      <c r="I48" s="202">
        <f>SUMIF('Contract level'!$A:$A,"="&amp;'DFP-Com'!$A48,'Contract level'!AY:AY)</f>
        <v>0</v>
      </c>
      <c r="J48" s="202">
        <f>SUMIF('Contract level'!$A:$A,"="&amp;'DFP-Com'!$A48,'Contract level'!AZ:AZ)</f>
        <v>0</v>
      </c>
      <c r="K48" s="202">
        <f>SUMIF('Contract level'!$A:$A,"="&amp;'DFP-Com'!$A48,'Contract level'!BA:BA)</f>
        <v>0</v>
      </c>
      <c r="L48" s="202">
        <f>SUMIF('Contract level'!$A:$A,"="&amp;'DFP-Com'!$A48,'Contract level'!BB:BB)</f>
        <v>0</v>
      </c>
      <c r="M48" s="202">
        <f>SUMIF('Contract level'!$A:$A,"="&amp;'DFP-Com'!$A48,'Contract level'!BC:BC)</f>
        <v>0</v>
      </c>
      <c r="N48" s="202">
        <f>SUMIF('Contract level'!$A:$A,"="&amp;'DFP-Com'!$A48,'Contract level'!BD:BD)</f>
        <v>0</v>
      </c>
      <c r="O48" s="299">
        <f>SUMIF('Contract level'!$A:$A,"="&amp;'DFP-Com'!$A48,'Contract level'!BE:BE)</f>
        <v>0</v>
      </c>
      <c r="P48" s="299">
        <f>SUM(H48:O48)+D48+C48</f>
        <v>120000</v>
      </c>
      <c r="Q48" s="271"/>
      <c r="R48" s="289"/>
      <c r="S48" s="206"/>
    </row>
    <row r="49" spans="1:19" s="207" customFormat="1" outlineLevel="1" x14ac:dyDescent="0.2">
      <c r="A49" s="204" t="s">
        <v>160</v>
      </c>
      <c r="B49" s="215" t="s">
        <v>140</v>
      </c>
      <c r="C49" s="201">
        <v>29396.45</v>
      </c>
      <c r="D49" s="299">
        <v>0</v>
      </c>
      <c r="E49" s="298">
        <v>0</v>
      </c>
      <c r="F49" s="298">
        <v>0</v>
      </c>
      <c r="G49" s="298">
        <v>0</v>
      </c>
      <c r="H49" s="202">
        <f>SUMIF('Contract level'!$A:$A,"="&amp;'DFP-Com'!$A49,'Contract level'!AX:AX)</f>
        <v>0</v>
      </c>
      <c r="I49" s="202">
        <f>SUMIF('Contract level'!$A:$A,"="&amp;'DFP-Com'!$A49,'Contract level'!AY:AY)</f>
        <v>0</v>
      </c>
      <c r="J49" s="202">
        <f>SUMIF('Contract level'!$A:$A,"="&amp;'DFP-Com'!$A49,'Contract level'!AZ:AZ)</f>
        <v>0</v>
      </c>
      <c r="K49" s="202">
        <f>SUMIF('Contract level'!$A:$A,"="&amp;'DFP-Com'!$A49,'Contract level'!BA:BA)</f>
        <v>5000</v>
      </c>
      <c r="L49" s="202">
        <f>SUMIF('Contract level'!$A:$A,"="&amp;'DFP-Com'!$A49,'Contract level'!BB:BB)</f>
        <v>2000</v>
      </c>
      <c r="M49" s="202">
        <f>SUMIF('Contract level'!$A:$A,"="&amp;'DFP-Com'!$A49,'Contract level'!BC:BC)</f>
        <v>2000</v>
      </c>
      <c r="N49" s="202">
        <f>SUMIF('Contract level'!$A:$A,"="&amp;'DFP-Com'!$A49,'Contract level'!BD:BD)</f>
        <v>2000</v>
      </c>
      <c r="O49" s="299">
        <f>SUMIF('Contract level'!$A:$A,"="&amp;'DFP-Com'!$A49,'Contract level'!BE:BE)</f>
        <v>1327.9</v>
      </c>
      <c r="P49" s="299">
        <f>SUM(H49:O49)+D49+C49</f>
        <v>41724.35</v>
      </c>
      <c r="Q49" s="271"/>
      <c r="R49" s="289"/>
      <c r="S49" s="206"/>
    </row>
    <row r="50" spans="1:19" s="63" customFormat="1" x14ac:dyDescent="0.2">
      <c r="A50" s="10"/>
      <c r="B50" s="66" t="s">
        <v>93</v>
      </c>
      <c r="C50" s="197">
        <f t="shared" ref="C50:R50" si="27">C45</f>
        <v>329165.52</v>
      </c>
      <c r="D50" s="197">
        <f t="shared" si="27"/>
        <v>189953.34</v>
      </c>
      <c r="E50" s="197">
        <f t="shared" si="27"/>
        <v>50000</v>
      </c>
      <c r="F50" s="197">
        <f t="shared" si="27"/>
        <v>24000</v>
      </c>
      <c r="G50" s="197">
        <f t="shared" si="27"/>
        <v>5000</v>
      </c>
      <c r="H50" s="197">
        <f t="shared" si="27"/>
        <v>84991</v>
      </c>
      <c r="I50" s="197">
        <f t="shared" si="27"/>
        <v>29300</v>
      </c>
      <c r="J50" s="197">
        <f t="shared" si="27"/>
        <v>31800</v>
      </c>
      <c r="K50" s="197">
        <f t="shared" ref="K50:N50" si="28">K45</f>
        <v>75609</v>
      </c>
      <c r="L50" s="197">
        <f t="shared" si="28"/>
        <v>27553.660000000011</v>
      </c>
      <c r="M50" s="197">
        <f t="shared" si="28"/>
        <v>19344.36</v>
      </c>
      <c r="N50" s="197">
        <f t="shared" si="28"/>
        <v>13992.84</v>
      </c>
      <c r="O50" s="197">
        <f t="shared" ref="O50" si="29">O45</f>
        <v>2222.8200000000002</v>
      </c>
      <c r="P50" s="197">
        <f t="shared" si="27"/>
        <v>803932.54</v>
      </c>
      <c r="Q50" s="272">
        <f t="shared" si="27"/>
        <v>797500</v>
      </c>
      <c r="R50" s="290">
        <f t="shared" si="27"/>
        <v>-6432.5400000000373</v>
      </c>
      <c r="S50" s="62"/>
    </row>
    <row r="51" spans="1:19" s="37" customFormat="1" x14ac:dyDescent="0.2">
      <c r="A51" s="5"/>
      <c r="B51" s="53"/>
      <c r="C51" s="273"/>
      <c r="D51" s="216"/>
      <c r="E51" s="216"/>
      <c r="F51" s="216"/>
      <c r="G51" s="216"/>
      <c r="H51" s="216"/>
      <c r="I51" s="216"/>
      <c r="J51" s="216"/>
      <c r="K51" s="216"/>
      <c r="L51" s="216"/>
      <c r="M51" s="216"/>
      <c r="N51" s="216"/>
      <c r="O51" s="216"/>
      <c r="P51" s="218"/>
      <c r="Q51" s="269"/>
      <c r="R51" s="291"/>
      <c r="S51" s="36"/>
    </row>
    <row r="52" spans="1:19" s="227" customFormat="1" ht="13.5" customHeight="1" thickBot="1" x14ac:dyDescent="0.3">
      <c r="A52" s="223"/>
      <c r="B52" s="228" t="s">
        <v>133</v>
      </c>
      <c r="C52" s="225">
        <f t="shared" ref="C52:G52" si="30">C50+C42+C34+C25</f>
        <v>15323282.239999998</v>
      </c>
      <c r="D52" s="225">
        <f t="shared" si="30"/>
        <v>316174.01</v>
      </c>
      <c r="E52" s="225">
        <f t="shared" si="30"/>
        <v>5288000</v>
      </c>
      <c r="F52" s="225">
        <f t="shared" si="30"/>
        <v>200000</v>
      </c>
      <c r="G52" s="225">
        <f t="shared" si="30"/>
        <v>160000</v>
      </c>
      <c r="H52" s="225">
        <f t="shared" ref="H52:R52" si="31">H50+H42+H34+H25</f>
        <v>5672988.8300000001</v>
      </c>
      <c r="I52" s="225">
        <f t="shared" si="31"/>
        <v>2268800</v>
      </c>
      <c r="J52" s="225">
        <f t="shared" si="31"/>
        <v>73800</v>
      </c>
      <c r="K52" s="225">
        <f t="shared" ref="K52:N52" si="32">K50+K42+K34+K25</f>
        <v>97862</v>
      </c>
      <c r="L52" s="225">
        <f t="shared" si="32"/>
        <v>27553.660000000011</v>
      </c>
      <c r="M52" s="225">
        <f t="shared" si="32"/>
        <v>803664.52</v>
      </c>
      <c r="N52" s="225">
        <f t="shared" si="32"/>
        <v>191633.72</v>
      </c>
      <c r="O52" s="225">
        <f t="shared" ref="O52" si="33">O50+O42+O34+O25</f>
        <v>2222.8200000000002</v>
      </c>
      <c r="P52" s="225">
        <f t="shared" si="31"/>
        <v>24777981.799999997</v>
      </c>
      <c r="Q52" s="225">
        <f t="shared" si="31"/>
        <v>26197500</v>
      </c>
      <c r="R52" s="292">
        <f t="shared" si="31"/>
        <v>1419518.2000000004</v>
      </c>
      <c r="S52" s="226"/>
    </row>
    <row r="53" spans="1:19" ht="13.5" thickTop="1" x14ac:dyDescent="0.2">
      <c r="B53" s="7" t="s">
        <v>259</v>
      </c>
      <c r="C53" s="276"/>
      <c r="D53" s="267"/>
      <c r="H53" s="267"/>
      <c r="I53" s="267"/>
      <c r="J53" s="267"/>
      <c r="K53" s="267"/>
      <c r="L53" s="267"/>
      <c r="M53" s="267"/>
      <c r="N53" s="267"/>
      <c r="O53" s="267"/>
      <c r="P53" s="267"/>
      <c r="Q53" s="277"/>
      <c r="R53" s="293"/>
    </row>
    <row r="54" spans="1:19" ht="25.35" customHeight="1" x14ac:dyDescent="0.2">
      <c r="B54" s="395" t="s">
        <v>136</v>
      </c>
      <c r="C54" s="395"/>
      <c r="D54" s="395"/>
      <c r="E54" s="395"/>
      <c r="F54" s="395"/>
      <c r="G54" s="395"/>
      <c r="H54" s="267"/>
      <c r="I54" s="267"/>
      <c r="J54" s="267"/>
      <c r="K54" s="267"/>
      <c r="L54" s="267"/>
      <c r="M54" s="267"/>
      <c r="N54" s="267"/>
      <c r="O54" s="267"/>
      <c r="P54" s="267"/>
      <c r="Q54" s="277"/>
      <c r="R54" s="294"/>
    </row>
    <row r="55" spans="1:19" x14ac:dyDescent="0.2">
      <c r="B55" s="7"/>
      <c r="C55" s="276"/>
      <c r="D55" s="267"/>
      <c r="H55" s="267"/>
      <c r="I55" s="267"/>
      <c r="J55" s="267"/>
      <c r="K55" s="267"/>
      <c r="L55" s="267"/>
      <c r="M55" s="267"/>
      <c r="N55" s="267">
        <f>120000-42000</f>
        <v>78000</v>
      </c>
      <c r="O55" s="267"/>
      <c r="P55" s="267"/>
      <c r="Q55" s="277"/>
      <c r="R55" s="293"/>
    </row>
    <row r="56" spans="1:19" x14ac:dyDescent="0.2">
      <c r="B56" s="7"/>
      <c r="C56" s="276"/>
      <c r="D56" s="267"/>
      <c r="H56" s="267"/>
      <c r="I56" s="267"/>
      <c r="J56" s="267"/>
      <c r="K56" s="267"/>
      <c r="L56" s="267"/>
      <c r="M56" s="267"/>
      <c r="N56" s="267"/>
      <c r="O56" s="267"/>
      <c r="P56" s="267"/>
      <c r="Q56" s="277"/>
      <c r="R56" s="294"/>
    </row>
    <row r="57" spans="1:19" x14ac:dyDescent="0.2">
      <c r="B57" s="7"/>
      <c r="C57" s="276"/>
      <c r="D57" s="267"/>
      <c r="H57" s="267"/>
      <c r="I57" s="267"/>
      <c r="J57" s="267"/>
      <c r="K57" s="267"/>
      <c r="L57" s="267"/>
      <c r="M57" s="267"/>
      <c r="N57" s="267"/>
      <c r="O57" s="267"/>
      <c r="P57" s="267"/>
      <c r="Q57" s="277"/>
      <c r="R57" s="294"/>
    </row>
    <row r="58" spans="1:19" x14ac:dyDescent="0.2">
      <c r="B58" s="7"/>
      <c r="C58" s="276"/>
      <c r="D58" s="267"/>
      <c r="H58" s="267"/>
      <c r="I58" s="267"/>
      <c r="J58" s="267"/>
      <c r="K58" s="267"/>
      <c r="L58" s="267"/>
      <c r="M58" s="267"/>
      <c r="N58" s="267"/>
      <c r="O58" s="267"/>
      <c r="P58" s="267"/>
      <c r="Q58" s="277"/>
      <c r="R58" s="294"/>
    </row>
    <row r="59" spans="1:19" x14ac:dyDescent="0.2">
      <c r="B59" s="7"/>
      <c r="C59" s="276"/>
      <c r="D59" s="267"/>
      <c r="H59" s="267"/>
      <c r="I59" s="267"/>
      <c r="J59" s="267"/>
      <c r="K59" s="267"/>
      <c r="L59" s="267"/>
      <c r="M59" s="267"/>
      <c r="N59" s="267"/>
      <c r="O59" s="267"/>
      <c r="P59" s="267"/>
      <c r="Q59" s="277"/>
      <c r="R59" s="294"/>
    </row>
    <row r="60" spans="1:19" x14ac:dyDescent="0.2">
      <c r="B60" s="7"/>
      <c r="C60" s="276"/>
      <c r="D60" s="267"/>
      <c r="H60" s="267"/>
      <c r="I60" s="267"/>
      <c r="J60" s="267"/>
      <c r="K60" s="267"/>
      <c r="L60" s="267"/>
      <c r="M60" s="267"/>
      <c r="N60" s="267"/>
      <c r="O60" s="267"/>
      <c r="P60" s="267"/>
      <c r="Q60" s="277"/>
      <c r="R60" s="294"/>
    </row>
    <row r="61" spans="1:19" x14ac:dyDescent="0.2">
      <c r="B61" s="7"/>
      <c r="C61" s="276"/>
      <c r="D61" s="267"/>
      <c r="H61" s="267"/>
      <c r="I61" s="267"/>
      <c r="J61" s="267"/>
      <c r="K61" s="267"/>
      <c r="L61" s="267"/>
      <c r="M61" s="267"/>
      <c r="N61" s="267"/>
      <c r="O61" s="267"/>
      <c r="P61" s="267"/>
      <c r="Q61" s="277"/>
      <c r="R61" s="294"/>
    </row>
    <row r="62" spans="1:19" x14ac:dyDescent="0.2">
      <c r="B62" s="7"/>
      <c r="C62" s="276"/>
      <c r="D62" s="267"/>
      <c r="H62" s="267"/>
      <c r="I62" s="267"/>
      <c r="J62" s="267"/>
      <c r="K62" s="267"/>
      <c r="L62" s="267"/>
      <c r="M62" s="267"/>
      <c r="N62" s="267"/>
      <c r="O62" s="267"/>
      <c r="P62" s="267"/>
      <c r="Q62" s="277"/>
      <c r="R62" s="294"/>
    </row>
    <row r="63" spans="1:19" x14ac:dyDescent="0.2">
      <c r="B63" s="7"/>
      <c r="C63" s="276"/>
      <c r="D63" s="267"/>
      <c r="H63" s="267"/>
      <c r="I63" s="267"/>
      <c r="J63" s="267"/>
      <c r="K63" s="267"/>
      <c r="L63" s="267"/>
      <c r="M63" s="267"/>
      <c r="N63" s="267"/>
      <c r="O63" s="267"/>
      <c r="P63" s="267"/>
      <c r="Q63" s="277"/>
      <c r="R63" s="294"/>
    </row>
    <row r="64" spans="1:19" x14ac:dyDescent="0.2">
      <c r="B64" s="7"/>
      <c r="C64" s="276"/>
      <c r="D64" s="267"/>
      <c r="H64" s="267"/>
      <c r="I64" s="267"/>
      <c r="J64" s="267"/>
      <c r="K64" s="267"/>
      <c r="L64" s="267"/>
      <c r="M64" s="267"/>
      <c r="N64" s="267"/>
      <c r="O64" s="267"/>
      <c r="P64" s="267"/>
      <c r="Q64" s="277"/>
      <c r="R64" s="294"/>
    </row>
    <row r="65" spans="3:18" x14ac:dyDescent="0.2">
      <c r="C65" s="276"/>
      <c r="D65" s="267"/>
      <c r="H65" s="267"/>
      <c r="I65" s="267"/>
      <c r="J65" s="267"/>
      <c r="K65" s="267"/>
      <c r="L65" s="267"/>
      <c r="M65" s="267"/>
      <c r="N65" s="267"/>
      <c r="O65" s="267"/>
      <c r="P65" s="267"/>
      <c r="Q65" s="277"/>
      <c r="R65" s="294"/>
    </row>
    <row r="66" spans="3:18" x14ac:dyDescent="0.2">
      <c r="C66" s="276"/>
      <c r="D66" s="267"/>
      <c r="H66" s="267"/>
      <c r="I66" s="267"/>
      <c r="J66" s="267"/>
      <c r="K66" s="267"/>
      <c r="L66" s="267"/>
      <c r="M66" s="267"/>
      <c r="N66" s="267"/>
      <c r="O66" s="267"/>
      <c r="P66" s="267"/>
      <c r="Q66" s="277"/>
      <c r="R66" s="294"/>
    </row>
    <row r="67" spans="3:18" x14ac:dyDescent="0.2">
      <c r="C67" s="276"/>
      <c r="D67" s="267"/>
      <c r="H67" s="267"/>
      <c r="I67" s="267"/>
      <c r="J67" s="267"/>
      <c r="K67" s="267"/>
      <c r="L67" s="267"/>
      <c r="M67" s="267"/>
      <c r="N67" s="267"/>
      <c r="O67" s="267"/>
      <c r="P67" s="267"/>
      <c r="Q67" s="277"/>
      <c r="R67" s="294"/>
    </row>
    <row r="68" spans="3:18" x14ac:dyDescent="0.2">
      <c r="C68" s="276"/>
      <c r="D68" s="267"/>
      <c r="H68" s="267"/>
      <c r="I68" s="267"/>
      <c r="J68" s="267"/>
      <c r="K68" s="267"/>
      <c r="L68" s="267"/>
      <c r="M68" s="267"/>
      <c r="N68" s="267"/>
      <c r="O68" s="267"/>
      <c r="P68" s="267"/>
      <c r="Q68" s="277"/>
      <c r="R68" s="294"/>
    </row>
    <row r="69" spans="3:18" x14ac:dyDescent="0.2">
      <c r="C69" s="276"/>
      <c r="D69" s="267"/>
      <c r="H69" s="267"/>
      <c r="I69" s="267"/>
      <c r="J69" s="267"/>
      <c r="K69" s="267"/>
      <c r="L69" s="267"/>
      <c r="M69" s="267"/>
      <c r="N69" s="267"/>
      <c r="O69" s="267"/>
      <c r="P69" s="267"/>
      <c r="Q69" s="277"/>
      <c r="R69" s="294"/>
    </row>
    <row r="70" spans="3:18" x14ac:dyDescent="0.2">
      <c r="C70" s="276"/>
      <c r="D70" s="267"/>
      <c r="H70" s="267"/>
      <c r="I70" s="267"/>
      <c r="J70" s="267"/>
      <c r="K70" s="267"/>
      <c r="L70" s="267"/>
      <c r="M70" s="267"/>
      <c r="N70" s="267"/>
      <c r="O70" s="267"/>
      <c r="P70" s="267"/>
      <c r="Q70" s="277"/>
      <c r="R70" s="294"/>
    </row>
    <row r="71" spans="3:18" x14ac:dyDescent="0.2">
      <c r="R71" s="294"/>
    </row>
    <row r="72" spans="3:18" x14ac:dyDescent="0.2">
      <c r="R72" s="294"/>
    </row>
    <row r="73" spans="3:18" x14ac:dyDescent="0.2">
      <c r="R73" s="294"/>
    </row>
    <row r="74" spans="3:18" x14ac:dyDescent="0.2">
      <c r="R74" s="294"/>
    </row>
    <row r="75" spans="3:18" x14ac:dyDescent="0.2">
      <c r="R75" s="294"/>
    </row>
    <row r="76" spans="3:18" x14ac:dyDescent="0.2">
      <c r="R76" s="294"/>
    </row>
    <row r="77" spans="3:18" x14ac:dyDescent="0.2">
      <c r="R77" s="294"/>
    </row>
    <row r="87" spans="4:16" x14ac:dyDescent="0.2">
      <c r="H87" s="69"/>
      <c r="I87" s="69"/>
      <c r="J87" s="69"/>
      <c r="K87" s="69"/>
      <c r="L87" s="69"/>
      <c r="M87" s="69"/>
      <c r="N87" s="69"/>
      <c r="O87" s="69"/>
      <c r="P87" s="70"/>
    </row>
    <row r="88" spans="4:16" x14ac:dyDescent="0.2">
      <c r="D88" s="71"/>
    </row>
  </sheetData>
  <mergeCells count="7">
    <mergeCell ref="B54:G54"/>
    <mergeCell ref="R10:R11"/>
    <mergeCell ref="B9:B10"/>
    <mergeCell ref="Q10:Q11"/>
    <mergeCell ref="P10:P11"/>
    <mergeCell ref="E10:G10"/>
    <mergeCell ref="E9:H9"/>
  </mergeCells>
  <phoneticPr fontId="28" type="noConversion"/>
  <printOptions horizontalCentered="1"/>
  <pageMargins left="0.25" right="0.25"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
  <sheetViews>
    <sheetView showGridLines="0" tabSelected="1" topLeftCell="B12" zoomScale="70" zoomScaleNormal="70" zoomScalePageLayoutView="85" workbookViewId="0">
      <selection activeCell="B18" sqref="B18"/>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7" customWidth="1"/>
    <col min="4" max="4" width="17.5703125" style="1" customWidth="1"/>
    <col min="5" max="6" width="17.42578125" style="1" customWidth="1"/>
    <col min="7" max="7" width="17.42578125" style="267" customWidth="1"/>
    <col min="8" max="17" width="17.42578125" style="1" customWidth="1"/>
    <col min="18" max="18" width="19.42578125" style="6" customWidth="1"/>
    <col min="19" max="19" width="2.85546875" style="1" customWidth="1"/>
    <col min="20" max="20" width="17.42578125" style="10" hidden="1" customWidth="1"/>
    <col min="21" max="21" width="22.42578125" style="10" hidden="1" customWidth="1"/>
    <col min="22" max="30" width="11.42578125" style="5" hidden="1" customWidth="1"/>
    <col min="31" max="16384" width="0" style="5" hidden="1"/>
  </cols>
  <sheetData>
    <row r="1" spans="1:22" ht="13.5" hidden="1" outlineLevel="1" thickBot="1" x14ac:dyDescent="0.25">
      <c r="B1" s="2" t="s">
        <v>18</v>
      </c>
      <c r="C1" s="3"/>
      <c r="D1" s="4"/>
      <c r="E1" s="5"/>
      <c r="F1" s="5"/>
      <c r="G1" s="258"/>
    </row>
    <row r="2" spans="1:22" ht="13.5" hidden="1" outlineLevel="1" thickBot="1" x14ac:dyDescent="0.25">
      <c r="B2" s="8"/>
      <c r="C2" s="3"/>
      <c r="D2" s="4"/>
      <c r="E2" s="5"/>
      <c r="F2" s="5"/>
      <c r="G2" s="258"/>
      <c r="S2" s="9"/>
      <c r="V2" s="10"/>
    </row>
    <row r="3" spans="1:22" ht="12.75" hidden="1" customHeight="1" outlineLevel="1" x14ac:dyDescent="0.25">
      <c r="B3" s="11" t="s">
        <v>1</v>
      </c>
      <c r="C3" s="12"/>
      <c r="D3" s="13" t="s">
        <v>67</v>
      </c>
      <c r="E3" s="77"/>
      <c r="F3" s="77"/>
      <c r="G3" s="259"/>
    </row>
    <row r="4" spans="1:22" ht="12.75" hidden="1" customHeight="1" outlineLevel="1" x14ac:dyDescent="0.25">
      <c r="B4" s="14" t="s">
        <v>2</v>
      </c>
      <c r="C4" s="15"/>
      <c r="D4" s="16" t="s">
        <v>68</v>
      </c>
      <c r="E4" s="77"/>
      <c r="F4" s="77"/>
      <c r="G4" s="259"/>
    </row>
    <row r="5" spans="1:22" ht="12.75" hidden="1" customHeight="1" outlineLevel="1" x14ac:dyDescent="0.25">
      <c r="B5" s="17" t="s">
        <v>3</v>
      </c>
      <c r="C5" s="15"/>
      <c r="D5" s="16" t="str">
        <f>'THP DR'!B7</f>
        <v>TR14GTM15001</v>
      </c>
      <c r="E5" s="77"/>
      <c r="F5" s="77"/>
      <c r="G5" s="259"/>
    </row>
    <row r="6" spans="1:22" ht="12.75" hidden="1" customHeight="1" outlineLevel="1" x14ac:dyDescent="0.25">
      <c r="B6" s="14" t="s">
        <v>4</v>
      </c>
      <c r="C6" s="15"/>
      <c r="D6" s="345">
        <f>'THP DR'!B10</f>
        <v>43273</v>
      </c>
      <c r="E6" s="81"/>
      <c r="F6" s="81"/>
      <c r="G6" s="259"/>
      <c r="S6" s="7"/>
      <c r="V6" s="10"/>
    </row>
    <row r="7" spans="1:22" ht="13.5" hidden="1" customHeight="1" outlineLevel="1" thickBot="1" x14ac:dyDescent="0.25">
      <c r="B7" s="18" t="s">
        <v>5</v>
      </c>
      <c r="C7" s="19"/>
      <c r="D7" s="189">
        <f>'THP DR'!B13</f>
        <v>9</v>
      </c>
      <c r="E7" s="311"/>
      <c r="F7" s="311"/>
      <c r="G7" s="259"/>
      <c r="S7" s="20"/>
    </row>
    <row r="8" spans="1:22" ht="12.75" hidden="1" customHeight="1" outlineLevel="1" x14ac:dyDescent="0.2">
      <c r="B8" s="5"/>
      <c r="C8" s="21"/>
      <c r="D8" s="22"/>
      <c r="E8" s="22"/>
      <c r="F8" s="22"/>
      <c r="G8" s="260"/>
      <c r="S8" s="20"/>
    </row>
    <row r="9" spans="1:22" ht="12.75" hidden="1" customHeight="1" outlineLevel="1" x14ac:dyDescent="0.2">
      <c r="B9" s="23"/>
      <c r="C9" s="23"/>
      <c r="D9" s="23"/>
      <c r="E9" s="23"/>
      <c r="F9" s="23"/>
      <c r="G9" s="261"/>
      <c r="R9" s="24"/>
      <c r="S9" s="20"/>
    </row>
    <row r="10" spans="1:22" s="329" customFormat="1" ht="13.5" hidden="1" customHeight="1" outlineLevel="1" x14ac:dyDescent="0.2">
      <c r="A10" s="25"/>
      <c r="B10" s="26"/>
      <c r="C10" s="27"/>
      <c r="D10" s="28"/>
      <c r="E10" s="28"/>
      <c r="F10" s="28"/>
      <c r="G10" s="262"/>
      <c r="H10" s="25"/>
      <c r="I10" s="25"/>
      <c r="J10" s="25"/>
      <c r="K10" s="25"/>
      <c r="L10" s="25"/>
      <c r="M10" s="25"/>
      <c r="N10" s="25"/>
      <c r="O10" s="25"/>
      <c r="P10" s="25"/>
      <c r="Q10" s="25"/>
      <c r="R10" s="24"/>
      <c r="S10" s="20"/>
      <c r="T10" s="10"/>
      <c r="U10" s="10"/>
    </row>
    <row r="11" spans="1:22" ht="15.75" hidden="1" outlineLevel="1" x14ac:dyDescent="0.2">
      <c r="A11" s="5"/>
      <c r="B11" s="397" t="s">
        <v>19</v>
      </c>
      <c r="C11" s="29" t="s">
        <v>7</v>
      </c>
      <c r="D11" s="30" t="s">
        <v>8</v>
      </c>
      <c r="E11" s="409" t="s">
        <v>9</v>
      </c>
      <c r="F11" s="410"/>
      <c r="G11" s="410"/>
      <c r="H11" s="410"/>
      <c r="I11" s="324"/>
      <c r="J11" s="324"/>
      <c r="K11" s="324"/>
      <c r="L11" s="230"/>
      <c r="M11" s="230"/>
      <c r="N11" s="230"/>
      <c r="O11" s="230"/>
      <c r="P11" s="31" t="s">
        <v>10</v>
      </c>
      <c r="Q11" s="31" t="s">
        <v>10</v>
      </c>
      <c r="R11" s="31" t="s">
        <v>11</v>
      </c>
      <c r="S11" s="32"/>
      <c r="T11" s="5"/>
      <c r="U11" s="5"/>
    </row>
    <row r="12" spans="1:22" ht="87" customHeight="1" collapsed="1" x14ac:dyDescent="0.2">
      <c r="A12" s="5"/>
      <c r="B12" s="397"/>
      <c r="C12" s="33" t="s">
        <v>221</v>
      </c>
      <c r="D12" s="34" t="s">
        <v>261</v>
      </c>
      <c r="E12" s="406" t="str">
        <f>"Grant Quarter #"&amp;$D$7</f>
        <v>Grant Quarter #9</v>
      </c>
      <c r="F12" s="407"/>
      <c r="G12" s="408"/>
      <c r="H12" s="381" t="s">
        <v>257</v>
      </c>
      <c r="I12" s="327" t="s">
        <v>70</v>
      </c>
      <c r="J12" s="327" t="s">
        <v>71</v>
      </c>
      <c r="K12" s="327" t="s">
        <v>72</v>
      </c>
      <c r="L12" s="327" t="s">
        <v>73</v>
      </c>
      <c r="M12" s="327" t="s">
        <v>74</v>
      </c>
      <c r="N12" s="327" t="s">
        <v>216</v>
      </c>
      <c r="O12" s="327" t="s">
        <v>217</v>
      </c>
      <c r="P12" s="404" t="s">
        <v>20</v>
      </c>
      <c r="Q12" s="405" t="s">
        <v>119</v>
      </c>
      <c r="R12" s="403" t="s">
        <v>15</v>
      </c>
      <c r="S12" s="35"/>
      <c r="T12" s="5"/>
      <c r="U12" s="5"/>
    </row>
    <row r="13" spans="1:22" ht="25.5" x14ac:dyDescent="0.2">
      <c r="A13" s="5"/>
      <c r="B13" s="38" t="s">
        <v>16</v>
      </c>
      <c r="C13" s="39" t="s">
        <v>272</v>
      </c>
      <c r="D13" s="40" t="s">
        <v>276</v>
      </c>
      <c r="E13" s="268" t="s">
        <v>273</v>
      </c>
      <c r="F13" s="268" t="s">
        <v>274</v>
      </c>
      <c r="G13" s="268" t="s">
        <v>275</v>
      </c>
      <c r="H13" s="381" t="s">
        <v>255</v>
      </c>
      <c r="I13" s="327" t="s">
        <v>64</v>
      </c>
      <c r="J13" s="327" t="s">
        <v>65</v>
      </c>
      <c r="K13" s="327" t="s">
        <v>66</v>
      </c>
      <c r="L13" s="327" t="s">
        <v>256</v>
      </c>
      <c r="M13" s="327" t="s">
        <v>218</v>
      </c>
      <c r="N13" s="327" t="s">
        <v>219</v>
      </c>
      <c r="O13" s="327" t="s">
        <v>258</v>
      </c>
      <c r="P13" s="404"/>
      <c r="Q13" s="405"/>
      <c r="R13" s="403"/>
      <c r="S13" s="35"/>
      <c r="T13" s="5"/>
      <c r="U13" s="5"/>
    </row>
    <row r="14" spans="1:22" s="330" customFormat="1" ht="15" x14ac:dyDescent="0.25">
      <c r="A14"/>
      <c r="B14" s="188" t="s">
        <v>95</v>
      </c>
      <c r="C14" s="188" t="s">
        <v>96</v>
      </c>
      <c r="D14" s="188" t="s">
        <v>97</v>
      </c>
      <c r="E14" s="263" t="s">
        <v>98</v>
      </c>
      <c r="F14" s="263" t="s">
        <v>99</v>
      </c>
      <c r="G14" s="257" t="s">
        <v>100</v>
      </c>
      <c r="H14" s="263" t="s">
        <v>101</v>
      </c>
      <c r="I14" s="263" t="s">
        <v>102</v>
      </c>
      <c r="J14" s="257" t="s">
        <v>103</v>
      </c>
      <c r="K14" s="188" t="s">
        <v>104</v>
      </c>
      <c r="L14" s="188" t="s">
        <v>105</v>
      </c>
      <c r="M14" s="263" t="s">
        <v>106</v>
      </c>
      <c r="N14" s="263" t="s">
        <v>107</v>
      </c>
      <c r="O14" s="257" t="s">
        <v>108</v>
      </c>
      <c r="P14" s="188" t="s">
        <v>109</v>
      </c>
      <c r="Q14" s="194" t="s">
        <v>110</v>
      </c>
      <c r="R14" s="188" t="s">
        <v>111</v>
      </c>
      <c r="S14" s="35"/>
    </row>
    <row r="15" spans="1:22" x14ac:dyDescent="0.2">
      <c r="A15" s="5"/>
      <c r="B15" s="42"/>
      <c r="C15" s="43"/>
      <c r="D15" s="42"/>
      <c r="E15" s="264"/>
      <c r="F15" s="264"/>
      <c r="G15" s="264"/>
      <c r="H15" s="42"/>
      <c r="I15" s="42"/>
      <c r="J15" s="42"/>
      <c r="K15" s="42"/>
      <c r="L15" s="42"/>
      <c r="M15" s="42"/>
      <c r="N15" s="42"/>
      <c r="O15" s="42"/>
      <c r="P15" s="42"/>
      <c r="Q15" s="42"/>
      <c r="R15" s="295"/>
      <c r="S15" s="35"/>
      <c r="T15" s="5"/>
      <c r="U15" s="5"/>
    </row>
    <row r="16" spans="1:22" x14ac:dyDescent="0.2">
      <c r="A16" s="5"/>
      <c r="B16" s="44" t="s">
        <v>76</v>
      </c>
      <c r="C16" s="45"/>
      <c r="D16" s="46"/>
      <c r="E16" s="265"/>
      <c r="F16" s="265"/>
      <c r="G16" s="265"/>
      <c r="H16" s="46"/>
      <c r="I16" s="46"/>
      <c r="J16" s="46"/>
      <c r="K16" s="46"/>
      <c r="L16" s="46"/>
      <c r="M16" s="46"/>
      <c r="N16" s="46"/>
      <c r="O16" s="46"/>
      <c r="P16" s="47"/>
      <c r="Q16" s="195"/>
      <c r="R16" s="296"/>
      <c r="S16" s="35"/>
      <c r="T16" s="5"/>
      <c r="U16" s="5"/>
    </row>
    <row r="17" spans="1:21" s="205" customFormat="1" outlineLevel="1" x14ac:dyDescent="0.2">
      <c r="A17" s="204"/>
      <c r="B17" s="49" t="s">
        <v>77</v>
      </c>
      <c r="C17" s="196">
        <f>SUM(C18:C20)</f>
        <v>1373480.72</v>
      </c>
      <c r="D17" s="196">
        <f>SUM(D18:D20)</f>
        <v>544209.34</v>
      </c>
      <c r="E17" s="196">
        <f>SUM(E18:E20)</f>
        <v>520294.61</v>
      </c>
      <c r="F17" s="196">
        <f t="shared" ref="F17:J17" si="0">SUM(F18:F20)</f>
        <v>2000</v>
      </c>
      <c r="G17" s="196">
        <f t="shared" si="0"/>
        <v>502000</v>
      </c>
      <c r="H17" s="196">
        <f t="shared" si="0"/>
        <v>1027294.3387500001</v>
      </c>
      <c r="I17" s="196">
        <f t="shared" si="0"/>
        <v>1654526.9178626284</v>
      </c>
      <c r="J17" s="196">
        <f t="shared" si="0"/>
        <v>1228612.1878626281</v>
      </c>
      <c r="K17" s="196">
        <f t="shared" ref="K17" si="1">SUM(K18:K20)</f>
        <v>1280441.6492278157</v>
      </c>
      <c r="L17" s="196">
        <f t="shared" ref="L17:M17" si="2">SUM(L18:L20)</f>
        <v>1228612.1878626281</v>
      </c>
      <c r="M17" s="196">
        <f t="shared" si="2"/>
        <v>1731611.9166126279</v>
      </c>
      <c r="N17" s="196">
        <f t="shared" ref="N17:O17" si="3">SUM(N18:N20)</f>
        <v>1954224.646975256</v>
      </c>
      <c r="O17" s="196">
        <f t="shared" si="3"/>
        <v>0</v>
      </c>
      <c r="P17" s="196">
        <f>SUM(P18:P20)</f>
        <v>12023013.905153584</v>
      </c>
      <c r="Q17" s="198">
        <f>'QFR - B'!G15</f>
        <v>12000000</v>
      </c>
      <c r="R17" s="284">
        <f>Q17-P17</f>
        <v>-23013.905153583735</v>
      </c>
      <c r="S17" s="35"/>
    </row>
    <row r="18" spans="1:21" s="205" customFormat="1" outlineLevel="1" x14ac:dyDescent="0.2">
      <c r="A18" s="204"/>
      <c r="B18" s="200" t="s">
        <v>112</v>
      </c>
      <c r="C18" s="201">
        <v>1373480.72</v>
      </c>
      <c r="D18" s="299">
        <v>544209.34</v>
      </c>
      <c r="E18" s="299">
        <v>518294.61</v>
      </c>
      <c r="F18" s="299">
        <v>0</v>
      </c>
      <c r="G18" s="299">
        <v>0</v>
      </c>
      <c r="H18" s="202">
        <f>SUMIF('Contract level'!$A:$A,"="&amp;'DFP-Com'!$A16,'Contract level'!AH:AH)</f>
        <v>518294.61000000004</v>
      </c>
      <c r="I18" s="202">
        <f>SUMIF('Contract level'!$A:$A,"="&amp;'DFP-Com'!$A16,'Contract level'!AI:AI)</f>
        <v>1151527.1891126283</v>
      </c>
      <c r="J18" s="202">
        <f>SUMIF('Contract level'!$A:$A,"="&amp;'DFP-Com'!$A16,'Contract level'!AJ:AJ)</f>
        <v>725612.45911262801</v>
      </c>
      <c r="K18" s="202">
        <f>SUMIF('Contract level'!$A:$A,"="&amp;'DFP-Com'!$A16,'Contract level'!AK:AK)</f>
        <v>777441.92047781579</v>
      </c>
      <c r="L18" s="202">
        <f>SUMIF('Contract level'!$A:$A,"="&amp;'DFP-Com'!$A16,'Contract level'!AL:AL)</f>
        <v>725612.45911262801</v>
      </c>
      <c r="M18" s="202">
        <f>SUMIF('Contract level'!$A:$A,"="&amp;'DFP-Com'!$A16,'Contract level'!AM:AM)</f>
        <v>725612.45911262801</v>
      </c>
      <c r="N18" s="299">
        <f>SUMIF('Contract level'!$A:$A,"="&amp;'DFP-Com'!$A16,'Contract level'!AN:AN)</f>
        <v>1451224.918225256</v>
      </c>
      <c r="O18" s="299">
        <f>SUMIF('Contract level'!$A:$A,"="&amp;'DFP-Com'!$A16,'Contract level'!AO:AO)</f>
        <v>0</v>
      </c>
      <c r="P18" s="202">
        <f>SUM(H18:O18)+D18+C18</f>
        <v>7993016.0751535837</v>
      </c>
      <c r="Q18" s="203">
        <v>0</v>
      </c>
      <c r="R18" s="285"/>
      <c r="S18" s="35"/>
    </row>
    <row r="19" spans="1:21" s="205" customFormat="1" outlineLevel="1" x14ac:dyDescent="0.2">
      <c r="A19" s="204"/>
      <c r="B19" s="200" t="s">
        <v>113</v>
      </c>
      <c r="C19" s="201"/>
      <c r="D19" s="299">
        <v>0</v>
      </c>
      <c r="E19" s="202">
        <v>0</v>
      </c>
      <c r="F19" s="202">
        <v>0</v>
      </c>
      <c r="G19" s="202">
        <v>500000</v>
      </c>
      <c r="H19" s="202">
        <f>SUMIF('Contract level'!$A:$A,"="&amp;'DFP-Com'!$A17,'Contract level'!AH:AH)</f>
        <v>502999.72875000001</v>
      </c>
      <c r="I19" s="202">
        <f>SUMIF('Contract level'!$A:$A,"="&amp;'DFP-Com'!$A17,'Contract level'!AI:AI)</f>
        <v>502999.72875000001</v>
      </c>
      <c r="J19" s="202">
        <f>SUMIF('Contract level'!$A:$A,"="&amp;'DFP-Com'!$A17,'Contract level'!AJ:AJ)</f>
        <v>502999.72875000001</v>
      </c>
      <c r="K19" s="202">
        <f>SUMIF('Contract level'!$A:$A,"="&amp;'DFP-Com'!$A17,'Contract level'!AK:AK)</f>
        <v>502999.72875000001</v>
      </c>
      <c r="L19" s="202">
        <f>SUMIF('Contract level'!$A:$A,"="&amp;'DFP-Com'!$A17,'Contract level'!AL:AL)</f>
        <v>502999.72875000001</v>
      </c>
      <c r="M19" s="202">
        <f>SUMIF('Contract level'!$A:$A,"="&amp;'DFP-Com'!$A17,'Contract level'!AM:AM)</f>
        <v>1005999.4575</v>
      </c>
      <c r="N19" s="299">
        <f>SUMIF('Contract level'!$A:$A,"="&amp;'DFP-Com'!$A17,'Contract level'!AN:AN)</f>
        <v>502999.72875000001</v>
      </c>
      <c r="O19" s="299">
        <f>SUMIF('Contract level'!$A:$A,"="&amp;'DFP-Com'!$A17,'Contract level'!AO:AO)</f>
        <v>0</v>
      </c>
      <c r="P19" s="299">
        <f>SUM(H19:O19)+D19+C19</f>
        <v>4023997.83</v>
      </c>
      <c r="Q19" s="203">
        <v>0</v>
      </c>
      <c r="R19" s="285"/>
      <c r="S19" s="35"/>
    </row>
    <row r="20" spans="1:21" s="205" customFormat="1" outlineLevel="1" x14ac:dyDescent="0.2">
      <c r="A20" s="204"/>
      <c r="B20" s="200" t="s">
        <v>120</v>
      </c>
      <c r="C20" s="201"/>
      <c r="D20" s="299">
        <v>0</v>
      </c>
      <c r="E20" s="299">
        <v>2000</v>
      </c>
      <c r="F20" s="299">
        <v>2000</v>
      </c>
      <c r="G20" s="299">
        <v>2000</v>
      </c>
      <c r="H20" s="202">
        <f>SUMIF('Contract level'!$A:$A,"="&amp;'DFP-Com'!$A18,'Contract level'!AH:AH)</f>
        <v>6000</v>
      </c>
      <c r="I20" s="202">
        <f>SUMIF('Contract level'!$A:$A,"="&amp;'DFP-Com'!$A18,'Contract level'!AI:AI)</f>
        <v>0</v>
      </c>
      <c r="J20" s="202">
        <f>SUMIF('Contract level'!$A:$A,"="&amp;'DFP-Com'!$A18,'Contract level'!AJ:AJ)</f>
        <v>0</v>
      </c>
      <c r="K20" s="202">
        <f>SUMIF('Contract level'!$A:$A,"="&amp;'DFP-Com'!$A18,'Contract level'!AK:AK)</f>
        <v>0</v>
      </c>
      <c r="L20" s="202">
        <f>SUMIF('Contract level'!$A:$A,"="&amp;'DFP-Com'!$A18,'Contract level'!AL:AL)</f>
        <v>0</v>
      </c>
      <c r="M20" s="202">
        <f>SUMIF('Contract level'!$A:$A,"="&amp;'DFP-Com'!$A18,'Contract level'!AM:AM)</f>
        <v>0</v>
      </c>
      <c r="N20" s="299">
        <f>SUMIF('Contract level'!$A:$A,"="&amp;'DFP-Com'!$A18,'Contract level'!AN:AN)</f>
        <v>0</v>
      </c>
      <c r="O20" s="299">
        <f>SUMIF('Contract level'!$A:$A,"="&amp;'DFP-Com'!$A18,'Contract level'!AO:AO)</f>
        <v>0</v>
      </c>
      <c r="P20" s="299">
        <f>SUM(H20:O20)+D20+C20</f>
        <v>6000</v>
      </c>
      <c r="Q20" s="203">
        <v>0</v>
      </c>
      <c r="R20" s="285"/>
      <c r="S20" s="35"/>
    </row>
    <row r="21" spans="1:21" s="205" customFormat="1" ht="25.5" outlineLevel="1" x14ac:dyDescent="0.2">
      <c r="A21" s="204"/>
      <c r="B21" s="49" t="s">
        <v>78</v>
      </c>
      <c r="C21" s="196">
        <f>C22</f>
        <v>25130</v>
      </c>
      <c r="D21" s="196">
        <f>D22</f>
        <v>195294.9768</v>
      </c>
      <c r="E21" s="196">
        <f t="shared" ref="E21:O21" si="4">E22</f>
        <v>28228.400000000001</v>
      </c>
      <c r="F21" s="196">
        <f t="shared" si="4"/>
        <v>144703.74</v>
      </c>
      <c r="G21" s="196">
        <f t="shared" si="4"/>
        <v>59023.48</v>
      </c>
      <c r="H21" s="196">
        <f t="shared" si="4"/>
        <v>231955.62</v>
      </c>
      <c r="I21" s="196">
        <f t="shared" si="4"/>
        <v>743621.0904000001</v>
      </c>
      <c r="J21" s="196">
        <f t="shared" si="4"/>
        <v>553735.88919999998</v>
      </c>
      <c r="K21" s="196">
        <f t="shared" si="4"/>
        <v>623621.09440000006</v>
      </c>
      <c r="L21" s="196">
        <f t="shared" si="4"/>
        <v>476350.68399999995</v>
      </c>
      <c r="M21" s="196">
        <f t="shared" si="4"/>
        <v>620721.09440000006</v>
      </c>
      <c r="N21" s="196">
        <f t="shared" si="4"/>
        <v>647652.82079999999</v>
      </c>
      <c r="O21" s="196">
        <f t="shared" si="4"/>
        <v>0</v>
      </c>
      <c r="P21" s="196">
        <f>P22</f>
        <v>4118083.27</v>
      </c>
      <c r="Q21" s="198">
        <f>'QFR - B'!G16</f>
        <v>4300000</v>
      </c>
      <c r="R21" s="284">
        <f>Q21-P21</f>
        <v>181916.72999999998</v>
      </c>
      <c r="S21" s="68"/>
    </row>
    <row r="22" spans="1:21" s="205" customFormat="1" ht="12.95" customHeight="1" outlineLevel="1" x14ac:dyDescent="0.2">
      <c r="A22" s="204"/>
      <c r="B22" s="200" t="s">
        <v>121</v>
      </c>
      <c r="C22" s="201">
        <v>25130</v>
      </c>
      <c r="D22" s="299">
        <v>195294.9768</v>
      </c>
      <c r="E22" s="299">
        <v>28228.400000000001</v>
      </c>
      <c r="F22" s="299">
        <v>144703.74</v>
      </c>
      <c r="G22" s="299">
        <v>59023.48</v>
      </c>
      <c r="H22" s="202">
        <f>SUMIF('Contract level'!$A:$A,"="&amp;'DFP-Com'!$A20,'Contract level'!AH:AH)</f>
        <v>231955.62</v>
      </c>
      <c r="I22" s="202">
        <f>SUMIF('Contract level'!$A:$A,"="&amp;'DFP-Com'!$A20,'Contract level'!AI:AI)</f>
        <v>743621.0904000001</v>
      </c>
      <c r="J22" s="202">
        <f>SUMIF('Contract level'!$A:$A,"="&amp;'DFP-Com'!$A20,'Contract level'!AJ:AJ)</f>
        <v>553735.88919999998</v>
      </c>
      <c r="K22" s="202">
        <f>SUMIF('Contract level'!$A:$A,"="&amp;'DFP-Com'!$A20,'Contract level'!AK:AK)</f>
        <v>623621.09440000006</v>
      </c>
      <c r="L22" s="202">
        <f>SUMIF('Contract level'!$A:$A,"="&amp;'DFP-Com'!$A20,'Contract level'!AL:AL)</f>
        <v>476350.68399999995</v>
      </c>
      <c r="M22" s="202">
        <f>SUMIF('Contract level'!$A:$A,"="&amp;'DFP-Com'!$A20,'Contract level'!AM:AM)</f>
        <v>620721.09440000006</v>
      </c>
      <c r="N22" s="299">
        <f>SUMIF('Contract level'!$A:$A,"="&amp;'DFP-Com'!$A20,'Contract level'!AN:AN)</f>
        <v>647652.82079999999</v>
      </c>
      <c r="O22" s="299">
        <f>SUMIF('Contract level'!$A:$A,"="&amp;'DFP-Com'!$A20,'Contract level'!AO:AO)</f>
        <v>0</v>
      </c>
      <c r="P22" s="202">
        <f>SUM(H22:O22)+D22+C22</f>
        <v>4118083.27</v>
      </c>
      <c r="Q22" s="203">
        <v>0</v>
      </c>
      <c r="R22" s="285"/>
      <c r="S22" s="68"/>
    </row>
    <row r="23" spans="1:21" s="205" customFormat="1" outlineLevel="1" x14ac:dyDescent="0.2">
      <c r="A23" s="204"/>
      <c r="B23" s="49" t="s">
        <v>79</v>
      </c>
      <c r="C23" s="196">
        <f>SUM(C24:C26)</f>
        <v>422575.41</v>
      </c>
      <c r="D23" s="196">
        <f>SUM(D24:D26)</f>
        <v>225614.339992391</v>
      </c>
      <c r="E23" s="196">
        <f t="shared" ref="E23:P23" si="5">SUM(E24:E26)</f>
        <v>5865.87</v>
      </c>
      <c r="F23" s="196">
        <f t="shared" si="5"/>
        <v>213183.71</v>
      </c>
      <c r="G23" s="196">
        <f t="shared" si="5"/>
        <v>5865.9</v>
      </c>
      <c r="H23" s="196">
        <f t="shared" si="5"/>
        <v>224915.47999999992</v>
      </c>
      <c r="I23" s="196">
        <f t="shared" si="5"/>
        <v>1312236.5379439252</v>
      </c>
      <c r="J23" s="196">
        <f t="shared" si="5"/>
        <v>16500</v>
      </c>
      <c r="K23" s="196">
        <f t="shared" ref="K23" si="6">SUM(K24:K26)</f>
        <v>249732.57588785051</v>
      </c>
      <c r="L23" s="196">
        <f t="shared" ref="L23:M23" si="7">SUM(L24:L26)</f>
        <v>16500</v>
      </c>
      <c r="M23" s="196">
        <f t="shared" si="7"/>
        <v>16500</v>
      </c>
      <c r="N23" s="196">
        <f t="shared" ref="N23:O23" si="8">SUM(N24:N26)</f>
        <v>482965.1609345788</v>
      </c>
      <c r="O23" s="196">
        <f t="shared" si="8"/>
        <v>16500</v>
      </c>
      <c r="P23" s="196">
        <f t="shared" si="5"/>
        <v>2984039.5047587454</v>
      </c>
      <c r="Q23" s="198">
        <f>'QFR - B'!G17</f>
        <v>3000000</v>
      </c>
      <c r="R23" s="284">
        <f>Q23-P23</f>
        <v>15960.495241254568</v>
      </c>
      <c r="S23" s="68"/>
    </row>
    <row r="24" spans="1:21" s="205" customFormat="1" ht="12.95" customHeight="1" outlineLevel="1" x14ac:dyDescent="0.2">
      <c r="A24" s="204"/>
      <c r="B24" s="200" t="s">
        <v>114</v>
      </c>
      <c r="C24" s="201">
        <v>366755.66</v>
      </c>
      <c r="D24" s="299">
        <f>207317.839992391-3949.44</f>
        <v>203368.399992391</v>
      </c>
      <c r="E24" s="299"/>
      <c r="F24" s="299">
        <v>207317.84</v>
      </c>
      <c r="G24" s="299"/>
      <c r="H24" s="202">
        <f>SUMIF('Contract level'!$A:$A,"="&amp;'DFP-Com'!$A22,'Contract level'!AH:AH)</f>
        <v>207317.83999999991</v>
      </c>
      <c r="I24" s="202">
        <f>SUMIF('Contract level'!$A:$A,"="&amp;'DFP-Com'!$A22,'Contract level'!AI:AI)</f>
        <v>1295736.5379439252</v>
      </c>
      <c r="J24" s="202">
        <f>SUMIF('Contract level'!$A:$A,"="&amp;'DFP-Com'!$A22,'Contract level'!AJ:AJ)</f>
        <v>0</v>
      </c>
      <c r="K24" s="202">
        <f>SUMIF('Contract level'!$A:$A,"="&amp;'DFP-Com'!$A22,'Contract level'!AK:AK)</f>
        <v>233232.57588785051</v>
      </c>
      <c r="L24" s="202">
        <f>SUMIF('Contract level'!$A:$A,"="&amp;'DFP-Com'!$A22,'Contract level'!AL:AL)</f>
        <v>0</v>
      </c>
      <c r="M24" s="202">
        <f>SUMIF('Contract level'!$A:$A,"="&amp;'DFP-Com'!$A22,'Contract level'!AM:AM)</f>
        <v>0</v>
      </c>
      <c r="N24" s="299">
        <f>SUMIF('Contract level'!$A:$A,"="&amp;'DFP-Com'!$A22,'Contract level'!AN:AN)</f>
        <v>466465.1609345788</v>
      </c>
      <c r="O24" s="299">
        <f>SUMIF('Contract level'!$A:$A,"="&amp;'DFP-Com'!$A22,'Contract level'!AO:AO)</f>
        <v>0</v>
      </c>
      <c r="P24" s="202">
        <f>SUM(H24:O24)+D24+C24</f>
        <v>2772876.1747587454</v>
      </c>
      <c r="Q24" s="203">
        <v>0</v>
      </c>
      <c r="R24" s="285"/>
      <c r="S24" s="68"/>
    </row>
    <row r="25" spans="1:21" s="205" customFormat="1" ht="12.95" customHeight="1" outlineLevel="1" x14ac:dyDescent="0.2">
      <c r="A25" s="204"/>
      <c r="B25" s="200" t="s">
        <v>130</v>
      </c>
      <c r="C25" s="201">
        <v>55795.76</v>
      </c>
      <c r="D25" s="299">
        <f>17511.4+3949.44</f>
        <v>21460.84</v>
      </c>
      <c r="E25" s="299">
        <v>5865.87</v>
      </c>
      <c r="F25" s="299">
        <v>5865.87</v>
      </c>
      <c r="G25" s="299">
        <v>5865.9</v>
      </c>
      <c r="H25" s="202">
        <f>SUMIF('Contract level'!$A:$A,"="&amp;'DFP-Com'!$A23,'Contract level'!AH:AH)</f>
        <v>17597.64</v>
      </c>
      <c r="I25" s="202">
        <f>SUMIF('Contract level'!$A:$A,"="&amp;'DFP-Com'!$A23,'Contract level'!AI:AI)</f>
        <v>16500</v>
      </c>
      <c r="J25" s="202">
        <f>SUMIF('Contract level'!$A:$A,"="&amp;'DFP-Com'!$A23,'Contract level'!AJ:AJ)</f>
        <v>16500</v>
      </c>
      <c r="K25" s="202">
        <f>SUMIF('Contract level'!$A:$A,"="&amp;'DFP-Com'!$A23,'Contract level'!AK:AK)</f>
        <v>16500</v>
      </c>
      <c r="L25" s="202">
        <f>SUMIF('Contract level'!$A:$A,"="&amp;'DFP-Com'!$A23,'Contract level'!AL:AL)</f>
        <v>16500</v>
      </c>
      <c r="M25" s="202">
        <f>SUMIF('Contract level'!$A:$A,"="&amp;'DFP-Com'!$A23,'Contract level'!AM:AM)</f>
        <v>16500</v>
      </c>
      <c r="N25" s="299">
        <f>SUMIF('Contract level'!$A:$A,"="&amp;'DFP-Com'!$A23,'Contract level'!AN:AN)</f>
        <v>16500</v>
      </c>
      <c r="O25" s="299">
        <f>SUMIF('Contract level'!$A:$A,"="&amp;'DFP-Com'!$A23,'Contract level'!AO:AO)</f>
        <v>16500</v>
      </c>
      <c r="P25" s="299">
        <f>SUM(H25:O25)+D25+C25</f>
        <v>210354.24000000002</v>
      </c>
      <c r="Q25" s="203">
        <v>0</v>
      </c>
      <c r="R25" s="285"/>
      <c r="S25" s="68"/>
    </row>
    <row r="26" spans="1:21" s="205" customFormat="1" outlineLevel="1" x14ac:dyDescent="0.2">
      <c r="A26" s="204"/>
      <c r="B26" s="200" t="s">
        <v>129</v>
      </c>
      <c r="C26" s="201">
        <v>23.99</v>
      </c>
      <c r="D26" s="299">
        <v>785.1</v>
      </c>
      <c r="E26" s="202">
        <v>0</v>
      </c>
      <c r="F26" s="202">
        <v>0</v>
      </c>
      <c r="G26" s="202">
        <v>0</v>
      </c>
      <c r="H26" s="202">
        <f>SUMIF('Contract level'!$A:$A,"="&amp;'DFP-Com'!$A24,'Contract level'!AH:AH)</f>
        <v>0</v>
      </c>
      <c r="I26" s="202">
        <f>SUMIF('Contract level'!$A:$A,"="&amp;'DFP-Com'!$A24,'Contract level'!AI:AI)</f>
        <v>0</v>
      </c>
      <c r="J26" s="202">
        <f>SUMIF('Contract level'!$A:$A,"="&amp;'DFP-Com'!$A24,'Contract level'!AJ:AJ)</f>
        <v>0</v>
      </c>
      <c r="K26" s="202">
        <f>SUMIF('Contract level'!$A:$A,"="&amp;'DFP-Com'!$A24,'Contract level'!AK:AK)</f>
        <v>0</v>
      </c>
      <c r="L26" s="202">
        <f>SUMIF('Contract level'!$A:$A,"="&amp;'DFP-Com'!$A24,'Contract level'!AL:AL)</f>
        <v>0</v>
      </c>
      <c r="M26" s="202">
        <f>SUMIF('Contract level'!$A:$A,"="&amp;'DFP-Com'!$A24,'Contract level'!AM:AM)</f>
        <v>0</v>
      </c>
      <c r="N26" s="299">
        <f>SUMIF('Contract level'!$A:$A,"="&amp;'DFP-Com'!$A24,'Contract level'!AN:AN)</f>
        <v>0</v>
      </c>
      <c r="O26" s="299">
        <f>SUMIF('Contract level'!$A:$A,"="&amp;'DFP-Com'!$A24,'Contract level'!AO:AO)</f>
        <v>0</v>
      </c>
      <c r="P26" s="299">
        <f>SUM(H26:O26)+D26+C26</f>
        <v>809.09</v>
      </c>
      <c r="Q26" s="203">
        <v>0</v>
      </c>
      <c r="R26" s="285"/>
      <c r="S26" s="68"/>
    </row>
    <row r="27" spans="1:21" s="205" customFormat="1" x14ac:dyDescent="0.2">
      <c r="A27" s="204"/>
      <c r="B27" s="51" t="s">
        <v>62</v>
      </c>
      <c r="C27" s="197">
        <f>C23+C21+C17</f>
        <v>1821186.13</v>
      </c>
      <c r="D27" s="197">
        <f>D23+D21+D17</f>
        <v>965118.65679239098</v>
      </c>
      <c r="E27" s="197">
        <f t="shared" ref="E27:P27" si="9">E23+E21+E17</f>
        <v>554388.88</v>
      </c>
      <c r="F27" s="197">
        <f t="shared" si="9"/>
        <v>359887.44999999995</v>
      </c>
      <c r="G27" s="197">
        <f t="shared" si="9"/>
        <v>566889.38</v>
      </c>
      <c r="H27" s="197">
        <f t="shared" si="9"/>
        <v>1484165.43875</v>
      </c>
      <c r="I27" s="197">
        <f t="shared" si="9"/>
        <v>3710384.5462065535</v>
      </c>
      <c r="J27" s="197">
        <f t="shared" si="9"/>
        <v>1798848.0770626282</v>
      </c>
      <c r="K27" s="197">
        <f t="shared" ref="K27" si="10">K23+K21+K17</f>
        <v>2153795.319515666</v>
      </c>
      <c r="L27" s="197">
        <f t="shared" ref="L27:M27" si="11">L23+L21+L17</f>
        <v>1721462.871862628</v>
      </c>
      <c r="M27" s="197">
        <f t="shared" si="11"/>
        <v>2368833.0110126277</v>
      </c>
      <c r="N27" s="197">
        <f t="shared" ref="N27:O27" si="12">N23+N21+N17</f>
        <v>3084842.628709835</v>
      </c>
      <c r="O27" s="197">
        <f t="shared" si="12"/>
        <v>16500</v>
      </c>
      <c r="P27" s="197">
        <f t="shared" si="9"/>
        <v>19125136.679912329</v>
      </c>
      <c r="Q27" s="199">
        <f>Q17+Q21+Q23</f>
        <v>19300000</v>
      </c>
      <c r="R27" s="286">
        <f>R17+R21+R23</f>
        <v>174863.32008767081</v>
      </c>
      <c r="S27" s="68"/>
    </row>
    <row r="28" spans="1:21" x14ac:dyDescent="0.2">
      <c r="A28" s="48"/>
      <c r="B28" s="53"/>
      <c r="C28" s="54"/>
      <c r="D28" s="55"/>
      <c r="E28" s="216"/>
      <c r="F28" s="216"/>
      <c r="G28" s="216"/>
      <c r="H28" s="216"/>
      <c r="I28" s="216"/>
      <c r="J28" s="216"/>
      <c r="K28" s="216"/>
      <c r="L28" s="216"/>
      <c r="M28" s="216"/>
      <c r="N28" s="216"/>
      <c r="O28" s="216"/>
      <c r="P28" s="216"/>
      <c r="Q28" s="269"/>
      <c r="R28" s="287"/>
      <c r="S28" s="7"/>
      <c r="T28" s="5"/>
      <c r="U28" s="5"/>
    </row>
    <row r="29" spans="1:21" x14ac:dyDescent="0.2">
      <c r="A29" s="48"/>
      <c r="B29" s="44" t="s">
        <v>82</v>
      </c>
      <c r="C29" s="56"/>
      <c r="D29" s="57"/>
      <c r="E29" s="217"/>
      <c r="F29" s="217"/>
      <c r="G29" s="217"/>
      <c r="H29" s="217"/>
      <c r="I29" s="217"/>
      <c r="J29" s="217"/>
      <c r="K29" s="217"/>
      <c r="L29" s="217"/>
      <c r="M29" s="217"/>
      <c r="N29" s="217"/>
      <c r="O29" s="217"/>
      <c r="P29" s="217"/>
      <c r="Q29" s="270"/>
      <c r="R29" s="288"/>
      <c r="S29" s="7"/>
      <c r="T29" s="5"/>
      <c r="U29" s="5"/>
    </row>
    <row r="30" spans="1:21" outlineLevel="1" x14ac:dyDescent="0.2">
      <c r="A30" s="48"/>
      <c r="B30" s="49" t="s">
        <v>131</v>
      </c>
      <c r="C30" s="41">
        <f t="shared" ref="C30:P30" si="13">SUM(C31:C31)</f>
        <v>162713.12</v>
      </c>
      <c r="D30" s="41">
        <f t="shared" si="13"/>
        <v>49835.08</v>
      </c>
      <c r="E30" s="219">
        <f t="shared" si="13"/>
        <v>15716.219999999998</v>
      </c>
      <c r="F30" s="219">
        <f t="shared" si="13"/>
        <v>17716.219999999998</v>
      </c>
      <c r="G30" s="219">
        <f t="shared" si="13"/>
        <v>15716.219999999998</v>
      </c>
      <c r="H30" s="219">
        <f t="shared" si="13"/>
        <v>49148.673764567182</v>
      </c>
      <c r="I30" s="219">
        <f t="shared" si="13"/>
        <v>139648.67376456718</v>
      </c>
      <c r="J30" s="219">
        <f t="shared" si="13"/>
        <v>137243.53814602457</v>
      </c>
      <c r="K30" s="219">
        <f t="shared" si="13"/>
        <v>110500</v>
      </c>
      <c r="L30" s="219">
        <f t="shared" si="13"/>
        <v>110500</v>
      </c>
      <c r="M30" s="219">
        <f t="shared" si="13"/>
        <v>18000</v>
      </c>
      <c r="N30" s="219">
        <f t="shared" si="13"/>
        <v>0</v>
      </c>
      <c r="O30" s="219">
        <f t="shared" si="13"/>
        <v>0</v>
      </c>
      <c r="P30" s="219">
        <f t="shared" si="13"/>
        <v>777589.08567515889</v>
      </c>
      <c r="Q30" s="198">
        <f>'QFR - B'!G20</f>
        <v>800000</v>
      </c>
      <c r="R30" s="284">
        <f>Q30-P30</f>
        <v>22410.914324841113</v>
      </c>
      <c r="S30" s="242"/>
      <c r="T30" s="5"/>
      <c r="U30" s="5"/>
    </row>
    <row r="31" spans="1:21" s="205" customFormat="1" outlineLevel="1" x14ac:dyDescent="0.2">
      <c r="A31" s="204"/>
      <c r="B31" s="200" t="s">
        <v>124</v>
      </c>
      <c r="C31" s="208">
        <v>162713.12</v>
      </c>
      <c r="D31" s="209">
        <v>49835.08</v>
      </c>
      <c r="E31" s="299">
        <v>15716.219999999998</v>
      </c>
      <c r="F31" s="299">
        <v>17716.219999999998</v>
      </c>
      <c r="G31" s="299">
        <v>15716.219999999998</v>
      </c>
      <c r="H31" s="202">
        <f>SUMIF('Contract level'!$A:$A,"="&amp;'DFP-Com'!$A29,'Contract level'!AH:AH)</f>
        <v>49148.673764567182</v>
      </c>
      <c r="I31" s="202">
        <f>SUMIF('Contract level'!$A:$A,"="&amp;'DFP-Com'!$A29,'Contract level'!AI:AI)</f>
        <v>139648.67376456718</v>
      </c>
      <c r="J31" s="202">
        <f>SUMIF('Contract level'!$A:$A,"="&amp;'DFP-Com'!$A29,'Contract level'!AJ:AJ)</f>
        <v>137243.53814602457</v>
      </c>
      <c r="K31" s="202">
        <f>SUMIF('Contract level'!$A:$A,"="&amp;'DFP-Com'!$A29,'Contract level'!AK:AK)</f>
        <v>110500</v>
      </c>
      <c r="L31" s="202">
        <f>SUMIF('Contract level'!$A:$A,"="&amp;'DFP-Com'!$A29,'Contract level'!AL:AL)</f>
        <v>110500</v>
      </c>
      <c r="M31" s="202">
        <f>SUMIF('Contract level'!$A:$A,"="&amp;'DFP-Com'!$A29,'Contract level'!AM:AM)</f>
        <v>18000</v>
      </c>
      <c r="N31" s="299">
        <f>SUMIF('Contract level'!$A:$A,"="&amp;'DFP-Com'!$A29,'Contract level'!AN:AN)</f>
        <v>0</v>
      </c>
      <c r="O31" s="299">
        <f>SUMIF('Contract level'!$A:$A,"="&amp;'DFP-Com'!$A29,'Contract level'!AO:AO)</f>
        <v>0</v>
      </c>
      <c r="P31" s="202">
        <f>SUM(H31:O31)+D31+C31</f>
        <v>777589.08567515889</v>
      </c>
      <c r="Q31" s="203"/>
      <c r="R31" s="285"/>
      <c r="S31" s="242"/>
    </row>
    <row r="32" spans="1:21" outlineLevel="1" x14ac:dyDescent="0.2">
      <c r="A32" s="48"/>
      <c r="B32" s="49" t="s">
        <v>86</v>
      </c>
      <c r="C32" s="390">
        <f>SUM(C33:C35)</f>
        <v>463774.28</v>
      </c>
      <c r="D32" s="390">
        <f>SUM(D33:D35)</f>
        <v>66525.34</v>
      </c>
      <c r="E32" s="196">
        <f t="shared" ref="E32:J32" si="14">SUM(E33:E35)</f>
        <v>515135.5</v>
      </c>
      <c r="F32" s="196">
        <f t="shared" si="14"/>
        <v>218295.8</v>
      </c>
      <c r="G32" s="196">
        <f t="shared" si="14"/>
        <v>87250</v>
      </c>
      <c r="H32" s="196">
        <f t="shared" si="14"/>
        <v>820681.3</v>
      </c>
      <c r="I32" s="196">
        <f t="shared" si="14"/>
        <v>767274.79999999993</v>
      </c>
      <c r="J32" s="196">
        <f t="shared" si="14"/>
        <v>523500</v>
      </c>
      <c r="K32" s="196">
        <f t="shared" ref="K32" si="15">SUM(K33:K35)</f>
        <v>36750</v>
      </c>
      <c r="L32" s="196">
        <f t="shared" ref="L32:M32" si="16">SUM(L33:L35)</f>
        <v>76750</v>
      </c>
      <c r="M32" s="196">
        <f t="shared" si="16"/>
        <v>448716.95</v>
      </c>
      <c r="N32" s="196">
        <f t="shared" ref="N32:O32" si="17">SUM(N33:N35)</f>
        <v>385000</v>
      </c>
      <c r="O32" s="196">
        <f t="shared" si="17"/>
        <v>0</v>
      </c>
      <c r="P32" s="196">
        <f>SUM(P33:P35)</f>
        <v>3588972.6700000004</v>
      </c>
      <c r="Q32" s="198">
        <f>'QFR - B'!G21</f>
        <v>3600000</v>
      </c>
      <c r="R32" s="284">
        <f>Q32-P32</f>
        <v>11027.329999999609</v>
      </c>
      <c r="S32" s="242"/>
      <c r="T32" s="5"/>
      <c r="U32" s="5"/>
    </row>
    <row r="33" spans="1:21" s="205" customFormat="1" outlineLevel="1" x14ac:dyDescent="0.2">
      <c r="A33" s="204"/>
      <c r="B33" s="200" t="s">
        <v>125</v>
      </c>
      <c r="C33" s="208">
        <v>332362.40000000002</v>
      </c>
      <c r="D33" s="209">
        <v>66525.34</v>
      </c>
      <c r="E33" s="299"/>
      <c r="F33" s="299">
        <v>12250</v>
      </c>
      <c r="G33" s="299">
        <v>12250</v>
      </c>
      <c r="H33" s="202">
        <f>SUMIF('Contract level'!$A:$A,"="&amp;'DFP-Com'!$A31,'Contract level'!AH:AH)</f>
        <v>24500.000000000004</v>
      </c>
      <c r="I33" s="202">
        <f>SUMIF('Contract level'!$A:$A,"="&amp;'DFP-Com'!$A31,'Contract level'!AI:AI)</f>
        <v>111250.00000000004</v>
      </c>
      <c r="J33" s="202">
        <f>SUMIF('Contract level'!$A:$A,"="&amp;'DFP-Com'!$A31,'Contract level'!AJ:AJ)</f>
        <v>73500</v>
      </c>
      <c r="K33" s="202">
        <f>SUMIF('Contract level'!$A:$A,"="&amp;'DFP-Com'!$A31,'Contract level'!AK:AK)</f>
        <v>36750</v>
      </c>
      <c r="L33" s="202">
        <f>SUMIF('Contract level'!$A:$A,"="&amp;'DFP-Com'!$A31,'Contract level'!AL:AL)</f>
        <v>76750</v>
      </c>
      <c r="M33" s="202">
        <f>SUMIF('Contract level'!$A:$A,"="&amp;'DFP-Com'!$A31,'Contract level'!AM:AM)</f>
        <v>63716.95</v>
      </c>
      <c r="N33" s="299">
        <f>SUMIF('Contract level'!$A:$A,"="&amp;'DFP-Com'!$A31,'Contract level'!AN:AN)</f>
        <v>0</v>
      </c>
      <c r="O33" s="299">
        <f>SUMIF('Contract level'!$A:$A,"="&amp;'DFP-Com'!$A31,'Contract level'!AO:AO)</f>
        <v>0</v>
      </c>
      <c r="P33" s="202">
        <f>SUM(H33:O33)+D33+C33</f>
        <v>785354.69000000006</v>
      </c>
      <c r="Q33" s="203"/>
      <c r="R33" s="285"/>
      <c r="S33" s="242"/>
    </row>
    <row r="34" spans="1:21" s="205" customFormat="1" outlineLevel="1" x14ac:dyDescent="0.2">
      <c r="A34" s="204"/>
      <c r="B34" s="200" t="s">
        <v>126</v>
      </c>
      <c r="C34" s="208">
        <v>125450.24000000001</v>
      </c>
      <c r="D34" s="209">
        <v>0</v>
      </c>
      <c r="E34" s="299">
        <f>309089.7+206045.8</f>
        <v>515135.5</v>
      </c>
      <c r="F34" s="299">
        <v>206045.8</v>
      </c>
      <c r="G34" s="299"/>
      <c r="H34" s="202">
        <f>SUMIF('Contract level'!$A:$A,"="&amp;'DFP-Com'!$A32,'Contract level'!AH:AH)</f>
        <v>721181.3</v>
      </c>
      <c r="I34" s="202">
        <f>SUMIF('Contract level'!$A:$A,"="&amp;'DFP-Com'!$A32,'Contract level'!AI:AI)</f>
        <v>656024.79999999993</v>
      </c>
      <c r="J34" s="202">
        <f>SUMIF('Contract level'!$A:$A,"="&amp;'DFP-Com'!$A32,'Contract level'!AJ:AJ)</f>
        <v>450000</v>
      </c>
      <c r="K34" s="202">
        <f>SUMIF('Contract level'!$A:$A,"="&amp;'DFP-Com'!$A32,'Contract level'!AK:AK)</f>
        <v>0</v>
      </c>
      <c r="L34" s="202">
        <f>SUMIF('Contract level'!$A:$A,"="&amp;'DFP-Com'!$A32,'Contract level'!AL:AL)</f>
        <v>0</v>
      </c>
      <c r="M34" s="202">
        <f>SUMIF('Contract level'!$A:$A,"="&amp;'DFP-Com'!$A32,'Contract level'!AM:AM)</f>
        <v>385000</v>
      </c>
      <c r="N34" s="299">
        <f>SUMIF('Contract level'!$A:$A,"="&amp;'DFP-Com'!$A32,'Contract level'!AN:AN)</f>
        <v>385000</v>
      </c>
      <c r="O34" s="299">
        <f>SUMIF('Contract level'!$A:$A,"="&amp;'DFP-Com'!$A32,'Contract level'!AO:AO)</f>
        <v>0</v>
      </c>
      <c r="P34" s="299">
        <f>SUM(H34:O34)+D34+C34</f>
        <v>2722656.3400000003</v>
      </c>
      <c r="Q34" s="203"/>
      <c r="R34" s="285"/>
      <c r="S34" s="242"/>
    </row>
    <row r="35" spans="1:21" s="205" customFormat="1" outlineLevel="1" x14ac:dyDescent="0.2">
      <c r="A35" s="204"/>
      <c r="B35" s="200" t="s">
        <v>128</v>
      </c>
      <c r="C35" s="208">
        <v>5961.64</v>
      </c>
      <c r="D35" s="209">
        <v>0</v>
      </c>
      <c r="E35" s="202"/>
      <c r="F35" s="202"/>
      <c r="G35" s="202">
        <v>75000</v>
      </c>
      <c r="H35" s="202">
        <f>SUMIF('Contract level'!$A:$A,"="&amp;'DFP-Com'!$A33,'Contract level'!AH:AH)</f>
        <v>75000</v>
      </c>
      <c r="I35" s="202">
        <f>SUMIF('Contract level'!$A:$A,"="&amp;'DFP-Com'!$A33,'Contract level'!AI:AI)</f>
        <v>0</v>
      </c>
      <c r="J35" s="202">
        <f>SUMIF('Contract level'!$A:$A,"="&amp;'DFP-Com'!$A33,'Contract level'!AJ:AJ)</f>
        <v>0</v>
      </c>
      <c r="K35" s="202">
        <f>SUMIF('Contract level'!$A:$A,"="&amp;'DFP-Com'!$A33,'Contract level'!AK:AK)</f>
        <v>0</v>
      </c>
      <c r="L35" s="202">
        <f>SUMIF('Contract level'!$A:$A,"="&amp;'DFP-Com'!$A33,'Contract level'!AL:AL)</f>
        <v>0</v>
      </c>
      <c r="M35" s="202">
        <f>SUMIF('Contract level'!$A:$A,"="&amp;'DFP-Com'!$A33,'Contract level'!AM:AM)</f>
        <v>0</v>
      </c>
      <c r="N35" s="299">
        <f>SUMIF('Contract level'!$A:$A,"="&amp;'DFP-Com'!$A33,'Contract level'!AN:AN)</f>
        <v>0</v>
      </c>
      <c r="O35" s="299">
        <f>SUMIF('Contract level'!$A:$A,"="&amp;'DFP-Com'!$A33,'Contract level'!AO:AO)</f>
        <v>0</v>
      </c>
      <c r="P35" s="299">
        <f>SUM(H35:O35)+D35+C35</f>
        <v>80961.64</v>
      </c>
      <c r="Q35" s="203"/>
      <c r="R35" s="285"/>
      <c r="S35" s="68"/>
    </row>
    <row r="36" spans="1:21" x14ac:dyDescent="0.2">
      <c r="A36" s="48"/>
      <c r="B36" s="58" t="s">
        <v>63</v>
      </c>
      <c r="C36" s="52">
        <f>C32+C30</f>
        <v>626487.4</v>
      </c>
      <c r="D36" s="52">
        <f>D32+D30</f>
        <v>116360.42</v>
      </c>
      <c r="E36" s="197">
        <f t="shared" ref="E36:R36" si="18">E32+E30</f>
        <v>530851.72</v>
      </c>
      <c r="F36" s="197">
        <f t="shared" si="18"/>
        <v>236012.02</v>
      </c>
      <c r="G36" s="197">
        <f t="shared" si="18"/>
        <v>102966.22</v>
      </c>
      <c r="H36" s="197">
        <f t="shared" si="18"/>
        <v>869829.97376456717</v>
      </c>
      <c r="I36" s="197">
        <f t="shared" si="18"/>
        <v>906923.47376456717</v>
      </c>
      <c r="J36" s="197">
        <f t="shared" si="18"/>
        <v>660743.53814602457</v>
      </c>
      <c r="K36" s="197">
        <f t="shared" ref="K36" si="19">K32+K30</f>
        <v>147250</v>
      </c>
      <c r="L36" s="197">
        <f t="shared" si="18"/>
        <v>187250</v>
      </c>
      <c r="M36" s="197">
        <f t="shared" si="18"/>
        <v>466716.95</v>
      </c>
      <c r="N36" s="197">
        <f t="shared" ref="N36:O36" si="20">N32+N30</f>
        <v>385000</v>
      </c>
      <c r="O36" s="197">
        <f t="shared" si="20"/>
        <v>0</v>
      </c>
      <c r="P36" s="197">
        <f>P32+P30</f>
        <v>4366561.7556751594</v>
      </c>
      <c r="Q36" s="197">
        <f t="shared" si="18"/>
        <v>4400000</v>
      </c>
      <c r="R36" s="290">
        <f t="shared" si="18"/>
        <v>33438.244324840722</v>
      </c>
      <c r="S36" s="242"/>
      <c r="T36" s="5"/>
      <c r="U36" s="5"/>
    </row>
    <row r="37" spans="1:21" x14ac:dyDescent="0.2">
      <c r="A37" s="48"/>
      <c r="B37" s="53"/>
      <c r="C37" s="54"/>
      <c r="D37" s="55"/>
      <c r="E37" s="216"/>
      <c r="F37" s="216"/>
      <c r="G37" s="216"/>
      <c r="H37" s="216"/>
      <c r="I37" s="216"/>
      <c r="J37" s="216"/>
      <c r="K37" s="216"/>
      <c r="L37" s="216"/>
      <c r="M37" s="216"/>
      <c r="N37" s="216"/>
      <c r="O37" s="216"/>
      <c r="P37" s="216"/>
      <c r="Q37" s="269"/>
      <c r="R37" s="287"/>
      <c r="S37" s="7"/>
      <c r="T37" s="5"/>
      <c r="U37" s="5"/>
    </row>
    <row r="38" spans="1:21" s="10" customFormat="1" x14ac:dyDescent="0.2">
      <c r="A38" s="59"/>
      <c r="B38" s="44" t="s">
        <v>91</v>
      </c>
      <c r="C38" s="60"/>
      <c r="D38" s="61"/>
      <c r="E38" s="266"/>
      <c r="F38" s="266"/>
      <c r="G38" s="266"/>
      <c r="H38" s="266"/>
      <c r="I38" s="266"/>
      <c r="J38" s="266"/>
      <c r="K38" s="266"/>
      <c r="L38" s="266"/>
      <c r="M38" s="266"/>
      <c r="N38" s="266"/>
      <c r="O38" s="266"/>
      <c r="P38" s="217"/>
      <c r="Q38" s="270"/>
      <c r="R38" s="288"/>
      <c r="S38" s="7"/>
    </row>
    <row r="39" spans="1:21" s="10" customFormat="1" outlineLevel="1" x14ac:dyDescent="0.2">
      <c r="A39" s="59"/>
      <c r="B39" s="64" t="s">
        <v>92</v>
      </c>
      <c r="C39" s="50">
        <f t="shared" ref="C39:G39" si="21">SUM(C40:C43)</f>
        <v>86980.4</v>
      </c>
      <c r="D39" s="50">
        <f t="shared" si="21"/>
        <v>49499.399999999994</v>
      </c>
      <c r="E39" s="196">
        <f t="shared" si="21"/>
        <v>125987.31</v>
      </c>
      <c r="F39" s="196">
        <f t="shared" si="21"/>
        <v>16000</v>
      </c>
      <c r="G39" s="196">
        <f t="shared" si="21"/>
        <v>17000</v>
      </c>
      <c r="H39" s="196">
        <f>SUM(H40:H43)</f>
        <v>153987.31</v>
      </c>
      <c r="I39" s="196">
        <f t="shared" ref="I39:J39" si="22">SUM(I40:I42)</f>
        <v>21883.689999999981</v>
      </c>
      <c r="J39" s="196">
        <f t="shared" si="22"/>
        <v>5999.99999999998</v>
      </c>
      <c r="K39" s="196">
        <f t="shared" ref="K39" si="23">SUM(K40:K42)</f>
        <v>3999.9999999999986</v>
      </c>
      <c r="L39" s="196">
        <f t="shared" ref="L39:M39" si="24">SUM(L40:L42)</f>
        <v>0</v>
      </c>
      <c r="M39" s="196">
        <f t="shared" si="24"/>
        <v>0</v>
      </c>
      <c r="N39" s="196">
        <f t="shared" ref="N39:O39" si="25">SUM(N40:N42)</f>
        <v>160000</v>
      </c>
      <c r="O39" s="196">
        <f t="shared" si="25"/>
        <v>0</v>
      </c>
      <c r="P39" s="219">
        <f>SUM(P40:P43)</f>
        <v>482350.79999999993</v>
      </c>
      <c r="Q39" s="198">
        <f>'QFR - B'!G24</f>
        <v>1700000</v>
      </c>
      <c r="R39" s="284">
        <f>Q39-P39</f>
        <v>1217649.2000000002</v>
      </c>
      <c r="S39" s="7"/>
    </row>
    <row r="40" spans="1:21" s="212" customFormat="1" outlineLevel="1" x14ac:dyDescent="0.2">
      <c r="A40" s="210"/>
      <c r="B40" s="211" t="s">
        <v>115</v>
      </c>
      <c r="C40" s="208">
        <v>72000</v>
      </c>
      <c r="D40" s="208">
        <v>49116.31</v>
      </c>
      <c r="E40" s="298">
        <f>13000+66139.19+36000+7848.12</f>
        <v>122987.31</v>
      </c>
      <c r="F40" s="299">
        <v>13000</v>
      </c>
      <c r="G40" s="299">
        <v>13000</v>
      </c>
      <c r="H40" s="202">
        <f>SUMIF('Contract level'!$A:$A,"="&amp;'DFP-Com'!$A38,'Contract level'!AH:AH)</f>
        <v>143987.31</v>
      </c>
      <c r="I40" s="202">
        <f>SUMIF('Contract level'!$A:$A,"="&amp;'DFP-Com'!$A38,'Contract level'!AI:AI)</f>
        <v>21883.689999999981</v>
      </c>
      <c r="J40" s="202">
        <f>SUMIF('Contract level'!$A:$A,"="&amp;'DFP-Com'!$A38,'Contract level'!AJ:AJ)</f>
        <v>5999.99999999998</v>
      </c>
      <c r="K40" s="202">
        <f>SUMIF('Contract level'!$A:$A,"="&amp;'DFP-Com'!$A38,'Contract level'!AK:AK)</f>
        <v>3999.9999999999986</v>
      </c>
      <c r="L40" s="202">
        <f>SUMIF('Contract level'!$A:$A,"="&amp;'DFP-Com'!$A38,'Contract level'!AL:AL)</f>
        <v>0</v>
      </c>
      <c r="M40" s="202">
        <f>SUMIF('Contract level'!$A:$A,"="&amp;'DFP-Com'!$A38,'Contract level'!AM:AM)</f>
        <v>0</v>
      </c>
      <c r="N40" s="299">
        <f>SUMIF('Contract level'!$A:$A,"="&amp;'DFP-Com'!$A38,'Contract level'!AN:AN)</f>
        <v>0</v>
      </c>
      <c r="O40" s="299">
        <f>SUMIF('Contract level'!$A:$A,"="&amp;'DFP-Com'!$A38,'Contract level'!AO:AO)</f>
        <v>0</v>
      </c>
      <c r="P40" s="202">
        <f>SUM(H40:O40)+D40+C40</f>
        <v>296987.30999999994</v>
      </c>
      <c r="Q40" s="271"/>
      <c r="R40" s="289"/>
      <c r="S40" s="68"/>
    </row>
    <row r="41" spans="1:21" s="212" customFormat="1" outlineLevel="1" x14ac:dyDescent="0.2">
      <c r="A41" s="210"/>
      <c r="B41" s="211" t="s">
        <v>116</v>
      </c>
      <c r="C41" s="208"/>
      <c r="D41" s="208">
        <v>0</v>
      </c>
      <c r="E41" s="201"/>
      <c r="F41" s="201"/>
      <c r="G41" s="201"/>
      <c r="H41" s="202">
        <f>SUMIF('Contract level'!$A:$A,"="&amp;'DFP-Com'!$A39,'Contract level'!AH:AH)</f>
        <v>0</v>
      </c>
      <c r="I41" s="202">
        <f>SUMIF('Contract level'!$A:$A,"="&amp;'DFP-Com'!$A39,'Contract level'!AI:AI)</f>
        <v>0</v>
      </c>
      <c r="J41" s="202">
        <f>SUMIF('Contract level'!$A:$A,"="&amp;'DFP-Com'!$A39,'Contract level'!AJ:AJ)</f>
        <v>0</v>
      </c>
      <c r="K41" s="202">
        <f>SUMIF('Contract level'!$A:$A,"="&amp;'DFP-Com'!$A39,'Contract level'!AK:AK)</f>
        <v>0</v>
      </c>
      <c r="L41" s="202">
        <f>SUMIF('Contract level'!$A:$A,"="&amp;'DFP-Com'!$A39,'Contract level'!AL:AL)</f>
        <v>0</v>
      </c>
      <c r="M41" s="202">
        <f>SUMIF('Contract level'!$A:$A,"="&amp;'DFP-Com'!$A39,'Contract level'!AM:AM)</f>
        <v>0</v>
      </c>
      <c r="N41" s="299">
        <f>SUMIF('Contract level'!$A:$A,"="&amp;'DFP-Com'!$A39,'Contract level'!AN:AN)</f>
        <v>0</v>
      </c>
      <c r="O41" s="299">
        <f>SUMIF('Contract level'!$A:$A,"="&amp;'DFP-Com'!$A39,'Contract level'!AO:AO)</f>
        <v>0</v>
      </c>
      <c r="P41" s="299">
        <f>SUM(H41:O41)+D41+C41</f>
        <v>0</v>
      </c>
      <c r="Q41" s="271"/>
      <c r="R41" s="289"/>
      <c r="S41" s="68"/>
    </row>
    <row r="42" spans="1:21" s="212" customFormat="1" outlineLevel="1" x14ac:dyDescent="0.2">
      <c r="A42" s="210"/>
      <c r="B42" s="211" t="s">
        <v>117</v>
      </c>
      <c r="C42" s="208"/>
      <c r="D42" s="208">
        <v>0</v>
      </c>
      <c r="E42" s="201"/>
      <c r="F42" s="201"/>
      <c r="G42" s="201"/>
      <c r="H42" s="202">
        <f>SUMIF('Contract level'!$A:$A,"="&amp;'DFP-Com'!$A40,'Contract level'!AH:AH)</f>
        <v>0</v>
      </c>
      <c r="I42" s="202">
        <f>SUMIF('Contract level'!$A:$A,"="&amp;'DFP-Com'!$A40,'Contract level'!AI:AI)</f>
        <v>0</v>
      </c>
      <c r="J42" s="202">
        <f>SUMIF('Contract level'!$A:$A,"="&amp;'DFP-Com'!$A40,'Contract level'!AJ:AJ)</f>
        <v>0</v>
      </c>
      <c r="K42" s="202">
        <f>SUMIF('Contract level'!$A:$A,"="&amp;'DFP-Com'!$A40,'Contract level'!AK:AK)</f>
        <v>0</v>
      </c>
      <c r="L42" s="202">
        <f>SUMIF('Contract level'!$A:$A,"="&amp;'DFP-Com'!$A40,'Contract level'!AL:AL)</f>
        <v>0</v>
      </c>
      <c r="M42" s="202">
        <f>SUMIF('Contract level'!$A:$A,"="&amp;'DFP-Com'!$A40,'Contract level'!AM:AM)</f>
        <v>0</v>
      </c>
      <c r="N42" s="299">
        <f>SUMIF('Contract level'!$A:$A,"="&amp;'DFP-Com'!$A40,'Contract level'!AN:AN)</f>
        <v>160000</v>
      </c>
      <c r="O42" s="299">
        <f>SUMIF('Contract level'!$A:$A,"="&amp;'DFP-Com'!$A40,'Contract level'!AO:AO)</f>
        <v>0</v>
      </c>
      <c r="P42" s="299">
        <f>SUM(H42:O42)+D42+C42</f>
        <v>160000</v>
      </c>
      <c r="Q42" s="271"/>
      <c r="R42" s="289"/>
      <c r="S42" s="68"/>
    </row>
    <row r="43" spans="1:21" s="212" customFormat="1" outlineLevel="1" x14ac:dyDescent="0.2">
      <c r="A43" s="210"/>
      <c r="B43" s="211" t="s">
        <v>127</v>
      </c>
      <c r="C43" s="208">
        <v>14980.4</v>
      </c>
      <c r="D43" s="208">
        <v>383.09</v>
      </c>
      <c r="E43" s="201">
        <v>3000</v>
      </c>
      <c r="F43" s="201">
        <v>3000</v>
      </c>
      <c r="G43" s="201">
        <v>4000</v>
      </c>
      <c r="H43" s="202">
        <f>SUMIF('Contract level'!$A:$A,"="&amp;'DFP-Com'!$A41,'Contract level'!AH:AH)</f>
        <v>10000</v>
      </c>
      <c r="I43" s="202">
        <f>SUMIF('Contract level'!$A:$A,"="&amp;'DFP-Com'!$A41,'Contract level'!AI:AI)</f>
        <v>0</v>
      </c>
      <c r="J43" s="202">
        <f>SUMIF('Contract level'!$A:$A,"="&amp;'DFP-Com'!$A41,'Contract level'!AJ:AJ)</f>
        <v>0</v>
      </c>
      <c r="K43" s="202">
        <f>SUMIF('Contract level'!$A:$A,"="&amp;'DFP-Com'!$A41,'Contract level'!AK:AK)</f>
        <v>0</v>
      </c>
      <c r="L43" s="202">
        <f>SUMIF('Contract level'!$A:$A,"="&amp;'DFP-Com'!$A41,'Contract level'!AL:AL)</f>
        <v>0</v>
      </c>
      <c r="M43" s="202">
        <f>SUMIF('Contract level'!$A:$A,"="&amp;'DFP-Com'!$A41,'Contract level'!AM:AM)</f>
        <v>0</v>
      </c>
      <c r="N43" s="299">
        <f>SUMIF('Contract level'!$A:$A,"="&amp;'DFP-Com'!$A41,'Contract level'!AN:AN)</f>
        <v>0</v>
      </c>
      <c r="O43" s="299">
        <f>SUMIF('Contract level'!$A:$A,"="&amp;'DFP-Com'!$A41,'Contract level'!AO:AO)</f>
        <v>0</v>
      </c>
      <c r="P43" s="299">
        <f>SUM(H43:O43)+D43+C43</f>
        <v>25363.489999999998</v>
      </c>
      <c r="Q43" s="271"/>
      <c r="R43" s="289"/>
      <c r="S43" s="68"/>
    </row>
    <row r="44" spans="1:21" x14ac:dyDescent="0.2">
      <c r="A44" s="48"/>
      <c r="B44" s="58" t="s">
        <v>17</v>
      </c>
      <c r="C44" s="52">
        <f>C39</f>
        <v>86980.4</v>
      </c>
      <c r="D44" s="52">
        <f>D39</f>
        <v>49499.399999999994</v>
      </c>
      <c r="E44" s="197">
        <f t="shared" ref="E44:R44" si="26">E39</f>
        <v>125987.31</v>
      </c>
      <c r="F44" s="197">
        <f t="shared" si="26"/>
        <v>16000</v>
      </c>
      <c r="G44" s="197">
        <f t="shared" si="26"/>
        <v>17000</v>
      </c>
      <c r="H44" s="197">
        <f t="shared" si="26"/>
        <v>153987.31</v>
      </c>
      <c r="I44" s="197">
        <f t="shared" si="26"/>
        <v>21883.689999999981</v>
      </c>
      <c r="J44" s="197">
        <f t="shared" si="26"/>
        <v>5999.99999999998</v>
      </c>
      <c r="K44" s="197">
        <f t="shared" ref="K44" si="27">K39</f>
        <v>3999.9999999999986</v>
      </c>
      <c r="L44" s="197">
        <f t="shared" ref="L44:M44" si="28">L39</f>
        <v>0</v>
      </c>
      <c r="M44" s="197">
        <f t="shared" si="28"/>
        <v>0</v>
      </c>
      <c r="N44" s="197">
        <f t="shared" ref="N44:O44" si="29">N39</f>
        <v>160000</v>
      </c>
      <c r="O44" s="197">
        <f t="shared" si="29"/>
        <v>0</v>
      </c>
      <c r="P44" s="197">
        <f t="shared" si="26"/>
        <v>482350.79999999993</v>
      </c>
      <c r="Q44" s="272">
        <f t="shared" si="26"/>
        <v>1700000</v>
      </c>
      <c r="R44" s="290">
        <f t="shared" si="26"/>
        <v>1217649.2000000002</v>
      </c>
      <c r="S44" s="7"/>
      <c r="T44" s="5"/>
      <c r="U44" s="5"/>
    </row>
    <row r="45" spans="1:21" x14ac:dyDescent="0.2">
      <c r="A45" s="48"/>
      <c r="B45" s="53"/>
      <c r="C45" s="54"/>
      <c r="D45" s="55"/>
      <c r="E45" s="216"/>
      <c r="F45" s="216"/>
      <c r="G45" s="216"/>
      <c r="H45" s="216"/>
      <c r="I45" s="216"/>
      <c r="J45" s="216"/>
      <c r="K45" s="216"/>
      <c r="L45" s="216"/>
      <c r="M45" s="216"/>
      <c r="N45" s="216"/>
      <c r="O45" s="216"/>
      <c r="P45" s="216"/>
      <c r="Q45" s="269"/>
      <c r="R45" s="287"/>
      <c r="S45" s="7"/>
      <c r="T45" s="5"/>
      <c r="U45" s="5"/>
    </row>
    <row r="46" spans="1:21" s="10" customFormat="1" x14ac:dyDescent="0.2">
      <c r="A46" s="59"/>
      <c r="B46" s="44" t="s">
        <v>84</v>
      </c>
      <c r="C46" s="60"/>
      <c r="D46" s="61"/>
      <c r="E46" s="266"/>
      <c r="F46" s="266"/>
      <c r="G46" s="266"/>
      <c r="H46" s="266"/>
      <c r="I46" s="266"/>
      <c r="J46" s="266"/>
      <c r="K46" s="266"/>
      <c r="L46" s="266"/>
      <c r="M46" s="266"/>
      <c r="N46" s="266"/>
      <c r="O46" s="266"/>
      <c r="P46" s="217"/>
      <c r="Q46" s="270"/>
      <c r="R46" s="288"/>
      <c r="S46" s="7"/>
    </row>
    <row r="47" spans="1:21" outlineLevel="1" x14ac:dyDescent="0.2">
      <c r="A47" s="48"/>
      <c r="B47" s="65" t="s">
        <v>94</v>
      </c>
      <c r="C47" s="50">
        <f t="shared" ref="C47:J47" si="30">SUM(C48:C51)</f>
        <v>239243.71</v>
      </c>
      <c r="D47" s="50">
        <f t="shared" si="30"/>
        <v>55474.46</v>
      </c>
      <c r="E47" s="196">
        <f t="shared" si="30"/>
        <v>42380</v>
      </c>
      <c r="F47" s="196">
        <f t="shared" si="30"/>
        <v>16880</v>
      </c>
      <c r="G47" s="196">
        <f t="shared" si="30"/>
        <v>27003</v>
      </c>
      <c r="H47" s="196">
        <f t="shared" si="30"/>
        <v>86263.00001199999</v>
      </c>
      <c r="I47" s="196">
        <f t="shared" si="30"/>
        <v>52068.42</v>
      </c>
      <c r="J47" s="196">
        <f t="shared" si="30"/>
        <v>74300</v>
      </c>
      <c r="K47" s="196">
        <f t="shared" ref="K47" si="31">SUM(K48:K51)</f>
        <v>77300</v>
      </c>
      <c r="L47" s="196">
        <f t="shared" ref="L47:M47" si="32">SUM(L48:L51)</f>
        <v>44005.35</v>
      </c>
      <c r="M47" s="196">
        <f t="shared" si="32"/>
        <v>62300</v>
      </c>
      <c r="N47" s="196">
        <f t="shared" ref="N47:O47" si="33">SUM(N48:N51)</f>
        <v>77300.000400000019</v>
      </c>
      <c r="O47" s="196">
        <f t="shared" si="33"/>
        <v>35677.600000000006</v>
      </c>
      <c r="P47" s="219">
        <f>C47+D47+SUM(H47:O47)</f>
        <v>803932.54041199991</v>
      </c>
      <c r="Q47" s="198">
        <f>'QFR - B'!G27</f>
        <v>797500</v>
      </c>
      <c r="R47" s="284">
        <f>Q47-P47</f>
        <v>-6432.5404119999148</v>
      </c>
      <c r="S47" s="7"/>
      <c r="T47" s="5"/>
      <c r="U47" s="5"/>
    </row>
    <row r="48" spans="1:21" s="205" customFormat="1" ht="12.75" customHeight="1" outlineLevel="1" x14ac:dyDescent="0.2">
      <c r="A48" s="204"/>
      <c r="B48" s="215" t="s">
        <v>137</v>
      </c>
      <c r="C48" s="208">
        <v>217199.81</v>
      </c>
      <c r="D48" s="208">
        <v>28803.239999999998</v>
      </c>
      <c r="E48" s="298">
        <v>22200</v>
      </c>
      <c r="F48" s="298">
        <v>16700</v>
      </c>
      <c r="G48" s="298">
        <f>16700-0.29</f>
        <v>16699.71</v>
      </c>
      <c r="H48" s="202">
        <f>SUMIF('Contract level'!$A:$A,"="&amp;'DFP-Com'!$A46,'Contract level'!AH:AH)</f>
        <v>55599.71</v>
      </c>
      <c r="I48" s="202">
        <f>SUMIF('Contract level'!$A:$A,"="&amp;'DFP-Com'!$A46,'Contract level'!AI:AI)</f>
        <v>51300.58</v>
      </c>
      <c r="J48" s="202">
        <f>SUMIF('Contract level'!$A:$A,"="&amp;'DFP-Com'!$A46,'Contract level'!AJ:AJ)</f>
        <v>51300</v>
      </c>
      <c r="K48" s="202">
        <f>SUMIF('Contract level'!$A:$A,"="&amp;'DFP-Com'!$A46,'Contract level'!AK:AK)</f>
        <v>51300</v>
      </c>
      <c r="L48" s="202">
        <f>SUMIF('Contract level'!$A:$A,"="&amp;'DFP-Com'!$A46,'Contract level'!AL:AL)</f>
        <v>39300</v>
      </c>
      <c r="M48" s="202">
        <f>SUMIF('Contract level'!$A:$A,"="&amp;'DFP-Com'!$A46,'Contract level'!AM:AM)</f>
        <v>39300</v>
      </c>
      <c r="N48" s="299">
        <f>SUMIF('Contract level'!$A:$A,"="&amp;'DFP-Com'!$A46,'Contract level'!AN:AN)</f>
        <v>39300</v>
      </c>
      <c r="O48" s="299">
        <f>SUMIF('Contract level'!$A:$A,"="&amp;'DFP-Com'!$A46,'Contract level'!AO:AO)</f>
        <v>34349.700000000004</v>
      </c>
      <c r="P48" s="202">
        <f>SUM(H48:O48)+D48+C48</f>
        <v>607753.04</v>
      </c>
      <c r="Q48" s="271"/>
      <c r="R48" s="285"/>
      <c r="S48" s="68"/>
    </row>
    <row r="49" spans="1:21" s="205" customFormat="1" outlineLevel="1" x14ac:dyDescent="0.2">
      <c r="A49" s="204"/>
      <c r="B49" s="215" t="s">
        <v>138</v>
      </c>
      <c r="C49" s="208">
        <v>3794.65</v>
      </c>
      <c r="D49" s="208">
        <v>15956.99</v>
      </c>
      <c r="E49" s="298">
        <v>5000</v>
      </c>
      <c r="F49" s="298">
        <v>0</v>
      </c>
      <c r="G49" s="298">
        <v>0</v>
      </c>
      <c r="H49" s="202">
        <f>SUMIF('Contract level'!$A:$A,"="&amp;'DFP-Com'!$A47,'Contract level'!AH:AH)</f>
        <v>5000</v>
      </c>
      <c r="I49" s="202">
        <f>SUMIF('Contract level'!$A:$A,"="&amp;'DFP-Com'!$A47,'Contract level'!AI:AI)</f>
        <v>500</v>
      </c>
      <c r="J49" s="202">
        <f>SUMIF('Contract level'!$A:$A,"="&amp;'DFP-Com'!$A47,'Contract level'!AJ:AJ)</f>
        <v>3000</v>
      </c>
      <c r="K49" s="202">
        <f>SUMIF('Contract level'!$A:$A,"="&amp;'DFP-Com'!$A47,'Contract level'!AK:AK)</f>
        <v>1000</v>
      </c>
      <c r="L49" s="202">
        <f>SUMIF('Contract level'!$A:$A,"="&amp;'DFP-Com'!$A47,'Contract level'!AL:AL)</f>
        <v>2705.3500000000004</v>
      </c>
      <c r="M49" s="202">
        <f>SUMIF('Contract level'!$A:$A,"="&amp;'DFP-Com'!$A47,'Contract level'!AM:AM)</f>
        <v>1000</v>
      </c>
      <c r="N49" s="299">
        <f>SUMIF('Contract level'!$A:$A,"="&amp;'DFP-Com'!$A47,'Contract level'!AN:AN)</f>
        <v>1000</v>
      </c>
      <c r="O49" s="299">
        <f>SUMIF('Contract level'!$A:$A,"="&amp;'DFP-Com'!$A47,'Contract level'!AO:AO)</f>
        <v>0</v>
      </c>
      <c r="P49" s="299">
        <f>SUM(H49:O49)+D49+C49</f>
        <v>33956.99</v>
      </c>
      <c r="Q49" s="271"/>
      <c r="R49" s="289"/>
      <c r="S49" s="68"/>
    </row>
    <row r="50" spans="1:21" s="205" customFormat="1" outlineLevel="1" x14ac:dyDescent="0.2">
      <c r="A50" s="204"/>
      <c r="B50" s="215" t="s">
        <v>139</v>
      </c>
      <c r="C50" s="208">
        <v>0</v>
      </c>
      <c r="D50" s="208">
        <v>10000</v>
      </c>
      <c r="E50" s="298">
        <v>15000</v>
      </c>
      <c r="F50" s="298">
        <v>0</v>
      </c>
      <c r="G50" s="298">
        <v>0</v>
      </c>
      <c r="H50" s="202">
        <f>SUMIF('Contract level'!$A:$A,"="&amp;'DFP-Com'!$A48,'Contract level'!AH:AH)</f>
        <v>15000</v>
      </c>
      <c r="I50" s="202">
        <f>SUMIF('Contract level'!$A:$A,"="&amp;'DFP-Com'!$A48,'Contract level'!AI:AI)</f>
        <v>0</v>
      </c>
      <c r="J50" s="202">
        <f>SUMIF('Contract level'!$A:$A,"="&amp;'DFP-Com'!$A48,'Contract level'!AJ:AJ)</f>
        <v>20000</v>
      </c>
      <c r="K50" s="202">
        <f>SUMIF('Contract level'!$A:$A,"="&amp;'DFP-Com'!$A48,'Contract level'!AK:AK)</f>
        <v>20000</v>
      </c>
      <c r="L50" s="202">
        <f>SUMIF('Contract level'!$A:$A,"="&amp;'DFP-Com'!$A48,'Contract level'!AL:AL)</f>
        <v>0</v>
      </c>
      <c r="M50" s="202">
        <f>SUMIF('Contract level'!$A:$A,"="&amp;'DFP-Com'!$A48,'Contract level'!AM:AM)</f>
        <v>20000</v>
      </c>
      <c r="N50" s="299">
        <f>SUMIF('Contract level'!$A:$A,"="&amp;'DFP-Com'!$A48,'Contract level'!AN:AN)</f>
        <v>35000.000400000026</v>
      </c>
      <c r="O50" s="299">
        <f>SUMIF('Contract level'!$A:$A,"="&amp;'DFP-Com'!$A48,'Contract level'!AO:AO)</f>
        <v>0</v>
      </c>
      <c r="P50" s="299">
        <f>SUM(H50:O50)+D50+C50</f>
        <v>120000.00040000002</v>
      </c>
      <c r="Q50" s="271"/>
      <c r="R50" s="289"/>
      <c r="S50" s="68"/>
    </row>
    <row r="51" spans="1:21" s="205" customFormat="1" outlineLevel="1" x14ac:dyDescent="0.2">
      <c r="A51" s="204"/>
      <c r="B51" s="215" t="s">
        <v>140</v>
      </c>
      <c r="C51" s="208">
        <v>18249.25</v>
      </c>
      <c r="D51" s="208">
        <f>535.69+178.54</f>
        <v>714.23</v>
      </c>
      <c r="E51" s="298">
        <v>180</v>
      </c>
      <c r="F51" s="298">
        <v>180</v>
      </c>
      <c r="G51" s="298">
        <v>10303.290000000001</v>
      </c>
      <c r="H51" s="202">
        <f>SUMIF('Contract level'!$A:$A,"="&amp;'DFP-Com'!$A49,'Contract level'!AH:AH)</f>
        <v>10663.290011999999</v>
      </c>
      <c r="I51" s="202">
        <f>SUMIF('Contract level'!$A:$A,"="&amp;'DFP-Com'!$A49,'Contract level'!AI:AI)</f>
        <v>267.83999999999997</v>
      </c>
      <c r="J51" s="202">
        <f>SUMIF('Contract level'!$A:$A,"="&amp;'DFP-Com'!$A49,'Contract level'!AJ:AJ)</f>
        <v>0</v>
      </c>
      <c r="K51" s="202">
        <f>SUMIF('Contract level'!$A:$A,"="&amp;'DFP-Com'!$A49,'Contract level'!AK:AK)</f>
        <v>5000</v>
      </c>
      <c r="L51" s="202">
        <f>SUMIF('Contract level'!$A:$A,"="&amp;'DFP-Com'!$A49,'Contract level'!AL:AL)</f>
        <v>2000</v>
      </c>
      <c r="M51" s="202">
        <f>SUMIF('Contract level'!$A:$A,"="&amp;'DFP-Com'!$A49,'Contract level'!AM:AM)</f>
        <v>2000</v>
      </c>
      <c r="N51" s="299">
        <f>SUMIF('Contract level'!$A:$A,"="&amp;'DFP-Com'!$A49,'Contract level'!AN:AN)</f>
        <v>2000</v>
      </c>
      <c r="O51" s="299">
        <f>SUMIF('Contract level'!$A:$A,"="&amp;'DFP-Com'!$A49,'Contract level'!AO:AO)</f>
        <v>1327.9</v>
      </c>
      <c r="P51" s="299">
        <f>SUM(H51:O51)+D51+C51</f>
        <v>42222.510011999999</v>
      </c>
      <c r="Q51" s="271"/>
      <c r="R51" s="289"/>
      <c r="S51" s="68"/>
    </row>
    <row r="52" spans="1:21" s="10" customFormat="1" x14ac:dyDescent="0.2">
      <c r="B52" s="66" t="s">
        <v>93</v>
      </c>
      <c r="C52" s="52">
        <f t="shared" ref="C52:R52" si="34">C47</f>
        <v>239243.71</v>
      </c>
      <c r="D52" s="52">
        <f t="shared" si="34"/>
        <v>55474.46</v>
      </c>
      <c r="E52" s="197">
        <f t="shared" si="34"/>
        <v>42380</v>
      </c>
      <c r="F52" s="197">
        <f t="shared" si="34"/>
        <v>16880</v>
      </c>
      <c r="G52" s="197">
        <f t="shared" si="34"/>
        <v>27003</v>
      </c>
      <c r="H52" s="197">
        <f t="shared" si="34"/>
        <v>86263.00001199999</v>
      </c>
      <c r="I52" s="197">
        <f t="shared" si="34"/>
        <v>52068.42</v>
      </c>
      <c r="J52" s="197">
        <f t="shared" si="34"/>
        <v>74300</v>
      </c>
      <c r="K52" s="197">
        <f t="shared" ref="K52" si="35">K47</f>
        <v>77300</v>
      </c>
      <c r="L52" s="197">
        <f t="shared" ref="L52:M52" si="36">L47</f>
        <v>44005.35</v>
      </c>
      <c r="M52" s="197">
        <f t="shared" si="36"/>
        <v>62300</v>
      </c>
      <c r="N52" s="197">
        <f t="shared" ref="N52:O52" si="37">N47</f>
        <v>77300.000400000019</v>
      </c>
      <c r="O52" s="197">
        <f t="shared" si="37"/>
        <v>35677.600000000006</v>
      </c>
      <c r="P52" s="197">
        <f t="shared" si="34"/>
        <v>803932.54041199991</v>
      </c>
      <c r="Q52" s="272">
        <f t="shared" si="34"/>
        <v>797500</v>
      </c>
      <c r="R52" s="290">
        <f t="shared" si="34"/>
        <v>-6432.5404119999148</v>
      </c>
      <c r="S52" s="242"/>
    </row>
    <row r="53" spans="1:21" x14ac:dyDescent="0.2">
      <c r="A53" s="5"/>
      <c r="B53" s="53"/>
      <c r="C53" s="54"/>
      <c r="D53" s="55"/>
      <c r="E53" s="216"/>
      <c r="F53" s="216"/>
      <c r="G53" s="216"/>
      <c r="H53" s="216"/>
      <c r="I53" s="216"/>
      <c r="J53" s="216"/>
      <c r="K53" s="216"/>
      <c r="L53" s="216"/>
      <c r="M53" s="216"/>
      <c r="N53" s="216"/>
      <c r="O53" s="216"/>
      <c r="P53" s="218"/>
      <c r="Q53" s="269"/>
      <c r="R53" s="291"/>
      <c r="S53" s="7"/>
      <c r="T53" s="5"/>
      <c r="U53" s="5"/>
    </row>
    <row r="54" spans="1:21" s="223" customFormat="1" ht="17.25" thickBot="1" x14ac:dyDescent="0.3">
      <c r="B54" s="228" t="s">
        <v>133</v>
      </c>
      <c r="C54" s="224">
        <f t="shared" ref="C54:R54" si="38">C52+C44+C36+C27</f>
        <v>2773897.6399999997</v>
      </c>
      <c r="D54" s="331">
        <f t="shared" si="38"/>
        <v>1186452.9367923909</v>
      </c>
      <c r="E54" s="225">
        <f t="shared" si="38"/>
        <v>1253607.9100000001</v>
      </c>
      <c r="F54" s="225">
        <f t="shared" si="38"/>
        <v>628779.47</v>
      </c>
      <c r="G54" s="225">
        <f t="shared" si="38"/>
        <v>713858.6</v>
      </c>
      <c r="H54" s="225">
        <f t="shared" si="38"/>
        <v>2594245.7225265671</v>
      </c>
      <c r="I54" s="225">
        <f t="shared" si="38"/>
        <v>4691260.1299711205</v>
      </c>
      <c r="J54" s="225">
        <f t="shared" si="38"/>
        <v>2539891.6152086528</v>
      </c>
      <c r="K54" s="225">
        <f t="shared" ref="K54" si="39">K52+K44+K36+K27</f>
        <v>2382345.319515666</v>
      </c>
      <c r="L54" s="225">
        <f t="shared" ref="L54:M54" si="40">L52+L44+L36+L27</f>
        <v>1952718.2218626281</v>
      </c>
      <c r="M54" s="225">
        <f t="shared" si="40"/>
        <v>2897849.9610126279</v>
      </c>
      <c r="N54" s="225">
        <f t="shared" ref="N54" si="41">N52+N44+N36+N27</f>
        <v>3707142.6291098353</v>
      </c>
      <c r="O54" s="225">
        <f t="shared" ref="O54" si="42">O52+O44+O36+O27</f>
        <v>52177.600000000006</v>
      </c>
      <c r="P54" s="225">
        <f t="shared" si="38"/>
        <v>24777981.775999486</v>
      </c>
      <c r="Q54" s="225">
        <f t="shared" si="38"/>
        <v>26197500</v>
      </c>
      <c r="R54" s="292">
        <f t="shared" si="38"/>
        <v>1419518.2240005117</v>
      </c>
      <c r="S54" s="242"/>
    </row>
    <row r="55" spans="1:21" ht="13.5" thickTop="1" x14ac:dyDescent="0.2">
      <c r="B55" s="7" t="s">
        <v>135</v>
      </c>
      <c r="S55" s="190"/>
      <c r="T55" s="212"/>
    </row>
    <row r="56" spans="1:21" x14ac:dyDescent="0.2">
      <c r="B56" s="68" t="s">
        <v>136</v>
      </c>
      <c r="S56" s="190"/>
    </row>
    <row r="57" spans="1:21" x14ac:dyDescent="0.2">
      <c r="B57" s="7"/>
      <c r="S57" s="190"/>
      <c r="T57" s="212"/>
    </row>
    <row r="58" spans="1:21" x14ac:dyDescent="0.2">
      <c r="B58" s="7"/>
      <c r="S58" s="190"/>
    </row>
    <row r="59" spans="1:21" x14ac:dyDescent="0.2">
      <c r="B59" s="7"/>
      <c r="S59" s="190"/>
    </row>
    <row r="60" spans="1:21" x14ac:dyDescent="0.2">
      <c r="B60" s="7"/>
      <c r="S60" s="190"/>
    </row>
    <row r="61" spans="1:21" x14ac:dyDescent="0.2">
      <c r="B61" s="7"/>
      <c r="S61" s="190"/>
    </row>
    <row r="62" spans="1:21" x14ac:dyDescent="0.2">
      <c r="B62" s="7"/>
      <c r="S62" s="190"/>
    </row>
    <row r="63" spans="1:21" x14ac:dyDescent="0.2">
      <c r="B63" s="7"/>
      <c r="S63" s="190"/>
    </row>
    <row r="64" spans="1:21" x14ac:dyDescent="0.2">
      <c r="B64" s="7"/>
      <c r="S64" s="190"/>
    </row>
    <row r="65" spans="2:19" x14ac:dyDescent="0.2">
      <c r="B65" s="7"/>
      <c r="S65" s="190"/>
    </row>
    <row r="66" spans="2:19" x14ac:dyDescent="0.2">
      <c r="B66" s="7"/>
      <c r="S66" s="190"/>
    </row>
    <row r="67" spans="2:19" x14ac:dyDescent="0.2">
      <c r="B67" s="7"/>
      <c r="S67" s="190"/>
    </row>
    <row r="68" spans="2:19" x14ac:dyDescent="0.2">
      <c r="B68" s="7"/>
      <c r="S68" s="190"/>
    </row>
    <row r="69" spans="2:19" x14ac:dyDescent="0.2">
      <c r="B69" s="7"/>
      <c r="S69" s="190"/>
    </row>
    <row r="70" spans="2:19" x14ac:dyDescent="0.2">
      <c r="S70" s="190"/>
    </row>
    <row r="71" spans="2:19" x14ac:dyDescent="0.2">
      <c r="S71" s="190"/>
    </row>
    <row r="72" spans="2:19" x14ac:dyDescent="0.2">
      <c r="S72" s="190"/>
    </row>
    <row r="73" spans="2:19" x14ac:dyDescent="0.2">
      <c r="S73" s="190"/>
    </row>
    <row r="74" spans="2:19" x14ac:dyDescent="0.2">
      <c r="S74" s="190"/>
    </row>
    <row r="75" spans="2:19" x14ac:dyDescent="0.2">
      <c r="S75" s="190"/>
    </row>
    <row r="76" spans="2:19" x14ac:dyDescent="0.2">
      <c r="S76" s="190"/>
    </row>
    <row r="77" spans="2:19" x14ac:dyDescent="0.2">
      <c r="S77" s="190"/>
    </row>
    <row r="78" spans="2:19" x14ac:dyDescent="0.2">
      <c r="S78" s="190"/>
    </row>
    <row r="79" spans="2:19" x14ac:dyDescent="0.2">
      <c r="S79" s="190"/>
    </row>
    <row r="80" spans="2:19" x14ac:dyDescent="0.2">
      <c r="S80" s="190"/>
    </row>
    <row r="81" spans="19:19" x14ac:dyDescent="0.2">
      <c r="S81" s="190"/>
    </row>
    <row r="82" spans="19:19" x14ac:dyDescent="0.2">
      <c r="S82" s="190"/>
    </row>
    <row r="83" spans="19:19" x14ac:dyDescent="0.2">
      <c r="S83" s="190"/>
    </row>
    <row r="84" spans="19:19" x14ac:dyDescent="0.2">
      <c r="S84" s="190"/>
    </row>
    <row r="85" spans="19:19" x14ac:dyDescent="0.2">
      <c r="S85" s="190"/>
    </row>
  </sheetData>
  <mergeCells count="6">
    <mergeCell ref="R12:R13"/>
    <mergeCell ref="B11:B12"/>
    <mergeCell ref="P12:P13"/>
    <mergeCell ref="Q12:Q13"/>
    <mergeCell ref="E12:G12"/>
    <mergeCell ref="E11:H11"/>
  </mergeCells>
  <phoneticPr fontId="28" type="noConversion"/>
  <pageMargins left="0.70866141732283472" right="0.70866141732283472" top="0.74803149606299213" bottom="0.74803149606299213" header="0.31496062992125984" footer="0.31496062992125984"/>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74" zoomScaleNormal="74" zoomScalePageLayoutView="85" workbookViewId="0">
      <pane ySplit="13" topLeftCell="A14" activePane="bottomLeft" state="frozen"/>
      <selection pane="bottomLeft" activeCell="H18" sqref="H18"/>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2" t="s">
        <v>21</v>
      </c>
      <c r="C1" s="73"/>
      <c r="D1" s="73"/>
      <c r="E1" s="73"/>
      <c r="F1" s="73"/>
      <c r="G1" s="74"/>
    </row>
    <row r="2" spans="2:9" x14ac:dyDescent="0.25">
      <c r="B2" s="75"/>
      <c r="C2" s="76" t="s">
        <v>1</v>
      </c>
      <c r="D2" s="149" t="s">
        <v>67</v>
      </c>
      <c r="E2" s="78"/>
      <c r="F2" s="79"/>
      <c r="G2" s="80"/>
    </row>
    <row r="3" spans="2:9" x14ac:dyDescent="0.25">
      <c r="B3" s="75"/>
      <c r="C3" s="76" t="s">
        <v>2</v>
      </c>
      <c r="D3" s="176" t="s">
        <v>68</v>
      </c>
      <c r="E3" s="78"/>
      <c r="F3" s="79"/>
      <c r="G3" s="80"/>
    </row>
    <row r="4" spans="2:9" x14ac:dyDescent="0.25">
      <c r="B4" s="75"/>
      <c r="C4" s="76" t="s">
        <v>3</v>
      </c>
      <c r="D4" s="176" t="str">
        <f>'THP DR'!B7</f>
        <v>TR14GTM15001</v>
      </c>
      <c r="E4" s="78"/>
      <c r="F4" s="79"/>
      <c r="G4" s="80"/>
    </row>
    <row r="5" spans="2:9" x14ac:dyDescent="0.25">
      <c r="B5" s="75"/>
      <c r="C5" s="76" t="s">
        <v>4</v>
      </c>
      <c r="D5" s="177">
        <f>'THP DR'!B10</f>
        <v>43273</v>
      </c>
      <c r="E5" s="78"/>
      <c r="F5" s="79"/>
      <c r="G5" s="80"/>
    </row>
    <row r="6" spans="2:9" ht="15.75" thickBot="1" x14ac:dyDescent="0.3">
      <c r="B6" s="82"/>
      <c r="C6" s="83"/>
      <c r="D6" s="84"/>
      <c r="E6" s="83"/>
      <c r="F6" s="84"/>
      <c r="G6" s="85"/>
    </row>
    <row r="7" spans="2:9" x14ac:dyDescent="0.25">
      <c r="B7" s="86" t="s">
        <v>22</v>
      </c>
      <c r="C7" s="87"/>
      <c r="D7" s="87"/>
      <c r="E7" s="87"/>
      <c r="F7" s="87"/>
      <c r="G7" s="88"/>
      <c r="H7" s="89"/>
    </row>
    <row r="8" spans="2:9" x14ac:dyDescent="0.25">
      <c r="B8" s="90" t="str">
        <f>"Disbursement Period:"&amp; TEXT('THP DR'!B11,"dd-mmm-yy")&amp;" to "&amp;TEXT('THP DR'!B12,"dd-mmm-yy")</f>
        <v>Disbursement Period:01-jul-18 to 30-sep-18</v>
      </c>
      <c r="C8" s="91"/>
      <c r="D8" s="91"/>
      <c r="E8" s="91"/>
      <c r="F8" s="91"/>
      <c r="G8" s="92"/>
      <c r="H8" s="89"/>
    </row>
    <row r="9" spans="2:9" s="98" customFormat="1" ht="12.75" x14ac:dyDescent="0.2">
      <c r="B9" s="93" t="s">
        <v>23</v>
      </c>
      <c r="C9" s="94"/>
      <c r="D9" s="94"/>
      <c r="E9" s="95"/>
      <c r="F9" s="95"/>
      <c r="G9" s="96"/>
      <c r="H9" s="97"/>
    </row>
    <row r="10" spans="2:9" ht="15.75" thickBot="1" x14ac:dyDescent="0.3">
      <c r="B10" s="99" t="s">
        <v>222</v>
      </c>
      <c r="C10" s="100"/>
      <c r="D10" s="100"/>
      <c r="E10" s="100"/>
      <c r="F10" s="100"/>
      <c r="G10" s="101"/>
      <c r="H10" s="89"/>
    </row>
    <row r="11" spans="2:9" ht="52.5" customHeight="1" thickBot="1" x14ac:dyDescent="0.3">
      <c r="B11" s="102"/>
      <c r="C11" s="103" t="s">
        <v>24</v>
      </c>
      <c r="D11" s="104" t="s">
        <v>25</v>
      </c>
      <c r="E11" s="411" t="s">
        <v>26</v>
      </c>
      <c r="F11" s="412"/>
      <c r="G11" s="105" t="s">
        <v>27</v>
      </c>
      <c r="H11" s="89"/>
    </row>
    <row r="12" spans="2:9" ht="23.25" x14ac:dyDescent="0.25">
      <c r="B12" s="106" t="s">
        <v>81</v>
      </c>
      <c r="C12" s="107"/>
      <c r="D12" s="108" t="s">
        <v>28</v>
      </c>
      <c r="E12" s="109" t="s">
        <v>29</v>
      </c>
      <c r="F12" s="110" t="s">
        <v>30</v>
      </c>
      <c r="G12" s="111" t="s">
        <v>31</v>
      </c>
      <c r="H12" s="89"/>
    </row>
    <row r="13" spans="2:9" s="98" customFormat="1" ht="13.5" thickBot="1" x14ac:dyDescent="0.25">
      <c r="B13" s="112" t="s">
        <v>90</v>
      </c>
      <c r="C13" s="113">
        <v>1</v>
      </c>
      <c r="D13" s="113">
        <v>2</v>
      </c>
      <c r="E13" s="113">
        <v>3</v>
      </c>
      <c r="F13" s="113">
        <v>4</v>
      </c>
      <c r="G13" s="114">
        <v>5</v>
      </c>
      <c r="H13" s="97"/>
    </row>
    <row r="14" spans="2:9" s="98" customFormat="1" x14ac:dyDescent="0.25">
      <c r="B14" s="413"/>
      <c r="C14" s="414"/>
      <c r="D14" s="414"/>
      <c r="E14" s="414"/>
      <c r="F14" s="414"/>
      <c r="G14" s="415"/>
      <c r="H14" s="97"/>
    </row>
    <row r="15" spans="2:9" s="98" customFormat="1" ht="26.45" customHeight="1" x14ac:dyDescent="0.2">
      <c r="B15" s="155" t="s">
        <v>76</v>
      </c>
      <c r="C15" s="178">
        <f>SUM(C16:C18)</f>
        <v>19700000</v>
      </c>
      <c r="D15" s="182">
        <f>SUM(D16:D18)</f>
        <v>19300000</v>
      </c>
      <c r="E15" s="178">
        <f>SUM(E16:E18)</f>
        <v>0</v>
      </c>
      <c r="F15" s="178">
        <f>SUM(F16:F18)</f>
        <v>0</v>
      </c>
      <c r="G15" s="182">
        <f t="shared" ref="G15:G18" si="0">+D15+E15-F15</f>
        <v>19300000</v>
      </c>
      <c r="H15" s="97"/>
      <c r="I15" s="246"/>
    </row>
    <row r="16" spans="2:9" s="98" customFormat="1" ht="25.5" x14ac:dyDescent="0.2">
      <c r="B16" s="169" t="s">
        <v>77</v>
      </c>
      <c r="C16" s="168">
        <v>12000000</v>
      </c>
      <c r="D16" s="183">
        <f>'QFR - B'!G15</f>
        <v>12000000</v>
      </c>
      <c r="E16" s="179"/>
      <c r="F16" s="179"/>
      <c r="G16" s="183">
        <f t="shared" si="0"/>
        <v>12000000</v>
      </c>
      <c r="H16" s="97"/>
      <c r="I16" s="246" t="s">
        <v>118</v>
      </c>
    </row>
    <row r="17" spans="2:9" ht="45" customHeight="1" x14ac:dyDescent="0.25">
      <c r="B17" s="169" t="s">
        <v>78</v>
      </c>
      <c r="C17" s="168">
        <v>4700000</v>
      </c>
      <c r="D17" s="183">
        <f>'QFR - B'!G16</f>
        <v>4300000</v>
      </c>
      <c r="E17" s="179"/>
      <c r="F17" s="179"/>
      <c r="G17" s="183">
        <f t="shared" si="0"/>
        <v>4300000</v>
      </c>
    </row>
    <row r="18" spans="2:9" ht="25.5" x14ac:dyDescent="0.25">
      <c r="B18" s="169" t="s">
        <v>79</v>
      </c>
      <c r="C18" s="168">
        <v>3000000</v>
      </c>
      <c r="D18" s="183">
        <f>'QFR - B'!G17</f>
        <v>3000000</v>
      </c>
      <c r="E18" s="179"/>
      <c r="F18" s="179"/>
      <c r="G18" s="183">
        <f t="shared" si="0"/>
        <v>3000000</v>
      </c>
    </row>
    <row r="19" spans="2:9" x14ac:dyDescent="0.25">
      <c r="B19" s="170"/>
      <c r="C19" s="168"/>
      <c r="D19" s="183"/>
      <c r="E19" s="179"/>
      <c r="F19" s="179"/>
      <c r="G19" s="183"/>
    </row>
    <row r="20" spans="2:9" ht="25.5" x14ac:dyDescent="0.25">
      <c r="B20" s="171" t="s">
        <v>82</v>
      </c>
      <c r="C20" s="159">
        <f>SUM(C21:C22)</f>
        <v>4000000</v>
      </c>
      <c r="D20" s="184">
        <f>SUM(D21:D22)</f>
        <v>4400000</v>
      </c>
      <c r="E20" s="159">
        <f>SUM(E21:E22)</f>
        <v>0</v>
      </c>
      <c r="F20" s="159">
        <f>SUM(F21:F22)</f>
        <v>0</v>
      </c>
      <c r="G20" s="184">
        <f>+D20+E20-F20</f>
        <v>4400000</v>
      </c>
      <c r="I20" s="252"/>
    </row>
    <row r="21" spans="2:9" ht="25.5" x14ac:dyDescent="0.25">
      <c r="B21" s="169" t="s">
        <v>85</v>
      </c>
      <c r="C21" s="168">
        <v>0</v>
      </c>
      <c r="D21" s="183">
        <f>'QFR - B'!G20</f>
        <v>800000</v>
      </c>
      <c r="E21" s="179"/>
      <c r="F21" s="179"/>
      <c r="G21" s="183">
        <f>+D21+E21-F21</f>
        <v>800000</v>
      </c>
    </row>
    <row r="22" spans="2:9" ht="25.5" x14ac:dyDescent="0.25">
      <c r="B22" s="169" t="s">
        <v>86</v>
      </c>
      <c r="C22" s="168">
        <v>4000000</v>
      </c>
      <c r="D22" s="183">
        <f>'QFR - B'!G21</f>
        <v>3600000</v>
      </c>
      <c r="E22" s="179"/>
      <c r="F22" s="179"/>
      <c r="G22" s="183">
        <f>+D22+E22-F22</f>
        <v>3600000</v>
      </c>
    </row>
    <row r="23" spans="2:9" x14ac:dyDescent="0.25">
      <c r="B23" s="170"/>
      <c r="C23" s="168"/>
      <c r="D23" s="185"/>
      <c r="E23" s="179"/>
      <c r="F23" s="179"/>
      <c r="G23" s="185"/>
    </row>
    <row r="24" spans="2:9" ht="26.45" customHeight="1" x14ac:dyDescent="0.25">
      <c r="B24" s="156" t="s">
        <v>83</v>
      </c>
      <c r="C24" s="159">
        <f>SUM(C25)</f>
        <v>1700000</v>
      </c>
      <c r="D24" s="184">
        <f t="shared" ref="D24:G24" si="1">SUM(D25)</f>
        <v>1700000</v>
      </c>
      <c r="E24" s="159">
        <f t="shared" si="1"/>
        <v>0</v>
      </c>
      <c r="F24" s="159">
        <f t="shared" si="1"/>
        <v>0</v>
      </c>
      <c r="G24" s="184">
        <f t="shared" si="1"/>
        <v>1700000</v>
      </c>
      <c r="I24" s="252"/>
    </row>
    <row r="25" spans="2:9" ht="26.45" customHeight="1" x14ac:dyDescent="0.25">
      <c r="B25" s="175" t="s">
        <v>87</v>
      </c>
      <c r="C25" s="168">
        <v>1700000</v>
      </c>
      <c r="D25" s="183">
        <f>'QFR - B'!G24</f>
        <v>1700000</v>
      </c>
      <c r="E25" s="179"/>
      <c r="F25" s="179"/>
      <c r="G25" s="183">
        <f>+D25+E25-F25</f>
        <v>1700000</v>
      </c>
    </row>
    <row r="26" spans="2:9" x14ac:dyDescent="0.25">
      <c r="B26" s="170"/>
      <c r="C26" s="168"/>
      <c r="D26" s="185"/>
      <c r="E26" s="179"/>
      <c r="F26" s="179"/>
      <c r="G26" s="185"/>
    </row>
    <row r="27" spans="2:9" ht="26.45" customHeight="1" x14ac:dyDescent="0.25">
      <c r="B27" s="156" t="s">
        <v>84</v>
      </c>
      <c r="C27" s="159">
        <f>SUM(C28)</f>
        <v>800000</v>
      </c>
      <c r="D27" s="184">
        <f t="shared" ref="D27:G27" si="2">SUM(D28)</f>
        <v>797500</v>
      </c>
      <c r="E27" s="159">
        <f t="shared" si="2"/>
        <v>0</v>
      </c>
      <c r="F27" s="159">
        <f t="shared" si="2"/>
        <v>0</v>
      </c>
      <c r="G27" s="184">
        <f t="shared" si="2"/>
        <v>797500</v>
      </c>
      <c r="I27" s="252"/>
    </row>
    <row r="28" spans="2:9" ht="26.45" customHeight="1" x14ac:dyDescent="0.25">
      <c r="B28" s="175" t="s">
        <v>88</v>
      </c>
      <c r="C28" s="168">
        <v>800000</v>
      </c>
      <c r="D28" s="183">
        <f>'QFR - B'!G27</f>
        <v>797500</v>
      </c>
      <c r="E28" s="179"/>
      <c r="F28" s="179">
        <v>0</v>
      </c>
      <c r="G28" s="183">
        <f>+D28+E28-F28</f>
        <v>797500</v>
      </c>
    </row>
    <row r="29" spans="2:9" ht="15.75" thickBot="1" x14ac:dyDescent="0.3">
      <c r="B29" s="173"/>
      <c r="C29" s="180"/>
      <c r="D29" s="186"/>
      <c r="E29" s="180"/>
      <c r="F29" s="180"/>
      <c r="G29" s="186"/>
    </row>
    <row r="30" spans="2:9" ht="26.45" customHeight="1" thickBot="1" x14ac:dyDescent="0.3">
      <c r="B30" s="174" t="s">
        <v>32</v>
      </c>
      <c r="C30" s="181">
        <f>+C15+C20+C24+C27</f>
        <v>26200000</v>
      </c>
      <c r="D30" s="181">
        <f>+D15+D20+D24+D27</f>
        <v>26197500</v>
      </c>
      <c r="E30" s="181">
        <f>+E15+E20+E24+E27</f>
        <v>0</v>
      </c>
      <c r="F30" s="181">
        <f>+F15+F20+F24+F27</f>
        <v>0</v>
      </c>
      <c r="G30" s="187">
        <f>+G15+G20+G24+G27</f>
        <v>26197500</v>
      </c>
      <c r="I30" s="253"/>
    </row>
    <row r="31" spans="2:9" x14ac:dyDescent="0.25">
      <c r="B31" t="s">
        <v>260</v>
      </c>
    </row>
    <row r="33" spans="2:7" x14ac:dyDescent="0.25">
      <c r="B33" s="220" t="s">
        <v>123</v>
      </c>
      <c r="C33" s="221"/>
      <c r="D33" s="221"/>
      <c r="E33" s="221"/>
      <c r="F33" s="221"/>
      <c r="G33" s="222"/>
    </row>
    <row r="34" spans="2:7" ht="25.5" x14ac:dyDescent="0.25">
      <c r="B34" s="171" t="s">
        <v>82</v>
      </c>
      <c r="C34" s="159">
        <f>SUM(C35)</f>
        <v>1800000</v>
      </c>
      <c r="D34" s="159">
        <f>SUM(D35)</f>
        <v>1800000</v>
      </c>
      <c r="E34" s="159">
        <f>E35</f>
        <v>0</v>
      </c>
      <c r="F34" s="159">
        <f>F35</f>
        <v>0</v>
      </c>
      <c r="G34" s="184">
        <f>+D34+E34-F34</f>
        <v>1800000</v>
      </c>
    </row>
    <row r="35" spans="2:7" ht="25.5" x14ac:dyDescent="0.25">
      <c r="B35" s="169" t="s">
        <v>122</v>
      </c>
      <c r="C35" s="168">
        <v>1800000</v>
      </c>
      <c r="D35" s="183">
        <f>'[1]QFR - B'!G34</f>
        <v>1800000</v>
      </c>
      <c r="E35" s="349"/>
      <c r="F35" s="349"/>
      <c r="G35" s="183">
        <f>D35+E35-F35</f>
        <v>1800000</v>
      </c>
    </row>
    <row r="36" spans="2:7" ht="26.25" x14ac:dyDescent="0.25">
      <c r="B36" s="156" t="s">
        <v>84</v>
      </c>
      <c r="C36" s="159">
        <f>SUM(C37)</f>
        <v>0</v>
      </c>
      <c r="D36" s="184">
        <f t="shared" ref="D36:G36" si="3">SUM(D37)</f>
        <v>2500</v>
      </c>
      <c r="E36" s="159">
        <f t="shared" si="3"/>
        <v>0</v>
      </c>
      <c r="F36" s="159">
        <f t="shared" si="3"/>
        <v>0</v>
      </c>
      <c r="G36" s="184">
        <f t="shared" si="3"/>
        <v>2500</v>
      </c>
    </row>
    <row r="37" spans="2:7" x14ac:dyDescent="0.25">
      <c r="B37" s="175" t="s">
        <v>88</v>
      </c>
      <c r="C37" s="168">
        <v>0</v>
      </c>
      <c r="D37" s="183">
        <v>2500</v>
      </c>
      <c r="E37" s="179">
        <v>0</v>
      </c>
      <c r="F37" s="349"/>
      <c r="G37" s="183">
        <f>+D37+E37-F37</f>
        <v>2500</v>
      </c>
    </row>
    <row r="38" spans="2:7" ht="15.75" thickBot="1" x14ac:dyDescent="0.3">
      <c r="B38" s="174" t="s">
        <v>32</v>
      </c>
      <c r="C38" s="181">
        <f>C34+C36</f>
        <v>1800000</v>
      </c>
      <c r="D38" s="181">
        <f>D34+D36</f>
        <v>1802500</v>
      </c>
      <c r="E38" s="181">
        <f>E34+E36</f>
        <v>0</v>
      </c>
      <c r="F38" s="181">
        <f>F34+F36</f>
        <v>0</v>
      </c>
      <c r="G38" s="181">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A4" sqref="A4"/>
    </sheetView>
  </sheetViews>
  <sheetFormatPr baseColWidth="10" defaultRowHeight="15" x14ac:dyDescent="0.25"/>
  <sheetData>
    <row r="3" spans="1:1" x14ac:dyDescent="0.25">
      <c r="A3" t="s">
        <v>281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85" zoomScaleNormal="85" zoomScalePageLayoutView="90" workbookViewId="0">
      <pane ySplit="13" topLeftCell="A14" activePane="bottomLeft" state="frozen"/>
      <selection pane="bottomLeft" activeCell="D27" sqref="D27"/>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2" t="s">
        <v>21</v>
      </c>
      <c r="C1" s="73"/>
      <c r="D1" s="73"/>
      <c r="E1" s="73"/>
      <c r="F1" s="73"/>
      <c r="G1" s="74"/>
    </row>
    <row r="2" spans="1:7" x14ac:dyDescent="0.25">
      <c r="B2" s="75"/>
      <c r="C2" s="76" t="s">
        <v>1</v>
      </c>
      <c r="D2" s="149" t="s">
        <v>67</v>
      </c>
      <c r="E2" s="77"/>
      <c r="F2" s="77"/>
      <c r="G2" s="80"/>
    </row>
    <row r="3" spans="1:7" x14ac:dyDescent="0.25">
      <c r="B3" s="75"/>
      <c r="C3" s="76" t="s">
        <v>2</v>
      </c>
      <c r="D3" s="149" t="s">
        <v>68</v>
      </c>
      <c r="E3" s="77"/>
      <c r="F3" s="77"/>
      <c r="G3" s="80"/>
    </row>
    <row r="4" spans="1:7" x14ac:dyDescent="0.25">
      <c r="B4" s="75"/>
      <c r="C4" s="76" t="s">
        <v>3</v>
      </c>
      <c r="D4" s="149" t="str">
        <f>'THP DR'!B7</f>
        <v>TR14GTM15001</v>
      </c>
      <c r="E4" s="77"/>
      <c r="F4" s="77"/>
      <c r="G4" s="80"/>
    </row>
    <row r="5" spans="1:7" x14ac:dyDescent="0.25">
      <c r="B5" s="75"/>
      <c r="C5" s="76" t="s">
        <v>4</v>
      </c>
      <c r="D5" s="150">
        <f>'THP DR'!B10</f>
        <v>43273</v>
      </c>
      <c r="E5" s="81"/>
      <c r="F5" s="81"/>
      <c r="G5" s="80"/>
    </row>
    <row r="6" spans="1:7" ht="5.0999999999999996" customHeight="1" thickBot="1" x14ac:dyDescent="0.3">
      <c r="B6" s="82"/>
      <c r="C6" s="83"/>
      <c r="D6" s="83"/>
      <c r="E6" s="83"/>
      <c r="F6" s="83"/>
      <c r="G6" s="85"/>
    </row>
    <row r="7" spans="1:7" x14ac:dyDescent="0.25">
      <c r="B7" s="86" t="s">
        <v>33</v>
      </c>
      <c r="C7" s="115"/>
      <c r="D7" s="115"/>
      <c r="E7" s="115"/>
      <c r="F7" s="115"/>
      <c r="G7" s="116"/>
    </row>
    <row r="8" spans="1:7" x14ac:dyDescent="0.25">
      <c r="A8" s="98"/>
      <c r="B8" s="90" t="str">
        <f>'QFR - A'!B8</f>
        <v>Disbursement Period:01-jul-18 to 30-sep-18</v>
      </c>
      <c r="C8" s="91"/>
      <c r="D8" s="91"/>
      <c r="E8" s="91"/>
      <c r="F8" s="91"/>
      <c r="G8" s="92"/>
    </row>
    <row r="9" spans="1:7" x14ac:dyDescent="0.25">
      <c r="B9" s="151" t="s">
        <v>34</v>
      </c>
      <c r="C9" s="94"/>
      <c r="D9" s="94"/>
      <c r="E9" s="94"/>
      <c r="F9" s="94"/>
      <c r="G9" s="96"/>
    </row>
    <row r="10" spans="1:7" ht="15.75" thickBot="1" x14ac:dyDescent="0.3">
      <c r="B10" s="151" t="str">
        <f>'QFR - A'!B10</f>
        <v>Out of Cycle Report:  Yes [ ] | No [ x ]</v>
      </c>
      <c r="C10" s="94"/>
      <c r="D10" s="94"/>
      <c r="E10" s="94"/>
      <c r="F10" s="94"/>
      <c r="G10" s="96"/>
    </row>
    <row r="11" spans="1:7" ht="15" customHeight="1" x14ac:dyDescent="0.25">
      <c r="B11" s="153"/>
      <c r="C11" s="416" t="s">
        <v>24</v>
      </c>
      <c r="D11" s="416" t="s">
        <v>229</v>
      </c>
      <c r="E11" s="416" t="s">
        <v>264</v>
      </c>
      <c r="F11" s="416" t="s">
        <v>89</v>
      </c>
      <c r="G11" s="416" t="s">
        <v>75</v>
      </c>
    </row>
    <row r="12" spans="1:7" ht="42" customHeight="1" thickBot="1" x14ac:dyDescent="0.3">
      <c r="B12" s="152" t="s">
        <v>81</v>
      </c>
      <c r="C12" s="417"/>
      <c r="D12" s="417"/>
      <c r="E12" s="417"/>
      <c r="F12" s="417"/>
      <c r="G12" s="417"/>
    </row>
    <row r="13" spans="1:7" ht="15" customHeight="1" x14ac:dyDescent="0.25">
      <c r="A13" s="98"/>
      <c r="B13" s="154" t="s">
        <v>80</v>
      </c>
      <c r="C13" s="157">
        <v>1</v>
      </c>
      <c r="D13" s="157">
        <f>C13+1</f>
        <v>2</v>
      </c>
      <c r="E13" s="157">
        <v>3</v>
      </c>
      <c r="F13" s="157">
        <v>4</v>
      </c>
      <c r="G13" s="164">
        <v>5</v>
      </c>
    </row>
    <row r="14" spans="1:7" ht="26.1" customHeight="1" x14ac:dyDescent="0.25">
      <c r="B14" s="155" t="s">
        <v>76</v>
      </c>
      <c r="C14" s="158">
        <f>SUM(C15:C17)</f>
        <v>19700000</v>
      </c>
      <c r="D14" s="278">
        <f>SUM(D15:D17)</f>
        <v>-400000</v>
      </c>
      <c r="E14" s="278">
        <f>SUM(E15:E17)</f>
        <v>0</v>
      </c>
      <c r="F14" s="278">
        <f>SUM(F15:F17)</f>
        <v>0</v>
      </c>
      <c r="G14" s="160">
        <f>C14+D14+E14+F14</f>
        <v>19300000</v>
      </c>
    </row>
    <row r="15" spans="1:7" ht="26.45" customHeight="1" x14ac:dyDescent="0.25">
      <c r="B15" s="169" t="s">
        <v>77</v>
      </c>
      <c r="C15" s="161">
        <v>12000000</v>
      </c>
      <c r="D15" s="279">
        <v>0</v>
      </c>
      <c r="E15" s="280">
        <v>0</v>
      </c>
      <c r="F15" s="280">
        <v>0</v>
      </c>
      <c r="G15" s="162">
        <f>C15+D15+E15+F15</f>
        <v>12000000</v>
      </c>
    </row>
    <row r="16" spans="1:7" ht="26.45" customHeight="1" x14ac:dyDescent="0.25">
      <c r="B16" s="169" t="s">
        <v>78</v>
      </c>
      <c r="C16" s="161">
        <v>4700000</v>
      </c>
      <c r="D16" s="279">
        <v>-400000</v>
      </c>
      <c r="E16" s="280">
        <v>0</v>
      </c>
      <c r="F16" s="280">
        <v>0</v>
      </c>
      <c r="G16" s="162">
        <f t="shared" ref="G16:G17" si="0">C16+D16+E16+F16</f>
        <v>4300000</v>
      </c>
    </row>
    <row r="17" spans="2:7" ht="25.5" x14ac:dyDescent="0.25">
      <c r="B17" s="169" t="s">
        <v>79</v>
      </c>
      <c r="C17" s="161">
        <v>3000000</v>
      </c>
      <c r="D17" s="279">
        <v>0</v>
      </c>
      <c r="E17" s="280">
        <v>0</v>
      </c>
      <c r="F17" s="280">
        <v>0</v>
      </c>
      <c r="G17" s="162">
        <f t="shared" si="0"/>
        <v>3000000</v>
      </c>
    </row>
    <row r="18" spans="2:7" x14ac:dyDescent="0.25">
      <c r="B18" s="170"/>
      <c r="C18" s="161"/>
      <c r="D18" s="279"/>
      <c r="E18" s="280"/>
      <c r="F18" s="280"/>
      <c r="G18" s="162"/>
    </row>
    <row r="19" spans="2:7" ht="25.5" x14ac:dyDescent="0.25">
      <c r="B19" s="171" t="s">
        <v>82</v>
      </c>
      <c r="C19" s="158">
        <f>SUM(C20:C21)</f>
        <v>4000000</v>
      </c>
      <c r="D19" s="278">
        <f>SUM(D20:D21)</f>
        <v>400000</v>
      </c>
      <c r="E19" s="278">
        <f>SUM(E20:E21)</f>
        <v>0</v>
      </c>
      <c r="F19" s="278">
        <f>SUM(F20:F21)</f>
        <v>0</v>
      </c>
      <c r="G19" s="160">
        <f>SUM(G20:G21)</f>
        <v>4400000</v>
      </c>
    </row>
    <row r="20" spans="2:7" ht="25.5" x14ac:dyDescent="0.25">
      <c r="B20" s="169" t="s">
        <v>85</v>
      </c>
      <c r="C20" s="161">
        <v>0</v>
      </c>
      <c r="D20" s="279">
        <v>800000</v>
      </c>
      <c r="E20" s="280">
        <v>0</v>
      </c>
      <c r="F20" s="280">
        <v>0</v>
      </c>
      <c r="G20" s="162">
        <f>C20+D20+E20+F20</f>
        <v>800000</v>
      </c>
    </row>
    <row r="21" spans="2:7" ht="25.5" x14ac:dyDescent="0.25">
      <c r="B21" s="169" t="s">
        <v>86</v>
      </c>
      <c r="C21" s="161">
        <v>4000000</v>
      </c>
      <c r="D21" s="279">
        <v>-400000</v>
      </c>
      <c r="E21" s="280">
        <v>0</v>
      </c>
      <c r="F21" s="280">
        <v>0</v>
      </c>
      <c r="G21" s="162">
        <f>C21+D21+E21+F21</f>
        <v>3600000</v>
      </c>
    </row>
    <row r="22" spans="2:7" x14ac:dyDescent="0.25">
      <c r="B22" s="170"/>
      <c r="C22" s="161"/>
      <c r="D22" s="279"/>
      <c r="E22" s="280"/>
      <c r="F22" s="280"/>
      <c r="G22" s="163"/>
    </row>
    <row r="23" spans="2:7" ht="26.45" customHeight="1" x14ac:dyDescent="0.25">
      <c r="B23" s="156" t="s">
        <v>83</v>
      </c>
      <c r="C23" s="158">
        <f>SUM(C24)</f>
        <v>1700000</v>
      </c>
      <c r="D23" s="278">
        <f>SUM(D24)</f>
        <v>0</v>
      </c>
      <c r="E23" s="278">
        <f>E24</f>
        <v>0</v>
      </c>
      <c r="F23" s="278">
        <f>F24</f>
        <v>0</v>
      </c>
      <c r="G23" s="160">
        <f t="shared" ref="G23" si="1">SUM(G24)</f>
        <v>1700000</v>
      </c>
    </row>
    <row r="24" spans="2:7" ht="24" customHeight="1" x14ac:dyDescent="0.25">
      <c r="B24" s="175" t="s">
        <v>87</v>
      </c>
      <c r="C24" s="161">
        <v>1700000</v>
      </c>
      <c r="D24" s="279">
        <v>0</v>
      </c>
      <c r="E24" s="280">
        <v>0</v>
      </c>
      <c r="F24" s="280">
        <v>0</v>
      </c>
      <c r="G24" s="162">
        <f>C24+D24+E24+F24</f>
        <v>1700000</v>
      </c>
    </row>
    <row r="25" spans="2:7" x14ac:dyDescent="0.25">
      <c r="B25" s="170"/>
      <c r="C25" s="161"/>
      <c r="D25" s="279"/>
      <c r="E25" s="280"/>
      <c r="F25" s="280"/>
      <c r="G25" s="163"/>
    </row>
    <row r="26" spans="2:7" ht="26.45" customHeight="1" x14ac:dyDescent="0.25">
      <c r="B26" s="172" t="s">
        <v>84</v>
      </c>
      <c r="C26" s="158">
        <f>SUM(C27)</f>
        <v>800000</v>
      </c>
      <c r="D26" s="278">
        <f>SUM(D27)</f>
        <v>0</v>
      </c>
      <c r="E26" s="278">
        <f>E27</f>
        <v>-2500</v>
      </c>
      <c r="F26" s="278">
        <f>F27</f>
        <v>0</v>
      </c>
      <c r="G26" s="160">
        <f t="shared" ref="G26" si="2">SUM(G27)</f>
        <v>797500</v>
      </c>
    </row>
    <row r="27" spans="2:7" ht="24" customHeight="1" x14ac:dyDescent="0.25">
      <c r="B27" s="175" t="s">
        <v>88</v>
      </c>
      <c r="C27" s="161">
        <v>800000</v>
      </c>
      <c r="D27" s="279">
        <v>0</v>
      </c>
      <c r="E27" s="280">
        <v>-2500</v>
      </c>
      <c r="F27" s="280">
        <v>0</v>
      </c>
      <c r="G27" s="162">
        <f>C27+D27+E27+F27</f>
        <v>797500</v>
      </c>
    </row>
    <row r="28" spans="2:7" ht="15.75" thickBot="1" x14ac:dyDescent="0.3">
      <c r="B28" s="173"/>
      <c r="C28" s="165"/>
      <c r="D28" s="281"/>
      <c r="E28" s="282"/>
      <c r="F28" s="282"/>
      <c r="G28" s="166"/>
    </row>
    <row r="29" spans="2:7" ht="26.1" customHeight="1" thickBot="1" x14ac:dyDescent="0.3">
      <c r="B29" s="174" t="s">
        <v>32</v>
      </c>
      <c r="C29" s="167">
        <f>C14+C19+C23+C26</f>
        <v>26200000</v>
      </c>
      <c r="D29" s="283">
        <f t="shared" ref="D29:F29" si="3">D14+D19+D23+D26</f>
        <v>0</v>
      </c>
      <c r="E29" s="283">
        <f t="shared" si="3"/>
        <v>-2500</v>
      </c>
      <c r="F29" s="283">
        <f t="shared" si="3"/>
        <v>0</v>
      </c>
      <c r="G29" s="167">
        <f>G26+G23+G19+G14</f>
        <v>26197500</v>
      </c>
    </row>
    <row r="30" spans="2:7" x14ac:dyDescent="0.25">
      <c r="B30" t="s">
        <v>260</v>
      </c>
    </row>
    <row r="32" spans="2:7" x14ac:dyDescent="0.25">
      <c r="B32" s="220" t="s">
        <v>123</v>
      </c>
      <c r="C32" s="221"/>
      <c r="D32" s="221"/>
      <c r="E32" s="221"/>
      <c r="F32" s="221"/>
      <c r="G32" s="222"/>
    </row>
    <row r="33" spans="2:7" ht="25.5" x14ac:dyDescent="0.25">
      <c r="B33" s="171" t="s">
        <v>82</v>
      </c>
      <c r="C33" s="159">
        <f>SUM(C34)</f>
        <v>1800000</v>
      </c>
      <c r="D33" s="159">
        <f t="shared" ref="D33:G35" si="4">SUM(D34)</f>
        <v>0</v>
      </c>
      <c r="E33" s="159">
        <f t="shared" si="4"/>
        <v>0</v>
      </c>
      <c r="F33" s="159">
        <f t="shared" si="4"/>
        <v>0</v>
      </c>
      <c r="G33" s="159">
        <f t="shared" si="4"/>
        <v>1800000</v>
      </c>
    </row>
    <row r="34" spans="2:7" ht="25.5" x14ac:dyDescent="0.25">
      <c r="B34" s="169" t="s">
        <v>122</v>
      </c>
      <c r="C34" s="168">
        <v>1800000</v>
      </c>
      <c r="D34" s="183"/>
      <c r="E34" s="183">
        <v>0</v>
      </c>
      <c r="F34" s="183"/>
      <c r="G34" s="162">
        <f>C34+D34+E34+F34</f>
        <v>1800000</v>
      </c>
    </row>
    <row r="35" spans="2:7" s="297" customFormat="1" x14ac:dyDescent="0.25">
      <c r="B35" s="172" t="s">
        <v>84</v>
      </c>
      <c r="C35" s="159">
        <f>SUM(C36)</f>
        <v>0</v>
      </c>
      <c r="D35" s="159">
        <f t="shared" si="4"/>
        <v>0</v>
      </c>
      <c r="E35" s="159">
        <f t="shared" si="4"/>
        <v>2500</v>
      </c>
      <c r="F35" s="159">
        <f t="shared" si="4"/>
        <v>0</v>
      </c>
      <c r="G35" s="159">
        <f t="shared" si="4"/>
        <v>2500</v>
      </c>
    </row>
    <row r="36" spans="2:7" s="297" customFormat="1" x14ac:dyDescent="0.25">
      <c r="B36" s="175" t="s">
        <v>88</v>
      </c>
      <c r="C36" s="356"/>
      <c r="D36" s="357"/>
      <c r="E36" s="183">
        <v>2500</v>
      </c>
      <c r="F36" s="183"/>
      <c r="G36" s="162">
        <f>C36+D36+E36+F36</f>
        <v>2500</v>
      </c>
    </row>
    <row r="37" spans="2:7" ht="26.45" customHeight="1" thickBot="1" x14ac:dyDescent="0.3">
      <c r="B37" s="174" t="s">
        <v>32</v>
      </c>
      <c r="C37" s="181">
        <f>C34</f>
        <v>1800000</v>
      </c>
      <c r="D37" s="181">
        <f>D34</f>
        <v>0</v>
      </c>
      <c r="E37" s="181">
        <f t="shared" ref="E37:F37" si="5">E34</f>
        <v>0</v>
      </c>
      <c r="F37" s="181">
        <f t="shared" si="5"/>
        <v>0</v>
      </c>
      <c r="G37" s="181">
        <f>+G35+G33</f>
        <v>1802500</v>
      </c>
    </row>
    <row r="38" spans="2:7" x14ac:dyDescent="0.25">
      <c r="G38" s="243"/>
    </row>
  </sheetData>
  <mergeCells count="5">
    <mergeCell ref="E11:E12"/>
    <mergeCell ref="C11:C12"/>
    <mergeCell ref="G11:G12"/>
    <mergeCell ref="D11:D12"/>
    <mergeCell ref="F11:F12"/>
  </mergeCells>
  <phoneticPr fontId="28" type="noConversion"/>
  <conditionalFormatting sqref="D37:G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topLeftCell="A19" zoomScale="85" zoomScaleNormal="85" workbookViewId="0">
      <selection activeCell="B10" sqref="B10"/>
    </sheetView>
  </sheetViews>
  <sheetFormatPr baseColWidth="10" defaultColWidth="11.42578125" defaultRowHeight="12.75" x14ac:dyDescent="0.2"/>
  <cols>
    <col min="1" max="1" width="73.42578125" style="119" customWidth="1"/>
    <col min="2" max="2" width="38.42578125" style="148" customWidth="1"/>
    <col min="3" max="256" width="9.140625" style="119" customWidth="1"/>
    <col min="257" max="257" width="73.42578125" style="119" customWidth="1"/>
    <col min="258" max="258" width="24.42578125" style="119" customWidth="1"/>
    <col min="259" max="512" width="9.140625" style="119" customWidth="1"/>
    <col min="513" max="513" width="73.42578125" style="119" customWidth="1"/>
    <col min="514" max="514" width="24.42578125" style="119" customWidth="1"/>
    <col min="515" max="768" width="9.140625" style="119" customWidth="1"/>
    <col min="769" max="769" width="73.42578125" style="119" customWidth="1"/>
    <col min="770" max="770" width="24.42578125" style="119" customWidth="1"/>
    <col min="771" max="1024" width="9.140625" style="119" customWidth="1"/>
    <col min="1025" max="1025" width="73.42578125" style="119" customWidth="1"/>
    <col min="1026" max="1026" width="24.42578125" style="119" customWidth="1"/>
    <col min="1027" max="1280" width="9.140625" style="119" customWidth="1"/>
    <col min="1281" max="1281" width="73.42578125" style="119" customWidth="1"/>
    <col min="1282" max="1282" width="24.42578125" style="119" customWidth="1"/>
    <col min="1283" max="1536" width="9.140625" style="119" customWidth="1"/>
    <col min="1537" max="1537" width="73.42578125" style="119" customWidth="1"/>
    <col min="1538" max="1538" width="24.42578125" style="119" customWidth="1"/>
    <col min="1539" max="1792" width="9.140625" style="119" customWidth="1"/>
    <col min="1793" max="1793" width="73.42578125" style="119" customWidth="1"/>
    <col min="1794" max="1794" width="24.42578125" style="119" customWidth="1"/>
    <col min="1795" max="2048" width="9.140625" style="119" customWidth="1"/>
    <col min="2049" max="2049" width="73.42578125" style="119" customWidth="1"/>
    <col min="2050" max="2050" width="24.42578125" style="119" customWidth="1"/>
    <col min="2051" max="2304" width="9.140625" style="119" customWidth="1"/>
    <col min="2305" max="2305" width="73.42578125" style="119" customWidth="1"/>
    <col min="2306" max="2306" width="24.42578125" style="119" customWidth="1"/>
    <col min="2307" max="2560" width="9.140625" style="119" customWidth="1"/>
    <col min="2561" max="2561" width="73.42578125" style="119" customWidth="1"/>
    <col min="2562" max="2562" width="24.42578125" style="119" customWidth="1"/>
    <col min="2563" max="2816" width="9.140625" style="119" customWidth="1"/>
    <col min="2817" max="2817" width="73.42578125" style="119" customWidth="1"/>
    <col min="2818" max="2818" width="24.42578125" style="119" customWidth="1"/>
    <col min="2819" max="3072" width="9.140625" style="119" customWidth="1"/>
    <col min="3073" max="3073" width="73.42578125" style="119" customWidth="1"/>
    <col min="3074" max="3074" width="24.42578125" style="119" customWidth="1"/>
    <col min="3075" max="3328" width="9.140625" style="119" customWidth="1"/>
    <col min="3329" max="3329" width="73.42578125" style="119" customWidth="1"/>
    <col min="3330" max="3330" width="24.42578125" style="119" customWidth="1"/>
    <col min="3331" max="3584" width="9.140625" style="119" customWidth="1"/>
    <col min="3585" max="3585" width="73.42578125" style="119" customWidth="1"/>
    <col min="3586" max="3586" width="24.42578125" style="119" customWidth="1"/>
    <col min="3587" max="3840" width="9.140625" style="119" customWidth="1"/>
    <col min="3841" max="3841" width="73.42578125" style="119" customWidth="1"/>
    <col min="3842" max="3842" width="24.42578125" style="119" customWidth="1"/>
    <col min="3843" max="4096" width="9.140625" style="119" customWidth="1"/>
    <col min="4097" max="4097" width="73.42578125" style="119" customWidth="1"/>
    <col min="4098" max="4098" width="24.42578125" style="119" customWidth="1"/>
    <col min="4099" max="4352" width="9.140625" style="119" customWidth="1"/>
    <col min="4353" max="4353" width="73.42578125" style="119" customWidth="1"/>
    <col min="4354" max="4354" width="24.42578125" style="119" customWidth="1"/>
    <col min="4355" max="4608" width="9.140625" style="119" customWidth="1"/>
    <col min="4609" max="4609" width="73.42578125" style="119" customWidth="1"/>
    <col min="4610" max="4610" width="24.42578125" style="119" customWidth="1"/>
    <col min="4611" max="4864" width="9.140625" style="119" customWidth="1"/>
    <col min="4865" max="4865" width="73.42578125" style="119" customWidth="1"/>
    <col min="4866" max="4866" width="24.42578125" style="119" customWidth="1"/>
    <col min="4867" max="5120" width="9.140625" style="119" customWidth="1"/>
    <col min="5121" max="5121" width="73.42578125" style="119" customWidth="1"/>
    <col min="5122" max="5122" width="24.42578125" style="119" customWidth="1"/>
    <col min="5123" max="5376" width="9.140625" style="119" customWidth="1"/>
    <col min="5377" max="5377" width="73.42578125" style="119" customWidth="1"/>
    <col min="5378" max="5378" width="24.42578125" style="119" customWidth="1"/>
    <col min="5379" max="5632" width="9.140625" style="119" customWidth="1"/>
    <col min="5633" max="5633" width="73.42578125" style="119" customWidth="1"/>
    <col min="5634" max="5634" width="24.42578125" style="119" customWidth="1"/>
    <col min="5635" max="5888" width="9.140625" style="119" customWidth="1"/>
    <col min="5889" max="5889" width="73.42578125" style="119" customWidth="1"/>
    <col min="5890" max="5890" width="24.42578125" style="119" customWidth="1"/>
    <col min="5891" max="6144" width="9.140625" style="119" customWidth="1"/>
    <col min="6145" max="6145" width="73.42578125" style="119" customWidth="1"/>
    <col min="6146" max="6146" width="24.42578125" style="119" customWidth="1"/>
    <col min="6147" max="6400" width="9.140625" style="119" customWidth="1"/>
    <col min="6401" max="6401" width="73.42578125" style="119" customWidth="1"/>
    <col min="6402" max="6402" width="24.42578125" style="119" customWidth="1"/>
    <col min="6403" max="6656" width="9.140625" style="119" customWidth="1"/>
    <col min="6657" max="6657" width="73.42578125" style="119" customWidth="1"/>
    <col min="6658" max="6658" width="24.42578125" style="119" customWidth="1"/>
    <col min="6659" max="6912" width="9.140625" style="119" customWidth="1"/>
    <col min="6913" max="6913" width="73.42578125" style="119" customWidth="1"/>
    <col min="6914" max="6914" width="24.42578125" style="119" customWidth="1"/>
    <col min="6915" max="7168" width="9.140625" style="119" customWidth="1"/>
    <col min="7169" max="7169" width="73.42578125" style="119" customWidth="1"/>
    <col min="7170" max="7170" width="24.42578125" style="119" customWidth="1"/>
    <col min="7171" max="7424" width="9.140625" style="119" customWidth="1"/>
    <col min="7425" max="7425" width="73.42578125" style="119" customWidth="1"/>
    <col min="7426" max="7426" width="24.42578125" style="119" customWidth="1"/>
    <col min="7427" max="7680" width="9.140625" style="119" customWidth="1"/>
    <col min="7681" max="7681" width="73.42578125" style="119" customWidth="1"/>
    <col min="7682" max="7682" width="24.42578125" style="119" customWidth="1"/>
    <col min="7683" max="7936" width="9.140625" style="119" customWidth="1"/>
    <col min="7937" max="7937" width="73.42578125" style="119" customWidth="1"/>
    <col min="7938" max="7938" width="24.42578125" style="119" customWidth="1"/>
    <col min="7939" max="8192" width="9.140625" style="119" customWidth="1"/>
    <col min="8193" max="8193" width="73.42578125" style="119" customWidth="1"/>
    <col min="8194" max="8194" width="24.42578125" style="119" customWidth="1"/>
    <col min="8195" max="8448" width="9.140625" style="119" customWidth="1"/>
    <col min="8449" max="8449" width="73.42578125" style="119" customWidth="1"/>
    <col min="8450" max="8450" width="24.42578125" style="119" customWidth="1"/>
    <col min="8451" max="8704" width="9.140625" style="119" customWidth="1"/>
    <col min="8705" max="8705" width="73.42578125" style="119" customWidth="1"/>
    <col min="8706" max="8706" width="24.42578125" style="119" customWidth="1"/>
    <col min="8707" max="8960" width="9.140625" style="119" customWidth="1"/>
    <col min="8961" max="8961" width="73.42578125" style="119" customWidth="1"/>
    <col min="8962" max="8962" width="24.42578125" style="119" customWidth="1"/>
    <col min="8963" max="9216" width="9.140625" style="119" customWidth="1"/>
    <col min="9217" max="9217" width="73.42578125" style="119" customWidth="1"/>
    <col min="9218" max="9218" width="24.42578125" style="119" customWidth="1"/>
    <col min="9219" max="9472" width="9.140625" style="119" customWidth="1"/>
    <col min="9473" max="9473" width="73.42578125" style="119" customWidth="1"/>
    <col min="9474" max="9474" width="24.42578125" style="119" customWidth="1"/>
    <col min="9475" max="9728" width="9.140625" style="119" customWidth="1"/>
    <col min="9729" max="9729" width="73.42578125" style="119" customWidth="1"/>
    <col min="9730" max="9730" width="24.42578125" style="119" customWidth="1"/>
    <col min="9731" max="9984" width="9.140625" style="119" customWidth="1"/>
    <col min="9985" max="9985" width="73.42578125" style="119" customWidth="1"/>
    <col min="9986" max="9986" width="24.42578125" style="119" customWidth="1"/>
    <col min="9987" max="10240" width="9.140625" style="119" customWidth="1"/>
    <col min="10241" max="10241" width="73.42578125" style="119" customWidth="1"/>
    <col min="10242" max="10242" width="24.42578125" style="119" customWidth="1"/>
    <col min="10243" max="10496" width="9.140625" style="119" customWidth="1"/>
    <col min="10497" max="10497" width="73.42578125" style="119" customWidth="1"/>
    <col min="10498" max="10498" width="24.42578125" style="119" customWidth="1"/>
    <col min="10499" max="10752" width="9.140625" style="119" customWidth="1"/>
    <col min="10753" max="10753" width="73.42578125" style="119" customWidth="1"/>
    <col min="10754" max="10754" width="24.42578125" style="119" customWidth="1"/>
    <col min="10755" max="11008" width="9.140625" style="119" customWidth="1"/>
    <col min="11009" max="11009" width="73.42578125" style="119" customWidth="1"/>
    <col min="11010" max="11010" width="24.42578125" style="119" customWidth="1"/>
    <col min="11011" max="11264" width="9.140625" style="119" customWidth="1"/>
    <col min="11265" max="11265" width="73.42578125" style="119" customWidth="1"/>
    <col min="11266" max="11266" width="24.42578125" style="119" customWidth="1"/>
    <col min="11267" max="11520" width="9.140625" style="119" customWidth="1"/>
    <col min="11521" max="11521" width="73.42578125" style="119" customWidth="1"/>
    <col min="11522" max="11522" width="24.42578125" style="119" customWidth="1"/>
    <col min="11523" max="11776" width="9.140625" style="119" customWidth="1"/>
    <col min="11777" max="11777" width="73.42578125" style="119" customWidth="1"/>
    <col min="11778" max="11778" width="24.42578125" style="119" customWidth="1"/>
    <col min="11779" max="12032" width="9.140625" style="119" customWidth="1"/>
    <col min="12033" max="12033" width="73.42578125" style="119" customWidth="1"/>
    <col min="12034" max="12034" width="24.42578125" style="119" customWidth="1"/>
    <col min="12035" max="12288" width="9.140625" style="119" customWidth="1"/>
    <col min="12289" max="12289" width="73.42578125" style="119" customWidth="1"/>
    <col min="12290" max="12290" width="24.42578125" style="119" customWidth="1"/>
    <col min="12291" max="12544" width="9.140625" style="119" customWidth="1"/>
    <col min="12545" max="12545" width="73.42578125" style="119" customWidth="1"/>
    <col min="12546" max="12546" width="24.42578125" style="119" customWidth="1"/>
    <col min="12547" max="12800" width="9.140625" style="119" customWidth="1"/>
    <col min="12801" max="12801" width="73.42578125" style="119" customWidth="1"/>
    <col min="12802" max="12802" width="24.42578125" style="119" customWidth="1"/>
    <col min="12803" max="13056" width="9.140625" style="119" customWidth="1"/>
    <col min="13057" max="13057" width="73.42578125" style="119" customWidth="1"/>
    <col min="13058" max="13058" width="24.42578125" style="119" customWidth="1"/>
    <col min="13059" max="13312" width="9.140625" style="119" customWidth="1"/>
    <col min="13313" max="13313" width="73.42578125" style="119" customWidth="1"/>
    <col min="13314" max="13314" width="24.42578125" style="119" customWidth="1"/>
    <col min="13315" max="13568" width="9.140625" style="119" customWidth="1"/>
    <col min="13569" max="13569" width="73.42578125" style="119" customWidth="1"/>
    <col min="13570" max="13570" width="24.42578125" style="119" customWidth="1"/>
    <col min="13571" max="13824" width="9.140625" style="119" customWidth="1"/>
    <col min="13825" max="13825" width="73.42578125" style="119" customWidth="1"/>
    <col min="13826" max="13826" width="24.42578125" style="119" customWidth="1"/>
    <col min="13827" max="14080" width="9.140625" style="119" customWidth="1"/>
    <col min="14081" max="14081" width="73.42578125" style="119" customWidth="1"/>
    <col min="14082" max="14082" width="24.42578125" style="119" customWidth="1"/>
    <col min="14083" max="14336" width="9.140625" style="119" customWidth="1"/>
    <col min="14337" max="14337" width="73.42578125" style="119" customWidth="1"/>
    <col min="14338" max="14338" width="24.42578125" style="119" customWidth="1"/>
    <col min="14339" max="14592" width="9.140625" style="119" customWidth="1"/>
    <col min="14593" max="14593" width="73.42578125" style="119" customWidth="1"/>
    <col min="14594" max="14594" width="24.42578125" style="119" customWidth="1"/>
    <col min="14595" max="14848" width="9.140625" style="119" customWidth="1"/>
    <col min="14849" max="14849" width="73.42578125" style="119" customWidth="1"/>
    <col min="14850" max="14850" width="24.42578125" style="119" customWidth="1"/>
    <col min="14851" max="15104" width="9.140625" style="119" customWidth="1"/>
    <col min="15105" max="15105" width="73.42578125" style="119" customWidth="1"/>
    <col min="15106" max="15106" width="24.42578125" style="119" customWidth="1"/>
    <col min="15107" max="15360" width="9.140625" style="119" customWidth="1"/>
    <col min="15361" max="15361" width="73.42578125" style="119" customWidth="1"/>
    <col min="15362" max="15362" width="24.42578125" style="119" customWidth="1"/>
    <col min="15363" max="15616" width="9.140625" style="119" customWidth="1"/>
    <col min="15617" max="15617" width="73.42578125" style="119" customWidth="1"/>
    <col min="15618" max="15618" width="24.42578125" style="119" customWidth="1"/>
    <col min="15619" max="15872" width="9.140625" style="119" customWidth="1"/>
    <col min="15873" max="15873" width="73.42578125" style="119" customWidth="1"/>
    <col min="15874" max="15874" width="24.42578125" style="119" customWidth="1"/>
    <col min="15875" max="16128" width="9.140625" style="119" customWidth="1"/>
    <col min="16129" max="16129" width="73.42578125" style="119" customWidth="1"/>
    <col min="16130" max="16130" width="24.42578125" style="119" customWidth="1"/>
    <col min="16131" max="16384" width="9.140625" style="119" customWidth="1"/>
  </cols>
  <sheetData>
    <row r="1" spans="1:6" ht="15.75" x14ac:dyDescent="0.25">
      <c r="A1" s="117" t="s">
        <v>35</v>
      </c>
      <c r="B1" s="118"/>
    </row>
    <row r="2" spans="1:6" ht="15.75" x14ac:dyDescent="0.25">
      <c r="A2" s="120"/>
      <c r="B2" s="121"/>
    </row>
    <row r="3" spans="1:6" ht="16.5" thickBot="1" x14ac:dyDescent="0.3">
      <c r="A3" s="422" t="s">
        <v>36</v>
      </c>
      <c r="B3" s="423"/>
    </row>
    <row r="4" spans="1:6" x14ac:dyDescent="0.2">
      <c r="A4" s="122" t="s">
        <v>37</v>
      </c>
      <c r="B4" s="123" t="s">
        <v>67</v>
      </c>
    </row>
    <row r="5" spans="1:6" ht="30" customHeight="1" x14ac:dyDescent="0.2">
      <c r="A5" s="124" t="s">
        <v>38</v>
      </c>
      <c r="B5" s="125" t="s">
        <v>269</v>
      </c>
      <c r="C5" s="126"/>
    </row>
    <row r="6" spans="1:6" x14ac:dyDescent="0.2">
      <c r="A6" s="127" t="s">
        <v>39</v>
      </c>
      <c r="B6" s="128" t="s">
        <v>270</v>
      </c>
    </row>
    <row r="7" spans="1:6" x14ac:dyDescent="0.2">
      <c r="A7" s="129" t="s">
        <v>40</v>
      </c>
      <c r="B7" s="128" t="s">
        <v>69</v>
      </c>
    </row>
    <row r="8" spans="1:6" x14ac:dyDescent="0.2">
      <c r="A8" s="124" t="s">
        <v>41</v>
      </c>
      <c r="B8" s="130" t="s">
        <v>68</v>
      </c>
    </row>
    <row r="9" spans="1:6" x14ac:dyDescent="0.2">
      <c r="A9" s="124" t="s">
        <v>42</v>
      </c>
      <c r="B9" s="128" t="s">
        <v>228</v>
      </c>
    </row>
    <row r="10" spans="1:6" x14ac:dyDescent="0.2">
      <c r="A10" s="124" t="s">
        <v>43</v>
      </c>
      <c r="B10" s="131">
        <v>43273</v>
      </c>
    </row>
    <row r="11" spans="1:6" x14ac:dyDescent="0.2">
      <c r="A11" s="124" t="s">
        <v>44</v>
      </c>
      <c r="B11" s="131">
        <v>43282</v>
      </c>
    </row>
    <row r="12" spans="1:6" x14ac:dyDescent="0.2">
      <c r="A12" s="124" t="s">
        <v>45</v>
      </c>
      <c r="B12" s="131">
        <f>DATE(YEAR(B11),MONTH(B11)+3,DAY(B11))-1</f>
        <v>43373</v>
      </c>
    </row>
    <row r="13" spans="1:6" x14ac:dyDescent="0.2">
      <c r="A13" s="124" t="s">
        <v>46</v>
      </c>
      <c r="B13" s="128">
        <v>9</v>
      </c>
    </row>
    <row r="14" spans="1:6" x14ac:dyDescent="0.2">
      <c r="A14" s="132" t="s">
        <v>47</v>
      </c>
      <c r="B14" s="128" t="s">
        <v>48</v>
      </c>
    </row>
    <row r="15" spans="1:6" ht="25.5" x14ac:dyDescent="0.2">
      <c r="A15" s="133" t="s">
        <v>49</v>
      </c>
      <c r="B15" s="128"/>
    </row>
    <row r="16" spans="1:6" ht="32.25" customHeight="1" x14ac:dyDescent="0.2">
      <c r="A16" s="424" t="s">
        <v>134</v>
      </c>
      <c r="B16" s="425"/>
      <c r="C16" s="229"/>
      <c r="D16" s="229"/>
      <c r="E16" s="229"/>
      <c r="F16" s="229"/>
    </row>
    <row r="17" spans="1:2" ht="18.75" customHeight="1" x14ac:dyDescent="0.2">
      <c r="A17" s="124" t="s">
        <v>50</v>
      </c>
      <c r="B17" s="328">
        <v>2596245.9888999998</v>
      </c>
    </row>
    <row r="18" spans="1:2" ht="20.25" customHeight="1" x14ac:dyDescent="0.2">
      <c r="A18" s="124" t="s">
        <v>51</v>
      </c>
      <c r="B18" s="134"/>
    </row>
    <row r="19" spans="1:2" ht="18.75" customHeight="1" x14ac:dyDescent="0.2">
      <c r="A19" s="124" t="s">
        <v>52</v>
      </c>
      <c r="B19" s="135"/>
    </row>
    <row r="20" spans="1:2" ht="18.75" customHeight="1" x14ac:dyDescent="0.2">
      <c r="A20" s="124" t="s">
        <v>53</v>
      </c>
      <c r="B20" s="134">
        <v>0</v>
      </c>
    </row>
    <row r="21" spans="1:2" ht="18.75" customHeight="1" x14ac:dyDescent="0.2">
      <c r="A21" s="124" t="s">
        <v>54</v>
      </c>
      <c r="B21" s="328">
        <f>B17+B18+B19-B20</f>
        <v>2596245.9888999998</v>
      </c>
    </row>
    <row r="22" spans="1:2" ht="32.1" customHeight="1" x14ac:dyDescent="0.2">
      <c r="A22" s="124" t="s">
        <v>55</v>
      </c>
      <c r="B22" s="342" t="s">
        <v>279</v>
      </c>
    </row>
    <row r="23" spans="1:2" ht="39.950000000000003" customHeight="1" x14ac:dyDescent="0.2">
      <c r="A23" s="426" t="s">
        <v>56</v>
      </c>
      <c r="B23" s="426"/>
    </row>
    <row r="24" spans="1:2" ht="58.5" customHeight="1" x14ac:dyDescent="0.2">
      <c r="A24" s="426" t="s">
        <v>57</v>
      </c>
      <c r="B24" s="426"/>
    </row>
    <row r="25" spans="1:2" ht="33" customHeight="1" x14ac:dyDescent="0.2">
      <c r="A25" s="426" t="s">
        <v>58</v>
      </c>
      <c r="B25" s="427"/>
    </row>
    <row r="26" spans="1:2" ht="50.1" customHeight="1" x14ac:dyDescent="0.2">
      <c r="A26" s="426" t="s">
        <v>252</v>
      </c>
      <c r="B26" s="426"/>
    </row>
    <row r="27" spans="1:2" ht="20.100000000000001" customHeight="1" x14ac:dyDescent="0.2">
      <c r="A27" s="136"/>
      <c r="B27" s="137"/>
    </row>
    <row r="28" spans="1:2" ht="20.100000000000001" customHeight="1" x14ac:dyDescent="0.2">
      <c r="A28" s="418" t="s">
        <v>278</v>
      </c>
      <c r="B28" s="419"/>
    </row>
    <row r="29" spans="1:2" ht="42.6" customHeight="1" x14ac:dyDescent="0.2">
      <c r="A29" s="138" t="s">
        <v>59</v>
      </c>
      <c r="B29" s="139"/>
    </row>
    <row r="30" spans="1:2" ht="20.100000000000001" customHeight="1" x14ac:dyDescent="0.2">
      <c r="A30" s="138" t="s">
        <v>267</v>
      </c>
      <c r="B30" s="139"/>
    </row>
    <row r="31" spans="1:2" ht="20.100000000000001" customHeight="1" x14ac:dyDescent="0.2">
      <c r="A31" s="322" t="s">
        <v>277</v>
      </c>
      <c r="B31" s="139"/>
    </row>
    <row r="32" spans="1:2" ht="20.100000000000001" customHeight="1" x14ac:dyDescent="0.2">
      <c r="A32" s="140"/>
      <c r="B32" s="141"/>
    </row>
    <row r="33" spans="1:2" ht="20.100000000000001" customHeight="1" x14ac:dyDescent="0.2">
      <c r="A33" s="420" t="s">
        <v>271</v>
      </c>
      <c r="B33" s="421"/>
    </row>
    <row r="34" spans="1:2" ht="20.100000000000001" customHeight="1" x14ac:dyDescent="0.2">
      <c r="A34" s="138" t="s">
        <v>59</v>
      </c>
      <c r="B34" s="139"/>
    </row>
    <row r="35" spans="1:2" ht="20.100000000000001" customHeight="1" x14ac:dyDescent="0.2">
      <c r="A35" s="340" t="s">
        <v>268</v>
      </c>
      <c r="B35" s="139"/>
    </row>
    <row r="36" spans="1:2" ht="20.100000000000001" customHeight="1" x14ac:dyDescent="0.2">
      <c r="A36" s="138" t="s">
        <v>60</v>
      </c>
      <c r="B36" s="139"/>
    </row>
    <row r="37" spans="1:2" ht="20.100000000000001" customHeight="1" x14ac:dyDescent="0.2">
      <c r="A37" s="140"/>
      <c r="B37" s="141"/>
    </row>
    <row r="38" spans="1:2" ht="3.6" customHeight="1" x14ac:dyDescent="0.2">
      <c r="A38" s="136"/>
      <c r="B38" s="137"/>
    </row>
    <row r="39" spans="1:2" ht="14.45" customHeight="1" x14ac:dyDescent="0.2">
      <c r="A39" s="418"/>
      <c r="B39" s="419"/>
    </row>
    <row r="40" spans="1:2" ht="20.100000000000001" customHeight="1" x14ac:dyDescent="0.2">
      <c r="A40" s="140" t="s">
        <v>59</v>
      </c>
      <c r="B40" s="139"/>
    </row>
    <row r="41" spans="1:2" ht="20.100000000000001" customHeight="1" thickBot="1" x14ac:dyDescent="0.25">
      <c r="A41" s="142" t="s">
        <v>61</v>
      </c>
      <c r="B41" s="139"/>
    </row>
    <row r="42" spans="1:2" ht="20.100000000000001" customHeight="1" x14ac:dyDescent="0.2">
      <c r="A42" s="138" t="s">
        <v>236</v>
      </c>
      <c r="B42" s="139"/>
    </row>
    <row r="43" spans="1:2" ht="14.45" customHeight="1" x14ac:dyDescent="0.2">
      <c r="A43" s="143"/>
      <c r="B43" s="141"/>
    </row>
    <row r="44" spans="1:2" x14ac:dyDescent="0.2">
      <c r="A44" s="144"/>
      <c r="B44" s="145"/>
    </row>
    <row r="45" spans="1:2" x14ac:dyDescent="0.2">
      <c r="A45" s="146"/>
      <c r="B45" s="147"/>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7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38"/>
  <sheetViews>
    <sheetView showGridLines="0" zoomScale="85" zoomScaleNormal="85" workbookViewId="0">
      <pane xSplit="3" ySplit="3" topLeftCell="D4" activePane="bottomRight" state="frozen"/>
      <selection pane="topRight" activeCell="D1" sqref="D1"/>
      <selection pane="bottomLeft" activeCell="A4" sqref="A4"/>
      <selection pane="bottomRight" activeCell="D7" sqref="D7"/>
    </sheetView>
  </sheetViews>
  <sheetFormatPr baseColWidth="10" defaultColWidth="8.85546875" defaultRowHeight="15" x14ac:dyDescent="0.25"/>
  <cols>
    <col min="1" max="1" width="5.140625" customWidth="1"/>
    <col min="2" max="2" width="12.140625" hidden="1" customWidth="1"/>
    <col min="3" max="3" width="43.5703125" hidden="1" customWidth="1"/>
    <col min="4" max="4" width="18.42578125" customWidth="1"/>
    <col min="5" max="5" width="13.140625" customWidth="1"/>
    <col min="6" max="6" width="13.140625" style="297" customWidth="1"/>
    <col min="7" max="7" width="12.42578125" customWidth="1"/>
    <col min="8" max="8" width="10.85546875" bestFit="1" customWidth="1"/>
    <col min="9" max="9" width="10.85546875" style="314" bestFit="1" customWidth="1"/>
    <col min="10" max="17" width="10.85546875" bestFit="1" customWidth="1"/>
    <col min="18" max="20" width="10.42578125" customWidth="1"/>
    <col min="21" max="21" width="10.85546875" bestFit="1" customWidth="1"/>
    <col min="22" max="22" width="10.85546875" style="297" bestFit="1" customWidth="1"/>
    <col min="23" max="23" width="13" customWidth="1"/>
    <col min="24" max="25" width="14" customWidth="1"/>
    <col min="26" max="26" width="11" customWidth="1"/>
    <col min="27" max="29" width="10.85546875" bestFit="1" customWidth="1"/>
    <col min="30" max="30" width="11.85546875" bestFit="1" customWidth="1"/>
    <col min="31" max="31" width="13.85546875" customWidth="1"/>
    <col min="32" max="32" width="13.42578125" bestFit="1" customWidth="1"/>
    <col min="33" max="33" width="11.85546875" bestFit="1" customWidth="1"/>
    <col min="34" max="34" width="13.42578125" bestFit="1" customWidth="1"/>
    <col min="35" max="36" width="11.85546875" bestFit="1" customWidth="1"/>
    <col min="37" max="37" width="12.42578125" customWidth="1"/>
    <col min="38" max="39" width="11.85546875" bestFit="1" customWidth="1"/>
    <col min="40" max="40" width="13.42578125" bestFit="1" customWidth="1"/>
    <col min="41" max="41" width="12.140625" bestFit="1" customWidth="1"/>
    <col min="42" max="43" width="11.42578125" customWidth="1"/>
    <col min="44" max="44" width="11.85546875" bestFit="1" customWidth="1"/>
    <col min="45" max="45" width="14.5703125" bestFit="1" customWidth="1"/>
    <col min="46" max="46" width="11.85546875" bestFit="1" customWidth="1"/>
    <col min="47" max="47" width="13.42578125" bestFit="1" customWidth="1"/>
    <col min="48" max="48" width="11.85546875" bestFit="1" customWidth="1"/>
    <col min="49" max="50" width="13.42578125" bestFit="1" customWidth="1"/>
    <col min="51" max="51" width="11.85546875" bestFit="1" customWidth="1"/>
    <col min="52" max="56" width="11.42578125" customWidth="1"/>
    <col min="57" max="57" width="14.42578125" customWidth="1"/>
    <col min="58" max="58" width="14.140625" customWidth="1"/>
    <col min="59" max="59" width="10.5703125" bestFit="1" customWidth="1"/>
  </cols>
  <sheetData>
    <row r="1" spans="1:58" x14ac:dyDescent="0.25">
      <c r="D1" s="234">
        <f>SUM(D2:D97)</f>
        <v>24785928.710000001</v>
      </c>
      <c r="G1" t="s">
        <v>165</v>
      </c>
      <c r="W1" t="s">
        <v>179</v>
      </c>
      <c r="Z1" s="239" t="s">
        <v>207</v>
      </c>
      <c r="AA1" s="239"/>
      <c r="AB1" s="239"/>
      <c r="AC1" s="239"/>
      <c r="AD1" s="239"/>
      <c r="AE1" s="239"/>
      <c r="AF1" s="239"/>
      <c r="AG1" s="239"/>
      <c r="AH1" s="239"/>
      <c r="AI1" s="239"/>
      <c r="AJ1" s="239"/>
      <c r="AK1" s="239"/>
      <c r="AL1" s="239"/>
      <c r="AM1" s="239"/>
      <c r="AN1" s="239"/>
      <c r="AO1" s="240"/>
      <c r="AP1" s="239" t="s">
        <v>208</v>
      </c>
      <c r="AQ1" s="239"/>
      <c r="AR1" s="239"/>
      <c r="AS1" s="239"/>
      <c r="AT1" s="239"/>
      <c r="AU1" s="239"/>
      <c r="AV1" s="239"/>
      <c r="AW1" s="239"/>
      <c r="AX1" s="239"/>
      <c r="AY1" s="239"/>
      <c r="AZ1" s="239"/>
      <c r="BA1" s="239"/>
      <c r="BB1" s="239"/>
      <c r="BC1" s="239"/>
      <c r="BD1" s="239"/>
    </row>
    <row r="2" spans="1:58" x14ac:dyDescent="0.25">
      <c r="A2" t="s">
        <v>141</v>
      </c>
      <c r="D2" t="s">
        <v>163</v>
      </c>
      <c r="G2" s="374">
        <v>42552</v>
      </c>
      <c r="H2" s="374">
        <v>42644</v>
      </c>
      <c r="I2" s="375">
        <v>42736</v>
      </c>
      <c r="J2" s="374">
        <v>42826</v>
      </c>
      <c r="K2" s="374">
        <v>42917</v>
      </c>
      <c r="L2" s="374">
        <v>43009</v>
      </c>
      <c r="M2" s="374">
        <v>43101</v>
      </c>
      <c r="N2" s="374">
        <v>43191</v>
      </c>
      <c r="O2" s="374">
        <v>43282</v>
      </c>
      <c r="P2" s="374">
        <v>43374</v>
      </c>
      <c r="Q2" s="374">
        <v>43466</v>
      </c>
      <c r="R2" s="374">
        <v>43556</v>
      </c>
      <c r="S2" s="374">
        <v>43647</v>
      </c>
      <c r="T2" s="374">
        <v>43739</v>
      </c>
      <c r="U2" s="374">
        <v>43831</v>
      </c>
      <c r="V2" s="374" t="s">
        <v>265</v>
      </c>
      <c r="X2" s="297"/>
      <c r="Y2" s="297"/>
      <c r="Z2" s="241">
        <v>42552</v>
      </c>
      <c r="AA2" s="241">
        <v>42644</v>
      </c>
      <c r="AB2" s="241">
        <v>42736</v>
      </c>
      <c r="AC2" s="241">
        <v>42826</v>
      </c>
      <c r="AD2" s="241">
        <v>42917</v>
      </c>
      <c r="AE2" s="241">
        <v>43009</v>
      </c>
      <c r="AF2" s="241">
        <v>43101</v>
      </c>
      <c r="AG2" s="241">
        <v>43191</v>
      </c>
      <c r="AH2" s="241">
        <v>43282</v>
      </c>
      <c r="AI2" s="241">
        <v>43374</v>
      </c>
      <c r="AJ2" s="241">
        <v>43466</v>
      </c>
      <c r="AK2" s="241">
        <v>43556</v>
      </c>
      <c r="AL2" s="241">
        <v>43647</v>
      </c>
      <c r="AM2" s="241">
        <v>43739</v>
      </c>
      <c r="AN2" s="241">
        <v>43831</v>
      </c>
      <c r="AO2" s="241">
        <v>43922</v>
      </c>
      <c r="AP2" s="241">
        <v>42552</v>
      </c>
      <c r="AQ2" s="241">
        <v>42644</v>
      </c>
      <c r="AR2" s="241">
        <v>42736</v>
      </c>
      <c r="AS2" s="241">
        <v>42826</v>
      </c>
      <c r="AT2" s="241">
        <v>42917</v>
      </c>
      <c r="AU2" s="241">
        <v>43009</v>
      </c>
      <c r="AV2" s="241">
        <v>43101</v>
      </c>
      <c r="AW2" s="241">
        <v>43191</v>
      </c>
      <c r="AX2" s="241">
        <v>43282</v>
      </c>
      <c r="AY2" s="241">
        <v>43374</v>
      </c>
      <c r="AZ2" s="241">
        <v>43466</v>
      </c>
      <c r="BA2" s="241">
        <v>43556</v>
      </c>
      <c r="BB2" s="241">
        <v>43647</v>
      </c>
      <c r="BC2" s="241">
        <v>43739</v>
      </c>
      <c r="BD2" s="241">
        <v>43831</v>
      </c>
      <c r="BE2" s="241">
        <v>43922</v>
      </c>
      <c r="BF2" t="s">
        <v>215</v>
      </c>
    </row>
    <row r="3" spans="1:58" x14ac:dyDescent="0.25">
      <c r="A3" s="297" t="s">
        <v>141</v>
      </c>
      <c r="C3" s="297"/>
      <c r="E3" t="s">
        <v>164</v>
      </c>
      <c r="G3" t="s">
        <v>162</v>
      </c>
      <c r="H3" t="s">
        <v>166</v>
      </c>
      <c r="I3" s="314" t="s">
        <v>167</v>
      </c>
      <c r="J3" t="s">
        <v>168</v>
      </c>
      <c r="K3" t="s">
        <v>169</v>
      </c>
      <c r="L3" s="343" t="s">
        <v>170</v>
      </c>
      <c r="M3" t="s">
        <v>171</v>
      </c>
      <c r="N3" t="s">
        <v>172</v>
      </c>
      <c r="O3" t="s">
        <v>173</v>
      </c>
      <c r="P3" t="s">
        <v>174</v>
      </c>
      <c r="Q3" t="s">
        <v>175</v>
      </c>
      <c r="R3" t="s">
        <v>176</v>
      </c>
      <c r="S3" t="s">
        <v>177</v>
      </c>
      <c r="T3" t="s">
        <v>178</v>
      </c>
      <c r="U3" t="s">
        <v>180</v>
      </c>
      <c r="V3" s="359" t="s">
        <v>266</v>
      </c>
      <c r="X3" s="297"/>
      <c r="Y3" s="297"/>
      <c r="Z3" s="239" t="s">
        <v>162</v>
      </c>
      <c r="AA3" s="239" t="s">
        <v>166</v>
      </c>
      <c r="AB3" s="239" t="s">
        <v>167</v>
      </c>
      <c r="AC3" s="239" t="s">
        <v>168</v>
      </c>
      <c r="AD3" s="239" t="s">
        <v>169</v>
      </c>
      <c r="AE3" s="239" t="s">
        <v>170</v>
      </c>
      <c r="AF3" s="239" t="s">
        <v>171</v>
      </c>
      <c r="AG3" s="239" t="s">
        <v>172</v>
      </c>
      <c r="AH3" s="239" t="s">
        <v>173</v>
      </c>
      <c r="AI3" s="239" t="s">
        <v>174</v>
      </c>
      <c r="AJ3" s="239" t="s">
        <v>175</v>
      </c>
      <c r="AK3" s="239" t="s">
        <v>176</v>
      </c>
      <c r="AL3" s="239" t="s">
        <v>177</v>
      </c>
      <c r="AM3" s="239" t="s">
        <v>178</v>
      </c>
      <c r="AN3" s="239" t="s">
        <v>180</v>
      </c>
      <c r="AO3" s="358">
        <v>16</v>
      </c>
      <c r="AP3" s="376" t="s">
        <v>162</v>
      </c>
      <c r="AQ3" s="376" t="s">
        <v>166</v>
      </c>
      <c r="AR3" s="376" t="s">
        <v>167</v>
      </c>
      <c r="AS3" s="376" t="s">
        <v>168</v>
      </c>
      <c r="AT3" s="376" t="s">
        <v>169</v>
      </c>
      <c r="AU3" s="376" t="s">
        <v>170</v>
      </c>
      <c r="AV3" s="376" t="s">
        <v>171</v>
      </c>
      <c r="AW3" s="376" t="s">
        <v>172</v>
      </c>
      <c r="AX3" s="376" t="s">
        <v>173</v>
      </c>
      <c r="AY3" s="376" t="s">
        <v>174</v>
      </c>
      <c r="AZ3" s="376" t="s">
        <v>175</v>
      </c>
      <c r="BA3" s="376" t="s">
        <v>176</v>
      </c>
      <c r="BB3" s="376" t="s">
        <v>177</v>
      </c>
      <c r="BC3" s="376" t="s">
        <v>178</v>
      </c>
      <c r="BD3" s="376" t="s">
        <v>180</v>
      </c>
      <c r="BE3" s="377" t="s">
        <v>266</v>
      </c>
    </row>
    <row r="4" spans="1:58" x14ac:dyDescent="0.25">
      <c r="A4" t="s">
        <v>142</v>
      </c>
      <c r="B4" s="245"/>
      <c r="C4" s="247"/>
      <c r="D4" s="385">
        <v>7593016.0899999999</v>
      </c>
      <c r="E4" s="247" t="s">
        <v>213</v>
      </c>
      <c r="F4" s="247" t="s">
        <v>285</v>
      </c>
      <c r="G4" s="350"/>
      <c r="H4" s="350"/>
      <c r="I4" s="350"/>
      <c r="J4" s="351">
        <v>0</v>
      </c>
      <c r="K4" s="351">
        <v>9.5563139931740607E-2</v>
      </c>
      <c r="L4" s="351">
        <v>8.191126279863481E-2</v>
      </c>
      <c r="M4" s="393">
        <v>7.5085324232081904E-2</v>
      </c>
      <c r="N4" s="351">
        <v>0</v>
      </c>
      <c r="O4" s="351">
        <v>6.8259385184576901E-2</v>
      </c>
      <c r="P4" s="344">
        <f>0.0955631399317406+0.0034129691933789</f>
        <v>9.8976109125119505E-2</v>
      </c>
      <c r="Q4" s="351">
        <v>9.556313993174062E-2</v>
      </c>
      <c r="R4" s="351">
        <v>0.10238907849829353</v>
      </c>
      <c r="S4" s="351">
        <v>9.556313993174062E-2</v>
      </c>
      <c r="T4" s="351">
        <v>9.556313993174062E-2</v>
      </c>
      <c r="U4" s="344">
        <v>0.19112627986348124</v>
      </c>
      <c r="V4" s="344"/>
      <c r="W4" s="348">
        <f>SUM(G4:V4)</f>
        <v>0.99999999942915019</v>
      </c>
      <c r="X4" s="247"/>
      <c r="Y4" s="247"/>
      <c r="Z4" s="302">
        <f t="shared" ref="Z4:Z64" si="0">G4*$D4</f>
        <v>0</v>
      </c>
      <c r="AA4" s="302">
        <f t="shared" ref="AA4:AA64" si="1">H4*$D4</f>
        <v>0</v>
      </c>
      <c r="AB4" s="302">
        <f t="shared" ref="AB4:AB64" si="2">I4*$D4</f>
        <v>0</v>
      </c>
      <c r="AC4" s="302">
        <f t="shared" ref="AC4:AC64" si="3">J4*$D4</f>
        <v>0</v>
      </c>
      <c r="AD4" s="341">
        <f>K4*$D4</f>
        <v>725612.4591126279</v>
      </c>
      <c r="AE4" s="341">
        <f>L4*$D4</f>
        <v>621953.53638225258</v>
      </c>
      <c r="AF4" s="341">
        <f t="shared" ref="AF4:AF5" si="4">M4*$D4</f>
        <v>570124.07501706481</v>
      </c>
      <c r="AG4" s="341">
        <f t="shared" ref="AG4:AG5" si="5">N4*$D4</f>
        <v>0</v>
      </c>
      <c r="AH4" s="341">
        <f t="shared" ref="AH4" si="6">O4*$D4</f>
        <v>518294.61000000004</v>
      </c>
      <c r="AI4" s="341">
        <f t="shared" ref="AI4" si="7">P4*$D4</f>
        <v>751527.18911262823</v>
      </c>
      <c r="AJ4" s="341">
        <f t="shared" ref="AJ4:AJ64" si="8">Q4*$D4</f>
        <v>725612.45911262801</v>
      </c>
      <c r="AK4" s="341">
        <f t="shared" ref="AK4:AK64" si="9">R4*$D4</f>
        <v>777441.92047781579</v>
      </c>
      <c r="AL4" s="341">
        <f t="shared" ref="AL4:AL64" si="10">S4*$D4</f>
        <v>725612.45911262801</v>
      </c>
      <c r="AM4" s="341">
        <f t="shared" ref="AM4:AM64" si="11">T4*$D4</f>
        <v>725612.45911262801</v>
      </c>
      <c r="AN4" s="341">
        <f t="shared" ref="AN4:AN64" si="12">U4*$D4</f>
        <v>1451224.918225256</v>
      </c>
      <c r="AO4" s="302">
        <f t="shared" ref="AO4:AO36" si="13">V4*$D4</f>
        <v>0</v>
      </c>
      <c r="AP4" s="302">
        <f t="shared" ref="AP4:BE31" si="14">IF(AP$3=$E4,$D4,0)</f>
        <v>0</v>
      </c>
      <c r="AQ4" s="302">
        <f t="shared" si="14"/>
        <v>0</v>
      </c>
      <c r="AR4" s="302">
        <f t="shared" si="14"/>
        <v>0</v>
      </c>
      <c r="AS4" s="302">
        <f t="shared" si="14"/>
        <v>7593016.0899999999</v>
      </c>
      <c r="AT4" s="302">
        <f t="shared" si="14"/>
        <v>0</v>
      </c>
      <c r="AU4" s="302">
        <f t="shared" si="14"/>
        <v>0</v>
      </c>
      <c r="AV4" s="302">
        <f t="shared" si="14"/>
        <v>0</v>
      </c>
      <c r="AW4" s="302">
        <f t="shared" si="14"/>
        <v>0</v>
      </c>
      <c r="AX4" s="302">
        <f t="shared" si="14"/>
        <v>0</v>
      </c>
      <c r="AY4" s="302">
        <f t="shared" si="14"/>
        <v>0</v>
      </c>
      <c r="AZ4" s="302">
        <f t="shared" si="14"/>
        <v>0</v>
      </c>
      <c r="BA4" s="302">
        <f t="shared" si="14"/>
        <v>0</v>
      </c>
      <c r="BB4" s="302">
        <f t="shared" si="14"/>
        <v>0</v>
      </c>
      <c r="BC4" s="302">
        <f t="shared" si="14"/>
        <v>0</v>
      </c>
      <c r="BD4" s="302">
        <f t="shared" si="14"/>
        <v>0</v>
      </c>
      <c r="BE4" s="302">
        <f t="shared" si="14"/>
        <v>0</v>
      </c>
      <c r="BF4" s="235">
        <f t="shared" ref="BF4:BF36" si="15">SUM(Z4:AO4)-SUM(AP4:BE4)</f>
        <v>-4.3344702571630478E-3</v>
      </c>
    </row>
    <row r="5" spans="1:58" x14ac:dyDescent="0.25">
      <c r="A5" t="s">
        <v>142</v>
      </c>
      <c r="B5" s="245"/>
      <c r="C5" s="247"/>
      <c r="D5" s="385">
        <v>200000</v>
      </c>
      <c r="E5" s="247" t="s">
        <v>262</v>
      </c>
      <c r="F5" s="247" t="s">
        <v>284</v>
      </c>
      <c r="G5" s="352"/>
      <c r="H5" s="352"/>
      <c r="I5" s="352"/>
      <c r="J5" s="334"/>
      <c r="K5" s="334"/>
      <c r="L5" s="335">
        <v>0</v>
      </c>
      <c r="M5" s="335">
        <v>0</v>
      </c>
      <c r="N5" s="335">
        <v>0</v>
      </c>
      <c r="O5" s="335">
        <v>0</v>
      </c>
      <c r="P5" s="335">
        <v>1</v>
      </c>
      <c r="Q5" s="334"/>
      <c r="R5" s="334"/>
      <c r="S5" s="334"/>
      <c r="T5" s="334"/>
      <c r="U5" s="334"/>
      <c r="V5" s="334"/>
      <c r="W5" s="348">
        <f t="shared" ref="W5:W64" si="16">SUM(G5:V5)</f>
        <v>1</v>
      </c>
      <c r="X5" s="247"/>
      <c r="Y5" s="247"/>
      <c r="Z5" s="302">
        <f t="shared" si="0"/>
        <v>0</v>
      </c>
      <c r="AA5" s="302">
        <f t="shared" si="1"/>
        <v>0</v>
      </c>
      <c r="AB5" s="302">
        <f t="shared" si="2"/>
        <v>0</v>
      </c>
      <c r="AC5" s="302">
        <f t="shared" si="3"/>
        <v>0</v>
      </c>
      <c r="AD5" s="341">
        <f>K5*$D5</f>
        <v>0</v>
      </c>
      <c r="AE5" s="341">
        <v>0</v>
      </c>
      <c r="AF5" s="341">
        <f t="shared" si="4"/>
        <v>0</v>
      </c>
      <c r="AG5" s="341">
        <f t="shared" si="5"/>
        <v>0</v>
      </c>
      <c r="AH5" s="341">
        <f t="shared" ref="AH5:AH64" si="17">O5*$D5</f>
        <v>0</v>
      </c>
      <c r="AI5" s="341">
        <f t="shared" ref="AI5:AI64" si="18">P5*$D5</f>
        <v>200000</v>
      </c>
      <c r="AJ5" s="341">
        <f t="shared" si="8"/>
        <v>0</v>
      </c>
      <c r="AK5" s="341">
        <f t="shared" si="9"/>
        <v>0</v>
      </c>
      <c r="AL5" s="341">
        <f t="shared" si="10"/>
        <v>0</v>
      </c>
      <c r="AM5" s="341">
        <f t="shared" si="11"/>
        <v>0</v>
      </c>
      <c r="AN5" s="341">
        <f t="shared" si="12"/>
        <v>0</v>
      </c>
      <c r="AO5" s="302">
        <f t="shared" si="13"/>
        <v>0</v>
      </c>
      <c r="AP5" s="302">
        <f t="shared" si="14"/>
        <v>0</v>
      </c>
      <c r="AQ5" s="302">
        <f t="shared" si="14"/>
        <v>0</v>
      </c>
      <c r="AR5" s="302">
        <f t="shared" si="14"/>
        <v>0</v>
      </c>
      <c r="AS5" s="302">
        <f t="shared" si="14"/>
        <v>0</v>
      </c>
      <c r="AT5" s="302">
        <f t="shared" si="14"/>
        <v>0</v>
      </c>
      <c r="AU5" s="302">
        <f t="shared" si="14"/>
        <v>0</v>
      </c>
      <c r="AV5" s="302">
        <f t="shared" si="14"/>
        <v>0</v>
      </c>
      <c r="AW5" s="302">
        <f t="shared" si="14"/>
        <v>0</v>
      </c>
      <c r="AX5" s="302">
        <f t="shared" si="14"/>
        <v>0</v>
      </c>
      <c r="AY5" s="302">
        <f t="shared" si="14"/>
        <v>200000</v>
      </c>
      <c r="AZ5" s="302">
        <f t="shared" si="14"/>
        <v>0</v>
      </c>
      <c r="BA5" s="302">
        <f t="shared" si="14"/>
        <v>0</v>
      </c>
      <c r="BB5" s="302">
        <f t="shared" si="14"/>
        <v>0</v>
      </c>
      <c r="BC5" s="302">
        <f t="shared" si="14"/>
        <v>0</v>
      </c>
      <c r="BD5" s="302">
        <f t="shared" si="14"/>
        <v>0</v>
      </c>
      <c r="BE5" s="302">
        <f t="shared" si="14"/>
        <v>0</v>
      </c>
      <c r="BF5" s="301">
        <f t="shared" si="15"/>
        <v>0</v>
      </c>
    </row>
    <row r="6" spans="1:58" s="297" customFormat="1" x14ac:dyDescent="0.25">
      <c r="A6" s="297" t="s">
        <v>142</v>
      </c>
      <c r="B6" s="245"/>
      <c r="D6" s="385">
        <v>200000</v>
      </c>
      <c r="E6" s="247" t="s">
        <v>262</v>
      </c>
      <c r="F6" s="247" t="s">
        <v>288</v>
      </c>
      <c r="G6" s="352"/>
      <c r="H6" s="352"/>
      <c r="I6" s="352"/>
      <c r="J6" s="334"/>
      <c r="K6" s="334"/>
      <c r="L6" s="334"/>
      <c r="M6" s="335">
        <v>0</v>
      </c>
      <c r="N6" s="335">
        <v>0</v>
      </c>
      <c r="O6" s="335">
        <v>0</v>
      </c>
      <c r="P6" s="335">
        <v>1</v>
      </c>
      <c r="Q6" s="334"/>
      <c r="R6" s="334"/>
      <c r="S6" s="334"/>
      <c r="T6" s="334"/>
      <c r="U6" s="334"/>
      <c r="V6" s="334"/>
      <c r="W6" s="348">
        <f t="shared" si="16"/>
        <v>1</v>
      </c>
      <c r="X6" s="247"/>
      <c r="Y6" s="247"/>
      <c r="Z6" s="302">
        <f t="shared" ref="Z6" si="19">G6*$D6</f>
        <v>0</v>
      </c>
      <c r="AA6" s="302">
        <f t="shared" ref="AA6" si="20">H6*$D6</f>
        <v>0</v>
      </c>
      <c r="AB6" s="302">
        <f t="shared" ref="AB6" si="21">I6*$D6</f>
        <v>0</v>
      </c>
      <c r="AC6" s="302">
        <f t="shared" ref="AC6" si="22">J6*$D6</f>
        <v>0</v>
      </c>
      <c r="AD6" s="341">
        <f t="shared" ref="AD6" si="23">K6*$D6</f>
        <v>0</v>
      </c>
      <c r="AE6" s="341">
        <f t="shared" ref="AE6" si="24">L6*$D6</f>
        <v>0</v>
      </c>
      <c r="AF6" s="341">
        <f t="shared" ref="AF6" si="25">M6*$D6</f>
        <v>0</v>
      </c>
      <c r="AG6" s="341">
        <f t="shared" ref="AG6" si="26">N6*$D6</f>
        <v>0</v>
      </c>
      <c r="AH6" s="341">
        <f t="shared" ref="AH6" si="27">O6*$D6</f>
        <v>0</v>
      </c>
      <c r="AI6" s="341">
        <f t="shared" ref="AI6" si="28">P6*$D6</f>
        <v>200000</v>
      </c>
      <c r="AJ6" s="341">
        <f t="shared" ref="AJ6" si="29">Q6*$D6</f>
        <v>0</v>
      </c>
      <c r="AK6" s="341">
        <f t="shared" ref="AK6" si="30">R6*$D6</f>
        <v>0</v>
      </c>
      <c r="AL6" s="341">
        <f t="shared" ref="AL6" si="31">S6*$D6</f>
        <v>0</v>
      </c>
      <c r="AM6" s="341">
        <f t="shared" ref="AM6" si="32">T6*$D6</f>
        <v>0</v>
      </c>
      <c r="AN6" s="341">
        <f t="shared" ref="AN6" si="33">U6*$D6</f>
        <v>0</v>
      </c>
      <c r="AO6" s="302">
        <f t="shared" si="13"/>
        <v>0</v>
      </c>
      <c r="AP6" s="302">
        <f t="shared" ref="AP6:BE6" si="34">IF(AP$3=$E6,$D6,0)</f>
        <v>0</v>
      </c>
      <c r="AQ6" s="302">
        <f t="shared" si="34"/>
        <v>0</v>
      </c>
      <c r="AR6" s="302">
        <f t="shared" si="34"/>
        <v>0</v>
      </c>
      <c r="AS6" s="302">
        <f t="shared" si="34"/>
        <v>0</v>
      </c>
      <c r="AT6" s="302">
        <f t="shared" si="34"/>
        <v>0</v>
      </c>
      <c r="AU6" s="302">
        <f t="shared" si="34"/>
        <v>0</v>
      </c>
      <c r="AV6" s="302">
        <f t="shared" si="34"/>
        <v>0</v>
      </c>
      <c r="AW6" s="302">
        <f t="shared" si="34"/>
        <v>0</v>
      </c>
      <c r="AX6" s="302">
        <f t="shared" si="34"/>
        <v>0</v>
      </c>
      <c r="AY6" s="302">
        <f t="shared" si="34"/>
        <v>200000</v>
      </c>
      <c r="AZ6" s="302">
        <f t="shared" si="34"/>
        <v>0</v>
      </c>
      <c r="BA6" s="302">
        <f t="shared" si="34"/>
        <v>0</v>
      </c>
      <c r="BB6" s="302">
        <f t="shared" si="34"/>
        <v>0</v>
      </c>
      <c r="BC6" s="302">
        <f t="shared" si="34"/>
        <v>0</v>
      </c>
      <c r="BD6" s="302">
        <f t="shared" si="34"/>
        <v>0</v>
      </c>
      <c r="BE6" s="302">
        <f t="shared" si="34"/>
        <v>0</v>
      </c>
      <c r="BF6" s="301">
        <f t="shared" si="15"/>
        <v>0</v>
      </c>
    </row>
    <row r="7" spans="1:58" x14ac:dyDescent="0.25">
      <c r="A7" t="s">
        <v>143</v>
      </c>
      <c r="B7" s="245"/>
      <c r="D7" s="368">
        <f>1185760+1866155+972082.83</f>
        <v>4023997.83</v>
      </c>
      <c r="E7" s="247" t="s">
        <v>263</v>
      </c>
      <c r="F7" s="247"/>
      <c r="G7" s="350"/>
      <c r="H7" s="350"/>
      <c r="I7" s="350"/>
      <c r="J7" s="351"/>
      <c r="K7" s="351"/>
      <c r="L7" s="351"/>
      <c r="M7" s="351">
        <v>0</v>
      </c>
      <c r="N7" s="351">
        <v>0</v>
      </c>
      <c r="O7" s="351">
        <v>0.125</v>
      </c>
      <c r="P7" s="351">
        <v>0.125</v>
      </c>
      <c r="Q7" s="351">
        <v>0.125</v>
      </c>
      <c r="R7" s="351">
        <v>0.125</v>
      </c>
      <c r="S7" s="351">
        <v>0.125</v>
      </c>
      <c r="T7" s="351">
        <v>0.25</v>
      </c>
      <c r="U7" s="344">
        <f>(SUM(J7:T7)-1)*(-1)</f>
        <v>0.125</v>
      </c>
      <c r="V7" s="344"/>
      <c r="W7" s="348">
        <f t="shared" si="16"/>
        <v>1</v>
      </c>
      <c r="X7" s="247"/>
      <c r="Y7" s="247"/>
      <c r="Z7" s="302">
        <f t="shared" si="0"/>
        <v>0</v>
      </c>
      <c r="AA7" s="302">
        <f t="shared" si="1"/>
        <v>0</v>
      </c>
      <c r="AB7" s="302">
        <f t="shared" si="2"/>
        <v>0</v>
      </c>
      <c r="AC7" s="302">
        <f t="shared" si="3"/>
        <v>0</v>
      </c>
      <c r="AD7" s="302">
        <f>K7*$D7</f>
        <v>0</v>
      </c>
      <c r="AE7" s="302">
        <f t="shared" ref="AE7:AE64" si="35">L7*$D7</f>
        <v>0</v>
      </c>
      <c r="AF7" s="302">
        <f t="shared" ref="AF7:AF64" si="36">M7*$D7</f>
        <v>0</v>
      </c>
      <c r="AG7" s="302">
        <f t="shared" ref="AG7:AG64" si="37">N7*$D7</f>
        <v>0</v>
      </c>
      <c r="AH7" s="302">
        <f t="shared" si="17"/>
        <v>502999.72875000001</v>
      </c>
      <c r="AI7" s="302">
        <f t="shared" si="18"/>
        <v>502999.72875000001</v>
      </c>
      <c r="AJ7" s="302">
        <f t="shared" si="8"/>
        <v>502999.72875000001</v>
      </c>
      <c r="AK7" s="302">
        <f t="shared" si="9"/>
        <v>502999.72875000001</v>
      </c>
      <c r="AL7" s="302">
        <f t="shared" si="10"/>
        <v>502999.72875000001</v>
      </c>
      <c r="AM7" s="302">
        <f t="shared" si="11"/>
        <v>1005999.4575</v>
      </c>
      <c r="AN7" s="302">
        <f t="shared" si="12"/>
        <v>502999.72875000001</v>
      </c>
      <c r="AO7" s="302">
        <f t="shared" si="13"/>
        <v>0</v>
      </c>
      <c r="AP7" s="302">
        <f t="shared" si="14"/>
        <v>0</v>
      </c>
      <c r="AQ7" s="302">
        <f t="shared" si="14"/>
        <v>0</v>
      </c>
      <c r="AR7" s="302">
        <f t="shared" si="14"/>
        <v>0</v>
      </c>
      <c r="AS7" s="302">
        <f t="shared" si="14"/>
        <v>0</v>
      </c>
      <c r="AT7" s="302">
        <f t="shared" si="14"/>
        <v>0</v>
      </c>
      <c r="AU7" s="302">
        <f t="shared" si="14"/>
        <v>0</v>
      </c>
      <c r="AV7" s="302">
        <f t="shared" si="14"/>
        <v>0</v>
      </c>
      <c r="AW7" s="302">
        <f t="shared" si="14"/>
        <v>0</v>
      </c>
      <c r="AX7" s="302">
        <f t="shared" si="14"/>
        <v>4023997.83</v>
      </c>
      <c r="AY7" s="302">
        <f t="shared" si="14"/>
        <v>0</v>
      </c>
      <c r="AZ7" s="302">
        <f t="shared" si="14"/>
        <v>0</v>
      </c>
      <c r="BA7" s="302">
        <f t="shared" si="14"/>
        <v>0</v>
      </c>
      <c r="BB7" s="302">
        <f t="shared" si="14"/>
        <v>0</v>
      </c>
      <c r="BC7" s="302">
        <f t="shared" si="14"/>
        <v>0</v>
      </c>
      <c r="BD7" s="302">
        <f t="shared" si="14"/>
        <v>0</v>
      </c>
      <c r="BE7" s="302">
        <f t="shared" si="14"/>
        <v>0</v>
      </c>
      <c r="BF7" s="301">
        <f t="shared" si="15"/>
        <v>0</v>
      </c>
    </row>
    <row r="8" spans="1:58" s="297" customFormat="1" x14ac:dyDescent="0.25">
      <c r="A8" s="297" t="s">
        <v>144</v>
      </c>
      <c r="B8" s="245"/>
      <c r="D8" s="368">
        <v>6000</v>
      </c>
      <c r="E8" s="247" t="s">
        <v>263</v>
      </c>
      <c r="F8" s="247" t="s">
        <v>286</v>
      </c>
      <c r="G8" s="350"/>
      <c r="H8" s="350"/>
      <c r="I8" s="350"/>
      <c r="J8" s="351"/>
      <c r="K8" s="351">
        <v>0</v>
      </c>
      <c r="L8" s="351">
        <v>0</v>
      </c>
      <c r="M8" s="351">
        <v>0</v>
      </c>
      <c r="N8" s="351">
        <v>0</v>
      </c>
      <c r="O8" s="351">
        <v>1</v>
      </c>
      <c r="P8" s="351"/>
      <c r="Q8" s="351"/>
      <c r="R8" s="351"/>
      <c r="S8" s="351"/>
      <c r="T8" s="351"/>
      <c r="U8" s="335"/>
      <c r="V8" s="335"/>
      <c r="W8" s="348">
        <f t="shared" si="16"/>
        <v>1</v>
      </c>
      <c r="X8" s="247"/>
      <c r="Y8" s="247"/>
      <c r="Z8" s="302">
        <f t="shared" ref="Z8" si="38">G8*$D8</f>
        <v>0</v>
      </c>
      <c r="AA8" s="302">
        <f t="shared" ref="AA8" si="39">H8*$D8</f>
        <v>0</v>
      </c>
      <c r="AB8" s="302">
        <f t="shared" ref="AB8" si="40">I8*$D8</f>
        <v>0</v>
      </c>
      <c r="AC8" s="302">
        <f t="shared" ref="AC8" si="41">J8*$D8</f>
        <v>0</v>
      </c>
      <c r="AD8" s="302">
        <f t="shared" ref="AD8" si="42">K8*$D8</f>
        <v>0</v>
      </c>
      <c r="AE8" s="302">
        <f t="shared" ref="AE8" si="43">L8*$D8</f>
        <v>0</v>
      </c>
      <c r="AF8" s="302">
        <f t="shared" ref="AF8" si="44">M8*$D8</f>
        <v>0</v>
      </c>
      <c r="AG8" s="302">
        <f t="shared" ref="AG8" si="45">N8*$D8</f>
        <v>0</v>
      </c>
      <c r="AH8" s="302">
        <f t="shared" ref="AH8" si="46">O8*$D8</f>
        <v>6000</v>
      </c>
      <c r="AI8" s="302">
        <f t="shared" ref="AI8" si="47">P8*$D8</f>
        <v>0</v>
      </c>
      <c r="AJ8" s="302">
        <f t="shared" ref="AJ8" si="48">Q8*$D8</f>
        <v>0</v>
      </c>
      <c r="AK8" s="302">
        <f t="shared" ref="AK8" si="49">R8*$D8</f>
        <v>0</v>
      </c>
      <c r="AL8" s="302">
        <f t="shared" ref="AL8" si="50">S8*$D8</f>
        <v>0</v>
      </c>
      <c r="AM8" s="302">
        <f t="shared" ref="AM8" si="51">T8*$D8</f>
        <v>0</v>
      </c>
      <c r="AN8" s="302">
        <f t="shared" ref="AN8" si="52">U8*$D8</f>
        <v>0</v>
      </c>
      <c r="AO8" s="302">
        <f t="shared" si="13"/>
        <v>0</v>
      </c>
      <c r="AP8" s="302">
        <f t="shared" si="14"/>
        <v>0</v>
      </c>
      <c r="AQ8" s="302">
        <f t="shared" si="14"/>
        <v>0</v>
      </c>
      <c r="AR8" s="302">
        <f t="shared" si="14"/>
        <v>0</v>
      </c>
      <c r="AS8" s="302">
        <f t="shared" si="14"/>
        <v>0</v>
      </c>
      <c r="AT8" s="302">
        <v>0</v>
      </c>
      <c r="AU8" s="302">
        <v>0</v>
      </c>
      <c r="AV8" s="302">
        <f t="shared" si="14"/>
        <v>0</v>
      </c>
      <c r="AW8" s="302">
        <f t="shared" si="14"/>
        <v>0</v>
      </c>
      <c r="AX8" s="302">
        <f t="shared" si="14"/>
        <v>6000</v>
      </c>
      <c r="AY8" s="302">
        <f t="shared" si="14"/>
        <v>0</v>
      </c>
      <c r="AZ8" s="302">
        <f t="shared" si="14"/>
        <v>0</v>
      </c>
      <c r="BA8" s="302">
        <f t="shared" si="14"/>
        <v>0</v>
      </c>
      <c r="BB8" s="302">
        <f t="shared" si="14"/>
        <v>0</v>
      </c>
      <c r="BC8" s="302">
        <f t="shared" si="14"/>
        <v>0</v>
      </c>
      <c r="BD8" s="302">
        <f t="shared" si="14"/>
        <v>0</v>
      </c>
      <c r="BE8" s="302">
        <f t="shared" si="14"/>
        <v>0</v>
      </c>
      <c r="BF8" s="301">
        <f t="shared" si="15"/>
        <v>0</v>
      </c>
    </row>
    <row r="9" spans="1:58" x14ac:dyDescent="0.25">
      <c r="A9" s="297" t="s">
        <v>145</v>
      </c>
      <c r="B9" s="245"/>
      <c r="C9" s="247"/>
      <c r="D9" s="385">
        <v>2329506.84</v>
      </c>
      <c r="E9" s="247" t="s">
        <v>183</v>
      </c>
      <c r="F9" s="247" t="s">
        <v>287</v>
      </c>
      <c r="G9" s="352"/>
      <c r="H9" s="352"/>
      <c r="I9" s="352"/>
      <c r="J9" s="334"/>
      <c r="K9" s="334"/>
      <c r="L9" s="335">
        <v>0</v>
      </c>
      <c r="M9" s="365">
        <v>0</v>
      </c>
      <c r="N9" s="335">
        <v>7.9999999828289842E-2</v>
      </c>
      <c r="O9" s="335">
        <v>9.0000001888811798E-2</v>
      </c>
      <c r="P9" s="335">
        <v>0.1599999982828984</v>
      </c>
      <c r="Q9" s="335">
        <v>0.13</v>
      </c>
      <c r="R9" s="335">
        <v>0.16</v>
      </c>
      <c r="S9" s="335">
        <v>0.1</v>
      </c>
      <c r="T9" s="335">
        <v>0.16</v>
      </c>
      <c r="U9" s="344">
        <v>0.12</v>
      </c>
      <c r="V9" s="335"/>
      <c r="W9" s="348">
        <f t="shared" si="16"/>
        <v>1</v>
      </c>
      <c r="X9" s="247"/>
      <c r="Y9" s="247"/>
      <c r="Z9" s="302">
        <f t="shared" si="0"/>
        <v>0</v>
      </c>
      <c r="AA9" s="302">
        <f t="shared" si="1"/>
        <v>0</v>
      </c>
      <c r="AB9" s="302">
        <f t="shared" si="2"/>
        <v>0</v>
      </c>
      <c r="AC9" s="302">
        <f t="shared" si="3"/>
        <v>0</v>
      </c>
      <c r="AD9" s="302">
        <f>K9*$D9</f>
        <v>0</v>
      </c>
      <c r="AE9" s="341">
        <f t="shared" si="35"/>
        <v>0</v>
      </c>
      <c r="AF9" s="341">
        <f t="shared" si="36"/>
        <v>0</v>
      </c>
      <c r="AG9" s="341">
        <f t="shared" si="37"/>
        <v>186360.54680000001</v>
      </c>
      <c r="AH9" s="341">
        <f t="shared" si="17"/>
        <v>209655.62</v>
      </c>
      <c r="AI9" s="341">
        <f t="shared" si="18"/>
        <v>372721.09040000004</v>
      </c>
      <c r="AJ9" s="341">
        <f t="shared" si="8"/>
        <v>302835.88919999998</v>
      </c>
      <c r="AK9" s="341">
        <f t="shared" si="9"/>
        <v>372721.0944</v>
      </c>
      <c r="AL9" s="341">
        <f t="shared" si="10"/>
        <v>232950.68400000001</v>
      </c>
      <c r="AM9" s="341">
        <f t="shared" si="11"/>
        <v>372721.0944</v>
      </c>
      <c r="AN9" s="341">
        <f t="shared" si="12"/>
        <v>279540.82079999999</v>
      </c>
      <c r="AO9" s="302">
        <f t="shared" si="13"/>
        <v>0</v>
      </c>
      <c r="AP9" s="302">
        <f t="shared" si="14"/>
        <v>0</v>
      </c>
      <c r="AQ9" s="302">
        <f t="shared" si="14"/>
        <v>0</v>
      </c>
      <c r="AR9" s="302">
        <f t="shared" si="14"/>
        <v>0</v>
      </c>
      <c r="AS9" s="302">
        <f t="shared" si="14"/>
        <v>0</v>
      </c>
      <c r="AT9" s="302">
        <f t="shared" si="14"/>
        <v>0</v>
      </c>
      <c r="AU9" s="302">
        <f t="shared" si="14"/>
        <v>2329506.84</v>
      </c>
      <c r="AV9" s="302">
        <f t="shared" si="14"/>
        <v>0</v>
      </c>
      <c r="AW9" s="302">
        <f t="shared" si="14"/>
        <v>0</v>
      </c>
      <c r="AX9" s="302">
        <f t="shared" si="14"/>
        <v>0</v>
      </c>
      <c r="AY9" s="302">
        <f t="shared" si="14"/>
        <v>0</v>
      </c>
      <c r="AZ9" s="302">
        <f t="shared" si="14"/>
        <v>0</v>
      </c>
      <c r="BA9" s="302">
        <f t="shared" si="14"/>
        <v>0</v>
      </c>
      <c r="BB9" s="302">
        <f t="shared" si="14"/>
        <v>0</v>
      </c>
      <c r="BC9" s="302">
        <f t="shared" si="14"/>
        <v>0</v>
      </c>
      <c r="BD9" s="302">
        <f t="shared" si="14"/>
        <v>0</v>
      </c>
      <c r="BE9" s="302">
        <f t="shared" si="14"/>
        <v>0</v>
      </c>
      <c r="BF9" s="301">
        <f t="shared" si="15"/>
        <v>0</v>
      </c>
    </row>
    <row r="10" spans="1:58" s="297" customFormat="1" x14ac:dyDescent="0.25">
      <c r="A10" s="297" t="s">
        <v>145</v>
      </c>
      <c r="B10" s="245"/>
      <c r="C10" s="247"/>
      <c r="D10" s="385">
        <f>+(1250*6)*12</f>
        <v>90000</v>
      </c>
      <c r="E10" s="247" t="s">
        <v>263</v>
      </c>
      <c r="F10" s="247"/>
      <c r="G10" s="352"/>
      <c r="H10" s="352"/>
      <c r="I10" s="352"/>
      <c r="J10" s="334"/>
      <c r="K10" s="334"/>
      <c r="L10" s="335">
        <v>0</v>
      </c>
      <c r="M10" s="365">
        <v>0</v>
      </c>
      <c r="N10" s="335">
        <v>0</v>
      </c>
      <c r="O10" s="335">
        <v>8.3333333333333301E-2</v>
      </c>
      <c r="P10" s="335">
        <v>0.25</v>
      </c>
      <c r="Q10" s="335">
        <v>0.25</v>
      </c>
      <c r="R10" s="335">
        <v>0.25</v>
      </c>
      <c r="S10" s="335">
        <v>0.16666666666666599</v>
      </c>
      <c r="T10" s="335">
        <v>0</v>
      </c>
      <c r="U10" s="344">
        <v>0</v>
      </c>
      <c r="V10" s="335"/>
      <c r="W10" s="348">
        <f t="shared" ref="W10" si="53">SUM(G10:V10)</f>
        <v>0.99999999999999922</v>
      </c>
      <c r="X10" s="247"/>
      <c r="Y10" s="247"/>
      <c r="Z10" s="302">
        <f t="shared" ref="Z10" si="54">G10*$D10</f>
        <v>0</v>
      </c>
      <c r="AA10" s="302">
        <f t="shared" ref="AA10" si="55">H10*$D10</f>
        <v>0</v>
      </c>
      <c r="AB10" s="302">
        <f t="shared" ref="AB10" si="56">I10*$D10</f>
        <v>0</v>
      </c>
      <c r="AC10" s="302">
        <f t="shared" ref="AC10" si="57">J10*$D10</f>
        <v>0</v>
      </c>
      <c r="AD10" s="302">
        <f>K10*$D10</f>
        <v>0</v>
      </c>
      <c r="AE10" s="341">
        <f t="shared" ref="AE10" si="58">L10*$D10</f>
        <v>0</v>
      </c>
      <c r="AF10" s="341">
        <f t="shared" ref="AF10" si="59">M10*$D10</f>
        <v>0</v>
      </c>
      <c r="AG10" s="341">
        <f t="shared" ref="AG10" si="60">N10*$D10</f>
        <v>0</v>
      </c>
      <c r="AH10" s="341">
        <f t="shared" ref="AH10" si="61">O10*$D10</f>
        <v>7499.9999999999973</v>
      </c>
      <c r="AI10" s="341">
        <f t="shared" ref="AI10" si="62">P10*$D10</f>
        <v>22500</v>
      </c>
      <c r="AJ10" s="341">
        <f t="shared" ref="AJ10" si="63">Q10*$D10</f>
        <v>22500</v>
      </c>
      <c r="AK10" s="341">
        <f t="shared" ref="AK10" si="64">R10*$D10</f>
        <v>22500</v>
      </c>
      <c r="AL10" s="341">
        <f t="shared" ref="AL10" si="65">S10*$D10</f>
        <v>14999.99999999994</v>
      </c>
      <c r="AM10" s="341">
        <f t="shared" ref="AM10" si="66">T10*$D10</f>
        <v>0</v>
      </c>
      <c r="AN10" s="341">
        <f t="shared" ref="AN10" si="67">U10*$D10</f>
        <v>0</v>
      </c>
      <c r="AO10" s="302">
        <f t="shared" si="13"/>
        <v>0</v>
      </c>
      <c r="AP10" s="302">
        <f t="shared" ref="AP10:BE10" si="68">IF(AP$3=$E10,$D10,0)</f>
        <v>0</v>
      </c>
      <c r="AQ10" s="302">
        <f t="shared" si="68"/>
        <v>0</v>
      </c>
      <c r="AR10" s="302">
        <f t="shared" si="68"/>
        <v>0</v>
      </c>
      <c r="AS10" s="302">
        <f t="shared" si="68"/>
        <v>0</v>
      </c>
      <c r="AT10" s="302">
        <f t="shared" si="68"/>
        <v>0</v>
      </c>
      <c r="AU10" s="302">
        <f t="shared" si="68"/>
        <v>0</v>
      </c>
      <c r="AV10" s="302">
        <f t="shared" si="68"/>
        <v>0</v>
      </c>
      <c r="AW10" s="302">
        <f t="shared" si="68"/>
        <v>0</v>
      </c>
      <c r="AX10" s="302">
        <f t="shared" si="68"/>
        <v>90000</v>
      </c>
      <c r="AY10" s="302">
        <f t="shared" si="68"/>
        <v>0</v>
      </c>
      <c r="AZ10" s="302">
        <f t="shared" si="68"/>
        <v>0</v>
      </c>
      <c r="BA10" s="302">
        <f t="shared" si="68"/>
        <v>0</v>
      </c>
      <c r="BB10" s="302">
        <f t="shared" si="68"/>
        <v>0</v>
      </c>
      <c r="BC10" s="302">
        <f t="shared" si="68"/>
        <v>0</v>
      </c>
      <c r="BD10" s="302">
        <f t="shared" si="68"/>
        <v>0</v>
      </c>
      <c r="BE10" s="302">
        <f t="shared" si="68"/>
        <v>0</v>
      </c>
      <c r="BF10" s="301">
        <f t="shared" si="15"/>
        <v>0</v>
      </c>
    </row>
    <row r="11" spans="1:58" s="297" customFormat="1" x14ac:dyDescent="0.25">
      <c r="B11" s="245"/>
      <c r="C11" s="247"/>
      <c r="D11" s="385"/>
      <c r="E11" s="247"/>
      <c r="F11" s="247"/>
      <c r="G11" s="352"/>
      <c r="H11" s="352"/>
      <c r="I11" s="352"/>
      <c r="J11" s="334"/>
      <c r="K11" s="334"/>
      <c r="L11" s="335"/>
      <c r="M11" s="365"/>
      <c r="N11" s="335"/>
      <c r="O11" s="335"/>
      <c r="P11" s="335"/>
      <c r="Q11" s="335"/>
      <c r="R11" s="335"/>
      <c r="S11" s="335"/>
      <c r="T11" s="335"/>
      <c r="U11" s="344"/>
      <c r="V11" s="335"/>
      <c r="W11" s="348"/>
      <c r="X11" s="247"/>
      <c r="Y11" s="247"/>
      <c r="Z11" s="302"/>
      <c r="AA11" s="302"/>
      <c r="AB11" s="302"/>
      <c r="AC11" s="302"/>
      <c r="AD11" s="302"/>
      <c r="AE11" s="341"/>
      <c r="AF11" s="341"/>
      <c r="AG11" s="341"/>
      <c r="AH11" s="341"/>
      <c r="AI11" s="341"/>
      <c r="AJ11" s="341"/>
      <c r="AK11" s="341"/>
      <c r="AL11" s="341"/>
      <c r="AM11" s="341"/>
      <c r="AN11" s="341"/>
      <c r="AO11" s="302"/>
      <c r="AP11" s="302"/>
      <c r="AQ11" s="302"/>
      <c r="AR11" s="302"/>
      <c r="AS11" s="302"/>
      <c r="AT11" s="302"/>
      <c r="AU11" s="302"/>
      <c r="AV11" s="302"/>
      <c r="AW11" s="302"/>
      <c r="AX11" s="302"/>
      <c r="AY11" s="302"/>
      <c r="AZ11" s="302"/>
      <c r="BA11" s="302"/>
      <c r="BB11" s="302"/>
      <c r="BC11" s="302"/>
      <c r="BD11" s="302"/>
      <c r="BE11" s="302"/>
      <c r="BF11" s="301"/>
    </row>
    <row r="12" spans="1:58" s="297" customFormat="1" x14ac:dyDescent="0.25">
      <c r="A12" s="297" t="s">
        <v>145</v>
      </c>
      <c r="B12" s="245"/>
      <c r="C12" s="247"/>
      <c r="D12" s="385">
        <v>400000</v>
      </c>
      <c r="E12" s="247" t="s">
        <v>262</v>
      </c>
      <c r="F12" s="247" t="s">
        <v>289</v>
      </c>
      <c r="G12" s="352"/>
      <c r="H12" s="352"/>
      <c r="I12" s="352"/>
      <c r="J12" s="334"/>
      <c r="K12" s="334"/>
      <c r="L12" s="335"/>
      <c r="M12" s="335"/>
      <c r="N12" s="335"/>
      <c r="O12" s="335">
        <v>0</v>
      </c>
      <c r="P12" s="335">
        <v>0.25</v>
      </c>
      <c r="Q12" s="335">
        <v>0.25</v>
      </c>
      <c r="R12" s="335">
        <v>0.25</v>
      </c>
      <c r="S12" s="335">
        <v>0.25</v>
      </c>
      <c r="T12" s="335"/>
      <c r="U12" s="335"/>
      <c r="V12" s="335"/>
      <c r="W12" s="348">
        <f t="shared" si="16"/>
        <v>1</v>
      </c>
      <c r="X12" s="247"/>
      <c r="Y12" s="247"/>
      <c r="Z12" s="302">
        <f t="shared" ref="Z12" si="69">G12*$D12</f>
        <v>0</v>
      </c>
      <c r="AA12" s="302">
        <f t="shared" ref="AA12" si="70">H12*$D12</f>
        <v>0</v>
      </c>
      <c r="AB12" s="302">
        <f t="shared" ref="AB12" si="71">I12*$D12</f>
        <v>0</v>
      </c>
      <c r="AC12" s="302">
        <f t="shared" ref="AC12" si="72">J12*$D12</f>
        <v>0</v>
      </c>
      <c r="AD12" s="302">
        <f t="shared" ref="AD12" si="73">K12*$D12</f>
        <v>0</v>
      </c>
      <c r="AE12" s="341">
        <f t="shared" ref="AE12" si="74">L12*$D12</f>
        <v>0</v>
      </c>
      <c r="AF12" s="341">
        <f t="shared" ref="AF12" si="75">M12*$D12</f>
        <v>0</v>
      </c>
      <c r="AG12" s="341">
        <f t="shared" ref="AG12" si="76">N12*$D12</f>
        <v>0</v>
      </c>
      <c r="AH12" s="341">
        <f t="shared" ref="AH12" si="77">O12*$D12</f>
        <v>0</v>
      </c>
      <c r="AI12" s="341">
        <f t="shared" ref="AI12" si="78">P12*$D12</f>
        <v>100000</v>
      </c>
      <c r="AJ12" s="341">
        <f t="shared" ref="AJ12" si="79">Q12*$D12</f>
        <v>100000</v>
      </c>
      <c r="AK12" s="341">
        <f t="shared" ref="AK12" si="80">R12*$D12</f>
        <v>100000</v>
      </c>
      <c r="AL12" s="341">
        <f t="shared" ref="AL12" si="81">S12*$D12</f>
        <v>100000</v>
      </c>
      <c r="AM12" s="341">
        <f t="shared" ref="AM12" si="82">T12*$D12</f>
        <v>0</v>
      </c>
      <c r="AN12" s="341">
        <f t="shared" ref="AN12" si="83">U12*$D12</f>
        <v>0</v>
      </c>
      <c r="AO12" s="302">
        <f t="shared" si="13"/>
        <v>0</v>
      </c>
      <c r="AP12" s="302">
        <f t="shared" ref="AP12:BE31" si="84">IF(AP$3=$E12,$D12,0)</f>
        <v>0</v>
      </c>
      <c r="AQ12" s="302">
        <f t="shared" si="84"/>
        <v>0</v>
      </c>
      <c r="AR12" s="302">
        <f t="shared" si="84"/>
        <v>0</v>
      </c>
      <c r="AS12" s="302">
        <f t="shared" si="84"/>
        <v>0</v>
      </c>
      <c r="AT12" s="302">
        <f t="shared" si="84"/>
        <v>0</v>
      </c>
      <c r="AU12" s="302">
        <f t="shared" si="84"/>
        <v>0</v>
      </c>
      <c r="AV12" s="302">
        <f t="shared" si="84"/>
        <v>0</v>
      </c>
      <c r="AW12" s="302">
        <f t="shared" si="84"/>
        <v>0</v>
      </c>
      <c r="AX12" s="302">
        <f t="shared" si="84"/>
        <v>0</v>
      </c>
      <c r="AY12" s="302">
        <f t="shared" si="84"/>
        <v>400000</v>
      </c>
      <c r="AZ12" s="302">
        <f t="shared" si="84"/>
        <v>0</v>
      </c>
      <c r="BA12" s="302">
        <f t="shared" si="84"/>
        <v>0</v>
      </c>
      <c r="BB12" s="302">
        <f t="shared" si="84"/>
        <v>0</v>
      </c>
      <c r="BC12" s="302">
        <f t="shared" si="84"/>
        <v>0</v>
      </c>
      <c r="BD12" s="302">
        <f t="shared" si="84"/>
        <v>0</v>
      </c>
      <c r="BE12" s="302">
        <f t="shared" si="84"/>
        <v>0</v>
      </c>
      <c r="BF12" s="301">
        <f t="shared" si="15"/>
        <v>0</v>
      </c>
    </row>
    <row r="13" spans="1:58" s="297" customFormat="1" x14ac:dyDescent="0.25">
      <c r="A13" s="297" t="s">
        <v>145</v>
      </c>
      <c r="B13" s="245"/>
      <c r="C13" s="247"/>
      <c r="D13" s="385">
        <v>1200000</v>
      </c>
      <c r="E13" s="247" t="s">
        <v>263</v>
      </c>
      <c r="F13" s="247"/>
      <c r="G13" s="352"/>
      <c r="H13" s="352"/>
      <c r="I13" s="352"/>
      <c r="J13" s="334"/>
      <c r="K13" s="334"/>
      <c r="L13" s="335">
        <v>0</v>
      </c>
      <c r="M13" s="335">
        <v>0</v>
      </c>
      <c r="N13" s="335">
        <v>0</v>
      </c>
      <c r="O13" s="335">
        <v>0</v>
      </c>
      <c r="P13" s="335">
        <v>0.2</v>
      </c>
      <c r="Q13" s="335">
        <v>0.1</v>
      </c>
      <c r="R13" s="335">
        <v>0.1</v>
      </c>
      <c r="S13" s="335">
        <v>0.1</v>
      </c>
      <c r="T13" s="335">
        <v>0.2</v>
      </c>
      <c r="U13" s="335">
        <v>0.3</v>
      </c>
      <c r="V13" s="335"/>
      <c r="W13" s="348">
        <f t="shared" si="16"/>
        <v>1</v>
      </c>
      <c r="X13" s="247"/>
      <c r="Y13" s="247"/>
      <c r="Z13" s="302">
        <f t="shared" ref="Z13" si="85">G13*$D13</f>
        <v>0</v>
      </c>
      <c r="AA13" s="302">
        <f t="shared" ref="AA13" si="86">H13*$D13</f>
        <v>0</v>
      </c>
      <c r="AB13" s="302">
        <f t="shared" ref="AB13" si="87">I13*$D13</f>
        <v>0</v>
      </c>
      <c r="AC13" s="302">
        <f t="shared" ref="AC13" si="88">J13*$D13</f>
        <v>0</v>
      </c>
      <c r="AD13" s="302">
        <f t="shared" ref="AD13" si="89">K13*$D13</f>
        <v>0</v>
      </c>
      <c r="AE13" s="341">
        <f t="shared" ref="AE13" si="90">L13*$D13</f>
        <v>0</v>
      </c>
      <c r="AF13" s="341">
        <f t="shared" ref="AF13" si="91">M13*$D13</f>
        <v>0</v>
      </c>
      <c r="AG13" s="341">
        <f t="shared" ref="AG13" si="92">N13*$D13</f>
        <v>0</v>
      </c>
      <c r="AH13" s="341">
        <f t="shared" ref="AH13" si="93">O13*$D13</f>
        <v>0</v>
      </c>
      <c r="AI13" s="341">
        <f t="shared" ref="AI13" si="94">P13*$D13</f>
        <v>240000</v>
      </c>
      <c r="AJ13" s="341">
        <f t="shared" ref="AJ13" si="95">Q13*$D13</f>
        <v>120000</v>
      </c>
      <c r="AK13" s="341">
        <f t="shared" ref="AK13" si="96">R13*$D13</f>
        <v>120000</v>
      </c>
      <c r="AL13" s="341">
        <f t="shared" ref="AL13" si="97">S13*$D13</f>
        <v>120000</v>
      </c>
      <c r="AM13" s="341">
        <f t="shared" ref="AM13" si="98">T13*$D13</f>
        <v>240000</v>
      </c>
      <c r="AN13" s="341">
        <f t="shared" ref="AN13" si="99">U13*$D13</f>
        <v>360000</v>
      </c>
      <c r="AO13" s="302">
        <f t="shared" si="13"/>
        <v>0</v>
      </c>
      <c r="AP13" s="302">
        <f t="shared" si="14"/>
        <v>0</v>
      </c>
      <c r="AQ13" s="302">
        <f t="shared" si="14"/>
        <v>0</v>
      </c>
      <c r="AR13" s="302">
        <f t="shared" si="14"/>
        <v>0</v>
      </c>
      <c r="AS13" s="302">
        <f t="shared" si="14"/>
        <v>0</v>
      </c>
      <c r="AT13" s="302">
        <f t="shared" si="14"/>
        <v>0</v>
      </c>
      <c r="AU13" s="302">
        <f t="shared" si="14"/>
        <v>0</v>
      </c>
      <c r="AV13" s="302">
        <f t="shared" si="14"/>
        <v>0</v>
      </c>
      <c r="AW13" s="302">
        <f t="shared" si="14"/>
        <v>0</v>
      </c>
      <c r="AX13" s="302">
        <f t="shared" si="14"/>
        <v>1200000</v>
      </c>
      <c r="AY13" s="302">
        <f t="shared" si="14"/>
        <v>0</v>
      </c>
      <c r="AZ13" s="302">
        <f t="shared" si="14"/>
        <v>0</v>
      </c>
      <c r="BA13" s="302">
        <f t="shared" si="14"/>
        <v>0</v>
      </c>
      <c r="BB13" s="302">
        <f t="shared" si="14"/>
        <v>0</v>
      </c>
      <c r="BC13" s="302">
        <f t="shared" si="14"/>
        <v>0</v>
      </c>
      <c r="BD13" s="302">
        <f t="shared" si="14"/>
        <v>0</v>
      </c>
      <c r="BE13" s="302">
        <f t="shared" si="84"/>
        <v>0</v>
      </c>
      <c r="BF13" s="301">
        <f t="shared" si="15"/>
        <v>0</v>
      </c>
    </row>
    <row r="14" spans="1:58" x14ac:dyDescent="0.25">
      <c r="A14" t="s">
        <v>146</v>
      </c>
      <c r="B14" s="245"/>
      <c r="D14" s="385">
        <v>2772876.18</v>
      </c>
      <c r="E14" s="247" t="s">
        <v>213</v>
      </c>
      <c r="F14" s="247"/>
      <c r="G14" s="350"/>
      <c r="H14" s="350"/>
      <c r="I14" s="350"/>
      <c r="J14" s="351">
        <v>0</v>
      </c>
      <c r="K14" s="351"/>
      <c r="L14" s="351">
        <v>7.4766355140186924E-2</v>
      </c>
      <c r="M14" s="351">
        <v>5.6074764942302374E-2</v>
      </c>
      <c r="N14" s="351">
        <v>7.4766353250000001E-2</v>
      </c>
      <c r="O14" s="351">
        <v>7.4766353252744194E-2</v>
      </c>
      <c r="P14" s="351">
        <v>0.46728972151361092</v>
      </c>
      <c r="Q14" s="351">
        <v>0</v>
      </c>
      <c r="R14" s="351">
        <v>8.411214953271029E-2</v>
      </c>
      <c r="S14" s="351">
        <v>0</v>
      </c>
      <c r="T14" s="351">
        <v>0</v>
      </c>
      <c r="U14" s="351">
        <v>0.16822430236844502</v>
      </c>
      <c r="V14" s="351"/>
      <c r="W14" s="348">
        <f t="shared" si="16"/>
        <v>0.99999999999999967</v>
      </c>
      <c r="X14" s="247"/>
      <c r="Y14" s="247"/>
      <c r="Z14" s="302">
        <f t="shared" si="0"/>
        <v>0</v>
      </c>
      <c r="AA14" s="341">
        <f t="shared" si="1"/>
        <v>0</v>
      </c>
      <c r="AB14" s="341">
        <f t="shared" si="2"/>
        <v>0</v>
      </c>
      <c r="AC14" s="341">
        <f>J14*$D14</f>
        <v>0</v>
      </c>
      <c r="AD14" s="341">
        <f>K14*$D14</f>
        <v>0</v>
      </c>
      <c r="AE14" s="341">
        <f t="shared" si="35"/>
        <v>207317.84523364488</v>
      </c>
      <c r="AF14" s="341">
        <f t="shared" si="36"/>
        <v>155488.38000760935</v>
      </c>
      <c r="AG14" s="341">
        <f t="shared" si="37"/>
        <v>207317.8399923906</v>
      </c>
      <c r="AH14" s="341">
        <f t="shared" si="17"/>
        <v>207317.83999999991</v>
      </c>
      <c r="AI14" s="302">
        <f t="shared" si="18"/>
        <v>1295736.5379439252</v>
      </c>
      <c r="AJ14" s="302">
        <f t="shared" si="8"/>
        <v>0</v>
      </c>
      <c r="AK14" s="302">
        <f t="shared" si="9"/>
        <v>233232.57588785051</v>
      </c>
      <c r="AL14" s="302">
        <f t="shared" si="10"/>
        <v>0</v>
      </c>
      <c r="AM14" s="302">
        <f t="shared" si="11"/>
        <v>0</v>
      </c>
      <c r="AN14" s="302">
        <f t="shared" si="12"/>
        <v>466465.1609345788</v>
      </c>
      <c r="AO14" s="302">
        <f t="shared" si="13"/>
        <v>0</v>
      </c>
      <c r="AP14" s="302">
        <f t="shared" si="14"/>
        <v>0</v>
      </c>
      <c r="AQ14" s="302">
        <f t="shared" si="14"/>
        <v>0</v>
      </c>
      <c r="AR14" s="302">
        <f t="shared" si="14"/>
        <v>0</v>
      </c>
      <c r="AS14" s="302">
        <f t="shared" si="14"/>
        <v>2772876.18</v>
      </c>
      <c r="AT14" s="302">
        <f t="shared" si="14"/>
        <v>0</v>
      </c>
      <c r="AU14" s="302">
        <f t="shared" si="14"/>
        <v>0</v>
      </c>
      <c r="AV14" s="302">
        <f t="shared" si="14"/>
        <v>0</v>
      </c>
      <c r="AW14" s="302">
        <f t="shared" si="14"/>
        <v>0</v>
      </c>
      <c r="AX14" s="302">
        <f t="shared" si="14"/>
        <v>0</v>
      </c>
      <c r="AY14" s="302">
        <f t="shared" si="14"/>
        <v>0</v>
      </c>
      <c r="AZ14" s="302">
        <f t="shared" si="14"/>
        <v>0</v>
      </c>
      <c r="BA14" s="302">
        <f t="shared" si="14"/>
        <v>0</v>
      </c>
      <c r="BB14" s="302">
        <f t="shared" si="14"/>
        <v>0</v>
      </c>
      <c r="BC14" s="302">
        <f t="shared" si="14"/>
        <v>0</v>
      </c>
      <c r="BD14" s="302">
        <f t="shared" si="14"/>
        <v>0</v>
      </c>
      <c r="BE14" s="302">
        <f t="shared" si="84"/>
        <v>0</v>
      </c>
      <c r="BF14" s="301">
        <f t="shared" si="15"/>
        <v>0</v>
      </c>
    </row>
    <row r="15" spans="1:58" s="297" customFormat="1" x14ac:dyDescent="0.25">
      <c r="A15" s="297" t="s">
        <v>148</v>
      </c>
      <c r="B15" s="245"/>
      <c r="D15" s="385">
        <v>23.98</v>
      </c>
      <c r="E15" s="247" t="s">
        <v>195</v>
      </c>
      <c r="F15" s="247"/>
      <c r="G15" s="350"/>
      <c r="H15" s="350"/>
      <c r="I15" s="350"/>
      <c r="J15" s="351"/>
      <c r="K15" s="351">
        <v>0</v>
      </c>
      <c r="L15" s="351">
        <v>0</v>
      </c>
      <c r="M15" s="351">
        <v>1</v>
      </c>
      <c r="N15" s="351">
        <v>0</v>
      </c>
      <c r="O15" s="351"/>
      <c r="P15" s="351"/>
      <c r="Q15" s="351"/>
      <c r="R15" s="351"/>
      <c r="S15" s="351"/>
      <c r="T15" s="351"/>
      <c r="U15" s="335"/>
      <c r="V15" s="335"/>
      <c r="W15" s="348">
        <f t="shared" ref="W15" si="100">SUM(G15:V15)</f>
        <v>1</v>
      </c>
      <c r="X15" s="247"/>
      <c r="Y15" s="247"/>
      <c r="Z15" s="302">
        <f t="shared" ref="Z15" si="101">G15*$D15</f>
        <v>0</v>
      </c>
      <c r="AA15" s="341">
        <f t="shared" ref="AA15" si="102">H15*$D15</f>
        <v>0</v>
      </c>
      <c r="AB15" s="341">
        <f t="shared" ref="AB15" si="103">I15*$D15</f>
        <v>0</v>
      </c>
      <c r="AC15" s="341">
        <f t="shared" ref="AC15" si="104">J15*$D15</f>
        <v>0</v>
      </c>
      <c r="AD15" s="341">
        <f>K15*$D15</f>
        <v>0</v>
      </c>
      <c r="AE15" s="341">
        <f t="shared" ref="AE15" si="105">L15*$D15</f>
        <v>0</v>
      </c>
      <c r="AF15" s="341">
        <f t="shared" ref="AF15" si="106">M15*$D15</f>
        <v>23.98</v>
      </c>
      <c r="AG15" s="341">
        <f t="shared" ref="AG15" si="107">N15*$D15</f>
        <v>0</v>
      </c>
      <c r="AH15" s="341">
        <f t="shared" ref="AH15" si="108">O15*$D15</f>
        <v>0</v>
      </c>
      <c r="AI15" s="302">
        <f t="shared" ref="AI15" si="109">P15*$D15</f>
        <v>0</v>
      </c>
      <c r="AJ15" s="302">
        <f t="shared" ref="AJ15" si="110">Q15*$D15</f>
        <v>0</v>
      </c>
      <c r="AK15" s="302">
        <f t="shared" ref="AK15" si="111">R15*$D15</f>
        <v>0</v>
      </c>
      <c r="AL15" s="302">
        <f t="shared" ref="AL15" si="112">S15*$D15</f>
        <v>0</v>
      </c>
      <c r="AM15" s="302">
        <f t="shared" ref="AM15" si="113">T15*$D15</f>
        <v>0</v>
      </c>
      <c r="AN15" s="302">
        <f t="shared" ref="AN15" si="114">U15*$D15</f>
        <v>0</v>
      </c>
      <c r="AO15" s="302">
        <f t="shared" si="13"/>
        <v>0</v>
      </c>
      <c r="AP15" s="302">
        <f t="shared" si="14"/>
        <v>0</v>
      </c>
      <c r="AQ15" s="302">
        <f t="shared" si="14"/>
        <v>0</v>
      </c>
      <c r="AR15" s="302">
        <f t="shared" si="14"/>
        <v>0</v>
      </c>
      <c r="AS15" s="302">
        <f t="shared" ref="AS15:BD15" si="115">IF(AS$3=$E15,$D15,0)</f>
        <v>0</v>
      </c>
      <c r="AT15" s="302">
        <v>0</v>
      </c>
      <c r="AU15" s="302">
        <v>0</v>
      </c>
      <c r="AV15" s="341">
        <f t="shared" si="115"/>
        <v>23.98</v>
      </c>
      <c r="AW15" s="302">
        <f t="shared" si="115"/>
        <v>0</v>
      </c>
      <c r="AX15" s="302">
        <f t="shared" si="115"/>
        <v>0</v>
      </c>
      <c r="AY15" s="302">
        <f t="shared" si="115"/>
        <v>0</v>
      </c>
      <c r="AZ15" s="302">
        <f t="shared" si="115"/>
        <v>0</v>
      </c>
      <c r="BA15" s="302">
        <f t="shared" si="115"/>
        <v>0</v>
      </c>
      <c r="BB15" s="302">
        <f t="shared" si="115"/>
        <v>0</v>
      </c>
      <c r="BC15" s="302">
        <f t="shared" si="115"/>
        <v>0</v>
      </c>
      <c r="BD15" s="302">
        <f t="shared" si="115"/>
        <v>0</v>
      </c>
      <c r="BE15" s="302">
        <f t="shared" si="84"/>
        <v>0</v>
      </c>
      <c r="BF15" s="301">
        <f t="shared" si="15"/>
        <v>0</v>
      </c>
    </row>
    <row r="16" spans="1:58" s="297" customFormat="1" x14ac:dyDescent="0.25">
      <c r="A16" s="297" t="s">
        <v>148</v>
      </c>
      <c r="B16" s="245"/>
      <c r="D16" s="385">
        <v>56.93</v>
      </c>
      <c r="E16" s="247" t="s">
        <v>195</v>
      </c>
      <c r="F16" s="247"/>
      <c r="G16" s="350"/>
      <c r="H16" s="350"/>
      <c r="I16" s="350"/>
      <c r="J16" s="351"/>
      <c r="K16" s="351">
        <v>0</v>
      </c>
      <c r="L16" s="351">
        <v>0</v>
      </c>
      <c r="M16" s="351">
        <v>0</v>
      </c>
      <c r="N16" s="351">
        <v>1</v>
      </c>
      <c r="O16" s="351"/>
      <c r="P16" s="351"/>
      <c r="Q16" s="351"/>
      <c r="R16" s="351"/>
      <c r="S16" s="351"/>
      <c r="T16" s="351"/>
      <c r="U16" s="335"/>
      <c r="V16" s="335"/>
      <c r="W16" s="348">
        <f t="shared" si="16"/>
        <v>1</v>
      </c>
      <c r="X16" s="247"/>
      <c r="Y16" s="247"/>
      <c r="Z16" s="302">
        <f t="shared" si="0"/>
        <v>0</v>
      </c>
      <c r="AA16" s="341">
        <f t="shared" si="1"/>
        <v>0</v>
      </c>
      <c r="AB16" s="341">
        <f t="shared" si="2"/>
        <v>0</v>
      </c>
      <c r="AC16" s="341">
        <f t="shared" ref="AC16" si="116">J16*$D16</f>
        <v>0</v>
      </c>
      <c r="AD16" s="341">
        <f>K16*$D16</f>
        <v>0</v>
      </c>
      <c r="AE16" s="341">
        <f t="shared" si="35"/>
        <v>0</v>
      </c>
      <c r="AF16" s="341">
        <f t="shared" si="36"/>
        <v>0</v>
      </c>
      <c r="AG16" s="341">
        <f t="shared" si="37"/>
        <v>56.93</v>
      </c>
      <c r="AH16" s="341">
        <f t="shared" si="17"/>
        <v>0</v>
      </c>
      <c r="AI16" s="302">
        <f t="shared" si="18"/>
        <v>0</v>
      </c>
      <c r="AJ16" s="302">
        <f t="shared" si="8"/>
        <v>0</v>
      </c>
      <c r="AK16" s="302">
        <f t="shared" si="9"/>
        <v>0</v>
      </c>
      <c r="AL16" s="302">
        <f t="shared" si="10"/>
        <v>0</v>
      </c>
      <c r="AM16" s="302">
        <f t="shared" si="11"/>
        <v>0</v>
      </c>
      <c r="AN16" s="302">
        <f t="shared" si="12"/>
        <v>0</v>
      </c>
      <c r="AO16" s="302">
        <f t="shared" si="13"/>
        <v>0</v>
      </c>
      <c r="AP16" s="302">
        <f t="shared" si="14"/>
        <v>0</v>
      </c>
      <c r="AQ16" s="302">
        <f t="shared" si="14"/>
        <v>0</v>
      </c>
      <c r="AR16" s="302">
        <f t="shared" si="14"/>
        <v>0</v>
      </c>
      <c r="AS16" s="302">
        <f t="shared" si="14"/>
        <v>0</v>
      </c>
      <c r="AT16" s="302">
        <v>0</v>
      </c>
      <c r="AU16" s="302">
        <v>0</v>
      </c>
      <c r="AV16" s="302">
        <f t="shared" si="14"/>
        <v>56.93</v>
      </c>
      <c r="AW16" s="341">
        <f t="shared" si="14"/>
        <v>0</v>
      </c>
      <c r="AX16" s="302">
        <f t="shared" si="14"/>
        <v>0</v>
      </c>
      <c r="AY16" s="302">
        <f t="shared" si="14"/>
        <v>0</v>
      </c>
      <c r="AZ16" s="302">
        <f t="shared" si="14"/>
        <v>0</v>
      </c>
      <c r="BA16" s="302">
        <f t="shared" si="14"/>
        <v>0</v>
      </c>
      <c r="BB16" s="302">
        <f t="shared" si="14"/>
        <v>0</v>
      </c>
      <c r="BC16" s="302">
        <f t="shared" si="14"/>
        <v>0</v>
      </c>
      <c r="BD16" s="302">
        <f t="shared" si="14"/>
        <v>0</v>
      </c>
      <c r="BE16" s="302">
        <f t="shared" si="84"/>
        <v>0</v>
      </c>
      <c r="BF16" s="301">
        <f t="shared" si="15"/>
        <v>0</v>
      </c>
    </row>
    <row r="17" spans="1:58" s="297" customFormat="1" x14ac:dyDescent="0.25">
      <c r="A17" s="297" t="s">
        <v>149</v>
      </c>
      <c r="B17" s="369"/>
      <c r="D17" s="368">
        <v>36998.879999999997</v>
      </c>
      <c r="E17" s="247" t="s">
        <v>181</v>
      </c>
      <c r="F17" s="247"/>
      <c r="G17" s="353"/>
      <c r="H17" s="353"/>
      <c r="I17" s="353"/>
      <c r="J17" s="335">
        <v>0.24325060650484556</v>
      </c>
      <c r="K17" s="335">
        <v>0.26195171313293808</v>
      </c>
      <c r="L17" s="335">
        <v>0.23700393092980113</v>
      </c>
      <c r="M17" s="335">
        <v>0.25779374943241529</v>
      </c>
      <c r="N17" s="335">
        <v>0</v>
      </c>
      <c r="O17" s="335"/>
      <c r="P17" s="335"/>
      <c r="Q17" s="335"/>
      <c r="R17" s="335"/>
      <c r="S17" s="334"/>
      <c r="T17" s="334"/>
      <c r="U17" s="334"/>
      <c r="V17" s="334"/>
      <c r="W17" s="348">
        <f t="shared" si="16"/>
        <v>1</v>
      </c>
      <c r="X17" s="247"/>
      <c r="Y17" s="247"/>
      <c r="Z17" s="302">
        <f t="shared" si="0"/>
        <v>0</v>
      </c>
      <c r="AA17" s="302">
        <f t="shared" si="1"/>
        <v>0</v>
      </c>
      <c r="AB17" s="302">
        <f t="shared" si="2"/>
        <v>0</v>
      </c>
      <c r="AC17" s="302">
        <f t="shared" si="3"/>
        <v>9000</v>
      </c>
      <c r="AD17" s="341">
        <f>K17*$D17</f>
        <v>9691.92</v>
      </c>
      <c r="AE17" s="302">
        <f t="shared" si="35"/>
        <v>8768.8799999999992</v>
      </c>
      <c r="AF17" s="341">
        <f t="shared" si="36"/>
        <v>9538.08</v>
      </c>
      <c r="AG17" s="341">
        <f t="shared" si="37"/>
        <v>0</v>
      </c>
      <c r="AH17" s="341">
        <f t="shared" si="17"/>
        <v>0</v>
      </c>
      <c r="AI17" s="341">
        <f t="shared" si="18"/>
        <v>0</v>
      </c>
      <c r="AJ17" s="341">
        <f t="shared" si="8"/>
        <v>0</v>
      </c>
      <c r="AK17" s="341">
        <f t="shared" si="9"/>
        <v>0</v>
      </c>
      <c r="AL17" s="341">
        <f t="shared" si="10"/>
        <v>0</v>
      </c>
      <c r="AM17" s="341">
        <f t="shared" si="11"/>
        <v>0</v>
      </c>
      <c r="AN17" s="302">
        <f t="shared" si="12"/>
        <v>0</v>
      </c>
      <c r="AO17" s="302">
        <f t="shared" si="13"/>
        <v>0</v>
      </c>
      <c r="AP17" s="302">
        <f t="shared" si="14"/>
        <v>0</v>
      </c>
      <c r="AQ17" s="302">
        <f t="shared" si="14"/>
        <v>0</v>
      </c>
      <c r="AR17" s="302">
        <f t="shared" ref="AR17:AS30" si="117">IF(AR$3=$E17,$D17,0)</f>
        <v>36998.879999999997</v>
      </c>
      <c r="AS17" s="302">
        <f t="shared" si="117"/>
        <v>0</v>
      </c>
      <c r="AT17" s="341">
        <f t="shared" si="14"/>
        <v>0</v>
      </c>
      <c r="AU17" s="341">
        <f t="shared" si="14"/>
        <v>0</v>
      </c>
      <c r="AV17" s="341">
        <f t="shared" si="14"/>
        <v>0</v>
      </c>
      <c r="AW17" s="341">
        <f t="shared" si="14"/>
        <v>0</v>
      </c>
      <c r="AX17" s="341">
        <f t="shared" si="14"/>
        <v>0</v>
      </c>
      <c r="AY17" s="341">
        <f t="shared" si="14"/>
        <v>0</v>
      </c>
      <c r="AZ17" s="302">
        <f t="shared" si="14"/>
        <v>0</v>
      </c>
      <c r="BA17" s="302">
        <f t="shared" si="14"/>
        <v>0</v>
      </c>
      <c r="BB17" s="302">
        <f t="shared" si="14"/>
        <v>0</v>
      </c>
      <c r="BC17" s="302">
        <f t="shared" si="14"/>
        <v>0</v>
      </c>
      <c r="BD17" s="302">
        <f t="shared" si="14"/>
        <v>0</v>
      </c>
      <c r="BE17" s="302">
        <f t="shared" si="84"/>
        <v>0</v>
      </c>
      <c r="BF17" s="301">
        <f t="shared" si="15"/>
        <v>0</v>
      </c>
    </row>
    <row r="18" spans="1:58" s="297" customFormat="1" x14ac:dyDescent="0.25">
      <c r="A18" s="297" t="s">
        <v>149</v>
      </c>
      <c r="B18" s="369"/>
      <c r="D18" s="368">
        <v>43134</v>
      </c>
      <c r="E18" s="247" t="s">
        <v>195</v>
      </c>
      <c r="F18" s="247"/>
      <c r="G18" s="353"/>
      <c r="H18" s="353"/>
      <c r="I18" s="353"/>
      <c r="J18" s="335"/>
      <c r="K18" s="335"/>
      <c r="L18" s="335"/>
      <c r="M18" s="335">
        <v>0</v>
      </c>
      <c r="N18" s="335">
        <v>0.23402791301525477</v>
      </c>
      <c r="O18" s="335">
        <v>0.25846153846153846</v>
      </c>
      <c r="P18" s="335">
        <v>0.25846153846153846</v>
      </c>
      <c r="Q18" s="335">
        <v>0.24904901006166827</v>
      </c>
      <c r="R18" s="335"/>
      <c r="S18" s="334"/>
      <c r="T18" s="334"/>
      <c r="U18" s="334"/>
      <c r="V18" s="334"/>
      <c r="W18" s="348">
        <f t="shared" si="16"/>
        <v>1</v>
      </c>
      <c r="X18" s="247"/>
      <c r="Y18" s="247"/>
      <c r="Z18" s="302">
        <f t="shared" ref="Z18" si="118">G18*$D18</f>
        <v>0</v>
      </c>
      <c r="AA18" s="302">
        <f t="shared" ref="AA18" si="119">H18*$D18</f>
        <v>0</v>
      </c>
      <c r="AB18" s="302">
        <f t="shared" ref="AB18" si="120">I18*$D18</f>
        <v>0</v>
      </c>
      <c r="AC18" s="302">
        <f t="shared" ref="AC18" si="121">J18*$D18</f>
        <v>0</v>
      </c>
      <c r="AD18" s="302">
        <f t="shared" ref="AD18" si="122">K18*$D18</f>
        <v>0</v>
      </c>
      <c r="AE18" s="302">
        <f t="shared" ref="AE18" si="123">L18*$D18</f>
        <v>0</v>
      </c>
      <c r="AF18" s="341">
        <f t="shared" ref="AF18" si="124">M18*$D18</f>
        <v>0</v>
      </c>
      <c r="AG18" s="341">
        <f t="shared" ref="AG18" si="125">N18*$D18</f>
        <v>10094.56</v>
      </c>
      <c r="AH18" s="341">
        <f t="shared" ref="AH18" si="126">O18*$D18</f>
        <v>11148.48</v>
      </c>
      <c r="AI18" s="341">
        <f t="shared" ref="AI18" si="127">P18*$D18</f>
        <v>11148.48</v>
      </c>
      <c r="AJ18" s="341">
        <f t="shared" ref="AJ18" si="128">Q18*$D18</f>
        <v>10742.48</v>
      </c>
      <c r="AK18" s="341">
        <f t="shared" ref="AK18" si="129">R18*$D18</f>
        <v>0</v>
      </c>
      <c r="AL18" s="341">
        <f t="shared" ref="AL18" si="130">S18*$D18</f>
        <v>0</v>
      </c>
      <c r="AM18" s="341">
        <f t="shared" ref="AM18" si="131">T18*$D18</f>
        <v>0</v>
      </c>
      <c r="AN18" s="302">
        <f t="shared" ref="AN18" si="132">U18*$D18</f>
        <v>0</v>
      </c>
      <c r="AO18" s="302">
        <f t="shared" si="13"/>
        <v>0</v>
      </c>
      <c r="AP18" s="302">
        <f t="shared" si="14"/>
        <v>0</v>
      </c>
      <c r="AQ18" s="302">
        <f t="shared" si="14"/>
        <v>0</v>
      </c>
      <c r="AR18" s="341">
        <f t="shared" si="14"/>
        <v>0</v>
      </c>
      <c r="AS18" s="302">
        <f t="shared" si="117"/>
        <v>0</v>
      </c>
      <c r="AT18" s="341">
        <f t="shared" si="14"/>
        <v>0</v>
      </c>
      <c r="AU18" s="341">
        <f t="shared" si="14"/>
        <v>0</v>
      </c>
      <c r="AV18" s="341">
        <f t="shared" ref="AV18" si="133">IF(AV$3=$E18,$D18,0)</f>
        <v>43134</v>
      </c>
      <c r="AW18" s="341">
        <f t="shared" si="14"/>
        <v>0</v>
      </c>
      <c r="AX18" s="341">
        <f t="shared" si="14"/>
        <v>0</v>
      </c>
      <c r="AY18" s="341">
        <f t="shared" si="14"/>
        <v>0</v>
      </c>
      <c r="AZ18" s="302">
        <f t="shared" si="14"/>
        <v>0</v>
      </c>
      <c r="BA18" s="302">
        <f t="shared" si="14"/>
        <v>0</v>
      </c>
      <c r="BB18" s="302">
        <f t="shared" si="14"/>
        <v>0</v>
      </c>
      <c r="BC18" s="302">
        <f t="shared" si="14"/>
        <v>0</v>
      </c>
      <c r="BD18" s="302">
        <f t="shared" si="14"/>
        <v>0</v>
      </c>
      <c r="BE18" s="302">
        <f t="shared" si="84"/>
        <v>0</v>
      </c>
      <c r="BF18" s="301">
        <f t="shared" si="15"/>
        <v>0</v>
      </c>
    </row>
    <row r="19" spans="1:58" s="297" customFormat="1" x14ac:dyDescent="0.25">
      <c r="A19" s="297" t="s">
        <v>149</v>
      </c>
      <c r="B19" s="369"/>
      <c r="D19" s="368">
        <v>18759</v>
      </c>
      <c r="E19" s="247" t="s">
        <v>195</v>
      </c>
      <c r="F19" s="247"/>
      <c r="G19" s="353"/>
      <c r="H19" s="353"/>
      <c r="I19" s="353"/>
      <c r="J19" s="335"/>
      <c r="K19" s="335"/>
      <c r="L19" s="335"/>
      <c r="M19" s="335">
        <v>0.17230769230769233</v>
      </c>
      <c r="N19" s="335">
        <v>0.24205128205128207</v>
      </c>
      <c r="O19" s="335">
        <v>0.25846153846153846</v>
      </c>
      <c r="P19" s="335">
        <v>0.25846153846153846</v>
      </c>
      <c r="Q19" s="335">
        <v>6.8717948717948715E-2</v>
      </c>
      <c r="R19" s="335"/>
      <c r="S19" s="334"/>
      <c r="T19" s="334"/>
      <c r="U19" s="334"/>
      <c r="V19" s="334"/>
      <c r="W19" s="348">
        <f t="shared" si="16"/>
        <v>1.0000000000000002</v>
      </c>
      <c r="X19" s="247"/>
      <c r="Y19" s="247"/>
      <c r="Z19" s="302">
        <f t="shared" ref="Z19" si="134">G19*$D19</f>
        <v>0</v>
      </c>
      <c r="AA19" s="302">
        <f t="shared" ref="AA19" si="135">H19*$D19</f>
        <v>0</v>
      </c>
      <c r="AB19" s="302">
        <f t="shared" ref="AB19" si="136">I19*$D19</f>
        <v>0</v>
      </c>
      <c r="AC19" s="302">
        <f t="shared" ref="AC19" si="137">J19*$D19</f>
        <v>0</v>
      </c>
      <c r="AD19" s="302">
        <f t="shared" ref="AD19" si="138">K19*$D19</f>
        <v>0</v>
      </c>
      <c r="AE19" s="302">
        <f t="shared" ref="AE19:AE20" si="139">L19*$D19</f>
        <v>0</v>
      </c>
      <c r="AF19" s="341">
        <f t="shared" ref="AF19" si="140">M19*$D19</f>
        <v>3232.32</v>
      </c>
      <c r="AG19" s="341">
        <f t="shared" ref="AG19" si="141">N19*$D19</f>
        <v>4540.6400000000003</v>
      </c>
      <c r="AH19" s="341">
        <f t="shared" ref="AH19" si="142">O19*$D19</f>
        <v>4848.4800000000005</v>
      </c>
      <c r="AI19" s="341">
        <f t="shared" ref="AI19" si="143">P19*$D19</f>
        <v>4848.4800000000005</v>
      </c>
      <c r="AJ19" s="341">
        <f t="shared" ref="AJ19" si="144">Q19*$D19</f>
        <v>1289.08</v>
      </c>
      <c r="AK19" s="341">
        <f t="shared" ref="AK19" si="145">R19*$D19</f>
        <v>0</v>
      </c>
      <c r="AL19" s="341">
        <f t="shared" ref="AL19" si="146">S19*$D19</f>
        <v>0</v>
      </c>
      <c r="AM19" s="341">
        <f t="shared" ref="AM19" si="147">T19*$D19</f>
        <v>0</v>
      </c>
      <c r="AN19" s="302">
        <f t="shared" ref="AN19" si="148">U19*$D19</f>
        <v>0</v>
      </c>
      <c r="AO19" s="302">
        <f t="shared" si="13"/>
        <v>0</v>
      </c>
      <c r="AP19" s="302">
        <f t="shared" si="14"/>
        <v>0</v>
      </c>
      <c r="AQ19" s="302">
        <f t="shared" si="14"/>
        <v>0</v>
      </c>
      <c r="AR19" s="341">
        <f t="shared" si="14"/>
        <v>0</v>
      </c>
      <c r="AS19" s="302">
        <f t="shared" si="117"/>
        <v>0</v>
      </c>
      <c r="AT19" s="341">
        <f t="shared" si="14"/>
        <v>0</v>
      </c>
      <c r="AU19" s="341">
        <f t="shared" si="14"/>
        <v>0</v>
      </c>
      <c r="AV19" s="341">
        <f t="shared" si="14"/>
        <v>18759</v>
      </c>
      <c r="AW19" s="341">
        <f t="shared" si="14"/>
        <v>0</v>
      </c>
      <c r="AX19" s="341">
        <f t="shared" si="14"/>
        <v>0</v>
      </c>
      <c r="AY19" s="341">
        <f t="shared" si="14"/>
        <v>0</v>
      </c>
      <c r="AZ19" s="302">
        <f t="shared" si="14"/>
        <v>0</v>
      </c>
      <c r="BA19" s="302">
        <f t="shared" si="14"/>
        <v>0</v>
      </c>
      <c r="BB19" s="302">
        <f t="shared" si="14"/>
        <v>0</v>
      </c>
      <c r="BC19" s="302">
        <f t="shared" si="14"/>
        <v>0</v>
      </c>
      <c r="BD19" s="302">
        <f t="shared" si="14"/>
        <v>0</v>
      </c>
      <c r="BE19" s="302">
        <f t="shared" si="84"/>
        <v>0</v>
      </c>
      <c r="BF19" s="301">
        <f t="shared" si="15"/>
        <v>0</v>
      </c>
    </row>
    <row r="20" spans="1:58" s="297" customFormat="1" x14ac:dyDescent="0.25">
      <c r="A20" s="297" t="s">
        <v>149</v>
      </c>
      <c r="B20" s="369"/>
      <c r="C20" s="314"/>
      <c r="D20" s="368">
        <v>72000</v>
      </c>
      <c r="E20" s="247" t="s">
        <v>262</v>
      </c>
      <c r="F20" s="247"/>
      <c r="G20" s="353"/>
      <c r="H20" s="353"/>
      <c r="I20" s="353"/>
      <c r="J20" s="335"/>
      <c r="K20" s="335"/>
      <c r="L20" s="335">
        <v>0</v>
      </c>
      <c r="M20" s="335">
        <v>0</v>
      </c>
      <c r="N20" s="335">
        <v>0</v>
      </c>
      <c r="O20" s="335">
        <v>0</v>
      </c>
      <c r="P20" s="335">
        <v>0</v>
      </c>
      <c r="Q20" s="335">
        <v>0.25</v>
      </c>
      <c r="R20" s="335">
        <v>0.25</v>
      </c>
      <c r="S20" s="335">
        <v>0.25</v>
      </c>
      <c r="T20" s="335">
        <v>0.25</v>
      </c>
      <c r="U20" s="334"/>
      <c r="V20" s="334"/>
      <c r="W20" s="348">
        <f t="shared" si="16"/>
        <v>1</v>
      </c>
      <c r="X20" s="247"/>
      <c r="Y20" s="247"/>
      <c r="Z20" s="302">
        <f t="shared" si="0"/>
        <v>0</v>
      </c>
      <c r="AA20" s="302">
        <f t="shared" si="1"/>
        <v>0</v>
      </c>
      <c r="AB20" s="302">
        <f t="shared" si="2"/>
        <v>0</v>
      </c>
      <c r="AC20" s="302">
        <f t="shared" si="3"/>
        <v>0</v>
      </c>
      <c r="AD20" s="302">
        <f>K20*$D20</f>
        <v>0</v>
      </c>
      <c r="AE20" s="302">
        <f t="shared" si="139"/>
        <v>0</v>
      </c>
      <c r="AF20" s="341">
        <f t="shared" si="36"/>
        <v>0</v>
      </c>
      <c r="AG20" s="341">
        <f t="shared" si="37"/>
        <v>0</v>
      </c>
      <c r="AH20" s="341">
        <f t="shared" si="17"/>
        <v>0</v>
      </c>
      <c r="AI20" s="341">
        <f t="shared" si="18"/>
        <v>0</v>
      </c>
      <c r="AJ20" s="341">
        <f t="shared" si="8"/>
        <v>18000</v>
      </c>
      <c r="AK20" s="341">
        <f t="shared" si="9"/>
        <v>18000</v>
      </c>
      <c r="AL20" s="341">
        <f t="shared" si="10"/>
        <v>18000</v>
      </c>
      <c r="AM20" s="341">
        <f t="shared" si="11"/>
        <v>18000</v>
      </c>
      <c r="AN20" s="302">
        <f t="shared" si="12"/>
        <v>0</v>
      </c>
      <c r="AO20" s="302">
        <f t="shared" si="13"/>
        <v>0</v>
      </c>
      <c r="AP20" s="302">
        <f t="shared" si="14"/>
        <v>0</v>
      </c>
      <c r="AQ20" s="302">
        <f t="shared" si="14"/>
        <v>0</v>
      </c>
      <c r="AR20" s="341">
        <f t="shared" si="14"/>
        <v>0</v>
      </c>
      <c r="AS20" s="302">
        <f t="shared" si="117"/>
        <v>0</v>
      </c>
      <c r="AT20" s="341">
        <f t="shared" si="14"/>
        <v>0</v>
      </c>
      <c r="AU20" s="341">
        <f t="shared" si="14"/>
        <v>0</v>
      </c>
      <c r="AV20" s="341">
        <f t="shared" si="14"/>
        <v>0</v>
      </c>
      <c r="AW20" s="341">
        <f t="shared" si="14"/>
        <v>0</v>
      </c>
      <c r="AX20" s="341">
        <f t="shared" si="14"/>
        <v>0</v>
      </c>
      <c r="AY20" s="341">
        <f t="shared" si="14"/>
        <v>72000</v>
      </c>
      <c r="AZ20" s="302">
        <f t="shared" si="14"/>
        <v>0</v>
      </c>
      <c r="BA20" s="302">
        <f t="shared" si="14"/>
        <v>0</v>
      </c>
      <c r="BB20" s="302">
        <f t="shared" si="14"/>
        <v>0</v>
      </c>
      <c r="BC20" s="302">
        <f t="shared" si="14"/>
        <v>0</v>
      </c>
      <c r="BD20" s="302">
        <f t="shared" si="14"/>
        <v>0</v>
      </c>
      <c r="BE20" s="302">
        <f t="shared" si="84"/>
        <v>0</v>
      </c>
      <c r="BF20" s="301">
        <f t="shared" si="15"/>
        <v>0</v>
      </c>
    </row>
    <row r="21" spans="1:58" s="297" customFormat="1" x14ac:dyDescent="0.25">
      <c r="A21" s="297" t="s">
        <v>149</v>
      </c>
      <c r="B21" s="369"/>
      <c r="C21" s="314"/>
      <c r="D21" s="368">
        <v>100000</v>
      </c>
      <c r="E21" s="247" t="s">
        <v>262</v>
      </c>
      <c r="F21" s="247"/>
      <c r="G21" s="353"/>
      <c r="H21" s="353"/>
      <c r="I21" s="353"/>
      <c r="J21" s="335"/>
      <c r="K21" s="335"/>
      <c r="L21" s="335"/>
      <c r="M21" s="335">
        <v>0</v>
      </c>
      <c r="N21" s="335">
        <v>0</v>
      </c>
      <c r="O21" s="335">
        <v>0</v>
      </c>
      <c r="P21" s="335">
        <v>0.25</v>
      </c>
      <c r="Q21" s="335">
        <v>0.25</v>
      </c>
      <c r="R21" s="335">
        <v>0.25</v>
      </c>
      <c r="S21" s="335">
        <v>0.25</v>
      </c>
      <c r="T21" s="334"/>
      <c r="U21" s="334"/>
      <c r="V21" s="334"/>
      <c r="W21" s="348">
        <f t="shared" si="16"/>
        <v>1</v>
      </c>
      <c r="X21" s="247"/>
      <c r="Y21" s="247"/>
      <c r="Z21" s="302">
        <f t="shared" ref="Z21:Z22" si="149">G21*$D21</f>
        <v>0</v>
      </c>
      <c r="AA21" s="302">
        <f t="shared" ref="AA21:AA22" si="150">H21*$D21</f>
        <v>0</v>
      </c>
      <c r="AB21" s="302">
        <f t="shared" ref="AB21:AB22" si="151">I21*$D21</f>
        <v>0</v>
      </c>
      <c r="AC21" s="302">
        <f t="shared" ref="AC21:AC22" si="152">J21*$D21</f>
        <v>0</v>
      </c>
      <c r="AD21" s="302">
        <f t="shared" ref="AD21:AD22" si="153">K21*$D21</f>
        <v>0</v>
      </c>
      <c r="AE21" s="302">
        <f t="shared" ref="AE21:AE22" si="154">L21*$D21</f>
        <v>0</v>
      </c>
      <c r="AF21" s="341">
        <f t="shared" ref="AF21:AF22" si="155">M21*$D21</f>
        <v>0</v>
      </c>
      <c r="AG21" s="341">
        <f t="shared" ref="AG21:AG22" si="156">N21*$D21</f>
        <v>0</v>
      </c>
      <c r="AH21" s="341">
        <f t="shared" ref="AH21:AH22" si="157">O21*$D21</f>
        <v>0</v>
      </c>
      <c r="AI21" s="341">
        <f t="shared" ref="AI21:AI22" si="158">P21*$D21</f>
        <v>25000</v>
      </c>
      <c r="AJ21" s="341">
        <f t="shared" ref="AJ21:AJ22" si="159">Q21*$D21</f>
        <v>25000</v>
      </c>
      <c r="AK21" s="341">
        <f t="shared" ref="AK21:AK22" si="160">R21*$D21</f>
        <v>25000</v>
      </c>
      <c r="AL21" s="341">
        <f t="shared" ref="AL21:AL22" si="161">S21*$D21</f>
        <v>25000</v>
      </c>
      <c r="AM21" s="341">
        <f t="shared" ref="AM21:AM22" si="162">T21*$D21</f>
        <v>0</v>
      </c>
      <c r="AN21" s="302">
        <f t="shared" ref="AN21:AN22" si="163">U21*$D21</f>
        <v>0</v>
      </c>
      <c r="AO21" s="302">
        <f t="shared" si="13"/>
        <v>0</v>
      </c>
      <c r="AP21" s="302">
        <f t="shared" si="14"/>
        <v>0</v>
      </c>
      <c r="AQ21" s="302">
        <f t="shared" si="14"/>
        <v>0</v>
      </c>
      <c r="AR21" s="341">
        <f t="shared" si="14"/>
        <v>0</v>
      </c>
      <c r="AS21" s="302">
        <f t="shared" si="117"/>
        <v>0</v>
      </c>
      <c r="AT21" s="341">
        <f t="shared" si="14"/>
        <v>0</v>
      </c>
      <c r="AU21" s="341">
        <f t="shared" si="14"/>
        <v>0</v>
      </c>
      <c r="AV21" s="341">
        <f t="shared" si="14"/>
        <v>0</v>
      </c>
      <c r="AW21" s="341">
        <f t="shared" si="14"/>
        <v>0</v>
      </c>
      <c r="AX21" s="341">
        <f t="shared" si="14"/>
        <v>0</v>
      </c>
      <c r="AY21" s="341">
        <f t="shared" si="14"/>
        <v>100000</v>
      </c>
      <c r="AZ21" s="302">
        <f t="shared" si="14"/>
        <v>0</v>
      </c>
      <c r="BA21" s="302">
        <f t="shared" si="14"/>
        <v>0</v>
      </c>
      <c r="BB21" s="302">
        <f t="shared" si="14"/>
        <v>0</v>
      </c>
      <c r="BC21" s="302">
        <f t="shared" si="14"/>
        <v>0</v>
      </c>
      <c r="BD21" s="302">
        <f t="shared" si="14"/>
        <v>0</v>
      </c>
      <c r="BE21" s="302">
        <f t="shared" si="84"/>
        <v>0</v>
      </c>
      <c r="BF21" s="301">
        <f t="shared" si="15"/>
        <v>0</v>
      </c>
    </row>
    <row r="22" spans="1:58" s="297" customFormat="1" x14ac:dyDescent="0.25">
      <c r="A22" s="297" t="s">
        <v>149</v>
      </c>
      <c r="B22" s="369"/>
      <c r="C22" s="314"/>
      <c r="D22" s="368">
        <v>40000</v>
      </c>
      <c r="E22" s="247" t="s">
        <v>262</v>
      </c>
      <c r="F22" s="247"/>
      <c r="G22" s="353"/>
      <c r="H22" s="353"/>
      <c r="I22" s="353"/>
      <c r="J22" s="335"/>
      <c r="K22" s="335"/>
      <c r="L22" s="335">
        <v>0</v>
      </c>
      <c r="M22" s="335">
        <v>0</v>
      </c>
      <c r="N22" s="335">
        <v>0</v>
      </c>
      <c r="O22" s="335">
        <v>0</v>
      </c>
      <c r="P22" s="335">
        <v>0.25</v>
      </c>
      <c r="Q22" s="335">
        <v>0.25</v>
      </c>
      <c r="R22" s="335">
        <v>0.25</v>
      </c>
      <c r="S22" s="335">
        <v>0.25</v>
      </c>
      <c r="T22" s="334"/>
      <c r="U22" s="334"/>
      <c r="V22" s="334"/>
      <c r="W22" s="348">
        <f t="shared" si="16"/>
        <v>1</v>
      </c>
      <c r="X22" s="247"/>
      <c r="Y22" s="247"/>
      <c r="Z22" s="302">
        <f t="shared" si="149"/>
        <v>0</v>
      </c>
      <c r="AA22" s="302">
        <f t="shared" si="150"/>
        <v>0</v>
      </c>
      <c r="AB22" s="302">
        <f t="shared" si="151"/>
        <v>0</v>
      </c>
      <c r="AC22" s="302">
        <f t="shared" si="152"/>
        <v>0</v>
      </c>
      <c r="AD22" s="302">
        <f t="shared" si="153"/>
        <v>0</v>
      </c>
      <c r="AE22" s="302">
        <f t="shared" si="154"/>
        <v>0</v>
      </c>
      <c r="AF22" s="341">
        <f t="shared" si="155"/>
        <v>0</v>
      </c>
      <c r="AG22" s="341">
        <f t="shared" si="156"/>
        <v>0</v>
      </c>
      <c r="AH22" s="341">
        <f t="shared" si="157"/>
        <v>0</v>
      </c>
      <c r="AI22" s="341">
        <f t="shared" si="158"/>
        <v>10000</v>
      </c>
      <c r="AJ22" s="341">
        <f t="shared" si="159"/>
        <v>10000</v>
      </c>
      <c r="AK22" s="341">
        <f t="shared" si="160"/>
        <v>10000</v>
      </c>
      <c r="AL22" s="341">
        <f t="shared" si="161"/>
        <v>10000</v>
      </c>
      <c r="AM22" s="341">
        <f t="shared" si="162"/>
        <v>0</v>
      </c>
      <c r="AN22" s="302">
        <f t="shared" si="163"/>
        <v>0</v>
      </c>
      <c r="AO22" s="302">
        <f t="shared" si="13"/>
        <v>0</v>
      </c>
      <c r="AP22" s="302">
        <f t="shared" ref="AP22:BE22" si="164">IF(AP$3=$E22,$D22,0)</f>
        <v>0</v>
      </c>
      <c r="AQ22" s="302">
        <f t="shared" si="164"/>
        <v>0</v>
      </c>
      <c r="AR22" s="341">
        <f t="shared" si="164"/>
        <v>0</v>
      </c>
      <c r="AS22" s="302">
        <f t="shared" si="117"/>
        <v>0</v>
      </c>
      <c r="AT22" s="341">
        <f t="shared" si="164"/>
        <v>0</v>
      </c>
      <c r="AU22" s="341">
        <f t="shared" si="164"/>
        <v>0</v>
      </c>
      <c r="AV22" s="341">
        <f t="shared" si="164"/>
        <v>0</v>
      </c>
      <c r="AW22" s="341">
        <f t="shared" si="164"/>
        <v>0</v>
      </c>
      <c r="AX22" s="341">
        <f t="shared" si="164"/>
        <v>0</v>
      </c>
      <c r="AY22" s="341">
        <f t="shared" si="164"/>
        <v>40000</v>
      </c>
      <c r="AZ22" s="302">
        <f t="shared" si="164"/>
        <v>0</v>
      </c>
      <c r="BA22" s="302">
        <f t="shared" si="164"/>
        <v>0</v>
      </c>
      <c r="BB22" s="302">
        <f t="shared" si="164"/>
        <v>0</v>
      </c>
      <c r="BC22" s="302">
        <f t="shared" si="164"/>
        <v>0</v>
      </c>
      <c r="BD22" s="302">
        <f t="shared" si="164"/>
        <v>0</v>
      </c>
      <c r="BE22" s="302">
        <f t="shared" si="164"/>
        <v>0</v>
      </c>
      <c r="BF22" s="301">
        <f t="shared" si="15"/>
        <v>0</v>
      </c>
    </row>
    <row r="23" spans="1:58" x14ac:dyDescent="0.25">
      <c r="A23" t="s">
        <v>149</v>
      </c>
      <c r="B23" s="369"/>
      <c r="C23" s="314"/>
      <c r="D23" s="368">
        <v>4000</v>
      </c>
      <c r="E23" s="247" t="s">
        <v>181</v>
      </c>
      <c r="F23" s="247"/>
      <c r="G23" s="353"/>
      <c r="H23" s="353"/>
      <c r="I23" s="353">
        <v>1</v>
      </c>
      <c r="J23" s="335"/>
      <c r="K23" s="335"/>
      <c r="L23" s="335"/>
      <c r="M23" s="335"/>
      <c r="N23" s="335"/>
      <c r="O23" s="335"/>
      <c r="P23" s="334"/>
      <c r="Q23" s="334"/>
      <c r="R23" s="334"/>
      <c r="S23" s="334"/>
      <c r="T23" s="334"/>
      <c r="U23" s="334"/>
      <c r="V23" s="334"/>
      <c r="W23" s="348">
        <f t="shared" si="16"/>
        <v>1</v>
      </c>
      <c r="X23" s="247"/>
      <c r="Y23" s="247"/>
      <c r="Z23" s="302">
        <f t="shared" si="0"/>
        <v>0</v>
      </c>
      <c r="AA23" s="302">
        <f t="shared" si="1"/>
        <v>0</v>
      </c>
      <c r="AB23" s="302">
        <f t="shared" si="2"/>
        <v>4000</v>
      </c>
      <c r="AC23" s="302">
        <f t="shared" si="3"/>
        <v>0</v>
      </c>
      <c r="AD23" s="302">
        <f>K23*$D23</f>
        <v>0</v>
      </c>
      <c r="AE23" s="302">
        <f t="shared" si="35"/>
        <v>0</v>
      </c>
      <c r="AF23" s="341">
        <f t="shared" si="36"/>
        <v>0</v>
      </c>
      <c r="AG23" s="341">
        <f t="shared" si="37"/>
        <v>0</v>
      </c>
      <c r="AH23" s="341">
        <f t="shared" si="17"/>
        <v>0</v>
      </c>
      <c r="AI23" s="341">
        <f t="shared" si="18"/>
        <v>0</v>
      </c>
      <c r="AJ23" s="341">
        <f t="shared" si="8"/>
        <v>0</v>
      </c>
      <c r="AK23" s="341">
        <f t="shared" si="9"/>
        <v>0</v>
      </c>
      <c r="AL23" s="341">
        <f t="shared" si="10"/>
        <v>0</v>
      </c>
      <c r="AM23" s="341">
        <f t="shared" si="11"/>
        <v>0</v>
      </c>
      <c r="AN23" s="302">
        <f t="shared" si="12"/>
        <v>0</v>
      </c>
      <c r="AO23" s="302">
        <f t="shared" si="13"/>
        <v>0</v>
      </c>
      <c r="AP23" s="302">
        <f t="shared" si="14"/>
        <v>0</v>
      </c>
      <c r="AQ23" s="302">
        <f t="shared" si="14"/>
        <v>0</v>
      </c>
      <c r="AR23" s="341">
        <f t="shared" si="14"/>
        <v>4000</v>
      </c>
      <c r="AS23" s="302">
        <f t="shared" si="117"/>
        <v>0</v>
      </c>
      <c r="AT23" s="341">
        <f t="shared" si="14"/>
        <v>0</v>
      </c>
      <c r="AU23" s="341">
        <f t="shared" si="14"/>
        <v>0</v>
      </c>
      <c r="AV23" s="341">
        <f t="shared" si="14"/>
        <v>0</v>
      </c>
      <c r="AW23" s="341">
        <f t="shared" si="14"/>
        <v>0</v>
      </c>
      <c r="AX23" s="341">
        <f t="shared" si="14"/>
        <v>0</v>
      </c>
      <c r="AY23" s="341">
        <f t="shared" si="14"/>
        <v>0</v>
      </c>
      <c r="AZ23" s="302">
        <f t="shared" si="14"/>
        <v>0</v>
      </c>
      <c r="BA23" s="302">
        <f t="shared" si="14"/>
        <v>0</v>
      </c>
      <c r="BB23" s="302">
        <f t="shared" si="14"/>
        <v>0</v>
      </c>
      <c r="BC23" s="302">
        <f t="shared" si="14"/>
        <v>0</v>
      </c>
      <c r="BD23" s="302">
        <f t="shared" si="14"/>
        <v>0</v>
      </c>
      <c r="BE23" s="302">
        <f t="shared" si="84"/>
        <v>0</v>
      </c>
      <c r="BF23" s="301">
        <f t="shared" si="15"/>
        <v>0</v>
      </c>
    </row>
    <row r="24" spans="1:58" s="297" customFormat="1" x14ac:dyDescent="0.25">
      <c r="A24" s="297" t="s">
        <v>149</v>
      </c>
      <c r="B24" s="369"/>
      <c r="C24" s="314"/>
      <c r="D24" s="368">
        <v>1800</v>
      </c>
      <c r="E24" s="247" t="s">
        <v>195</v>
      </c>
      <c r="F24" s="247"/>
      <c r="G24" s="353"/>
      <c r="H24" s="353"/>
      <c r="I24" s="353">
        <v>0</v>
      </c>
      <c r="J24" s="335"/>
      <c r="K24" s="335"/>
      <c r="L24" s="335"/>
      <c r="M24" s="335">
        <v>0</v>
      </c>
      <c r="N24" s="335">
        <v>1</v>
      </c>
      <c r="O24" s="335"/>
      <c r="P24" s="334"/>
      <c r="Q24" s="334"/>
      <c r="R24" s="334"/>
      <c r="S24" s="334"/>
      <c r="T24" s="334"/>
      <c r="U24" s="334"/>
      <c r="V24" s="334"/>
      <c r="W24" s="348">
        <f t="shared" ref="W24" si="165">SUM(G24:V24)</f>
        <v>1</v>
      </c>
      <c r="X24" s="247"/>
      <c r="Y24" s="247"/>
      <c r="Z24" s="302">
        <f t="shared" ref="Z24" si="166">G24*$D24</f>
        <v>0</v>
      </c>
      <c r="AA24" s="302">
        <f t="shared" ref="AA24" si="167">H24*$D24</f>
        <v>0</v>
      </c>
      <c r="AB24" s="302">
        <f t="shared" ref="AB24" si="168">I24*$D24</f>
        <v>0</v>
      </c>
      <c r="AC24" s="302">
        <f t="shared" ref="AC24" si="169">J24*$D24</f>
        <v>0</v>
      </c>
      <c r="AD24" s="302">
        <f>K24*$D24</f>
        <v>0</v>
      </c>
      <c r="AE24" s="302">
        <f t="shared" ref="AE24" si="170">L24*$D24</f>
        <v>0</v>
      </c>
      <c r="AF24" s="341">
        <f t="shared" ref="AF24" si="171">M24*$D24</f>
        <v>0</v>
      </c>
      <c r="AG24" s="341">
        <f t="shared" ref="AG24" si="172">N24*$D24</f>
        <v>1800</v>
      </c>
      <c r="AH24" s="341">
        <f t="shared" ref="AH24" si="173">O24*$D24</f>
        <v>0</v>
      </c>
      <c r="AI24" s="341">
        <f t="shared" ref="AI24" si="174">P24*$D24</f>
        <v>0</v>
      </c>
      <c r="AJ24" s="341">
        <f t="shared" ref="AJ24" si="175">Q24*$D24</f>
        <v>0</v>
      </c>
      <c r="AK24" s="341">
        <f t="shared" ref="AK24" si="176">R24*$D24</f>
        <v>0</v>
      </c>
      <c r="AL24" s="341">
        <f t="shared" ref="AL24" si="177">S24*$D24</f>
        <v>0</v>
      </c>
      <c r="AM24" s="341">
        <f t="shared" ref="AM24" si="178">T24*$D24</f>
        <v>0</v>
      </c>
      <c r="AN24" s="302">
        <f t="shared" ref="AN24" si="179">U24*$D24</f>
        <v>0</v>
      </c>
      <c r="AO24" s="302">
        <f t="shared" si="13"/>
        <v>0</v>
      </c>
      <c r="AP24" s="302">
        <f t="shared" ref="AP24:BD24" si="180">IF(AP$3=$E24,$D24,0)</f>
        <v>0</v>
      </c>
      <c r="AQ24" s="302">
        <f t="shared" si="180"/>
        <v>0</v>
      </c>
      <c r="AR24" s="341">
        <f t="shared" si="180"/>
        <v>0</v>
      </c>
      <c r="AS24" s="302">
        <f t="shared" si="117"/>
        <v>0</v>
      </c>
      <c r="AT24" s="341">
        <f t="shared" si="180"/>
        <v>0</v>
      </c>
      <c r="AU24" s="341">
        <f t="shared" si="180"/>
        <v>0</v>
      </c>
      <c r="AV24" s="341">
        <f t="shared" si="180"/>
        <v>1800</v>
      </c>
      <c r="AW24" s="341">
        <f t="shared" si="180"/>
        <v>0</v>
      </c>
      <c r="AX24" s="341">
        <f t="shared" si="180"/>
        <v>0</v>
      </c>
      <c r="AY24" s="341">
        <f t="shared" si="180"/>
        <v>0</v>
      </c>
      <c r="AZ24" s="302">
        <f t="shared" si="180"/>
        <v>0</v>
      </c>
      <c r="BA24" s="302">
        <f t="shared" si="180"/>
        <v>0</v>
      </c>
      <c r="BB24" s="302">
        <f t="shared" si="180"/>
        <v>0</v>
      </c>
      <c r="BC24" s="302">
        <f t="shared" si="180"/>
        <v>0</v>
      </c>
      <c r="BD24" s="302">
        <f t="shared" si="180"/>
        <v>0</v>
      </c>
      <c r="BE24" s="302">
        <f t="shared" si="84"/>
        <v>0</v>
      </c>
      <c r="BF24" s="301">
        <f t="shared" si="15"/>
        <v>0</v>
      </c>
    </row>
    <row r="25" spans="1:58" x14ac:dyDescent="0.25">
      <c r="A25" t="s">
        <v>149</v>
      </c>
      <c r="B25" s="369"/>
      <c r="C25" s="314"/>
      <c r="D25" s="323">
        <f>99000+851.16</f>
        <v>99851.16</v>
      </c>
      <c r="E25" s="247" t="s">
        <v>181</v>
      </c>
      <c r="F25" s="247"/>
      <c r="G25" s="353"/>
      <c r="H25" s="353"/>
      <c r="I25" s="350">
        <v>0</v>
      </c>
      <c r="J25" s="351">
        <v>0.33049190415013707</v>
      </c>
      <c r="K25" s="351">
        <v>0.27120045475686011</v>
      </c>
      <c r="L25" s="351">
        <v>0.26270741371457274</v>
      </c>
      <c r="M25" s="335">
        <v>0.13560022737843005</v>
      </c>
      <c r="N25" s="335"/>
      <c r="O25" s="335"/>
      <c r="P25" s="334"/>
      <c r="Q25" s="334"/>
      <c r="R25" s="334"/>
      <c r="S25" s="334"/>
      <c r="T25" s="334"/>
      <c r="U25" s="334"/>
      <c r="V25" s="334"/>
      <c r="W25" s="348">
        <f t="shared" si="16"/>
        <v>0.99999999999999989</v>
      </c>
      <c r="X25" s="247"/>
      <c r="Y25" s="247"/>
      <c r="Z25" s="302">
        <f t="shared" si="0"/>
        <v>0</v>
      </c>
      <c r="AA25" s="302">
        <f t="shared" si="1"/>
        <v>0</v>
      </c>
      <c r="AB25" s="302">
        <f t="shared" si="2"/>
        <v>0</v>
      </c>
      <c r="AC25" s="302">
        <f t="shared" si="3"/>
        <v>33000</v>
      </c>
      <c r="AD25" s="302">
        <f>K25*$D25</f>
        <v>27079.68</v>
      </c>
      <c r="AE25" s="302">
        <f t="shared" si="35"/>
        <v>26231.639999999996</v>
      </c>
      <c r="AF25" s="341">
        <f t="shared" si="36"/>
        <v>13539.84</v>
      </c>
      <c r="AG25" s="341">
        <f t="shared" si="37"/>
        <v>0</v>
      </c>
      <c r="AH25" s="341">
        <f t="shared" si="17"/>
        <v>0</v>
      </c>
      <c r="AI25" s="341">
        <f t="shared" si="18"/>
        <v>0</v>
      </c>
      <c r="AJ25" s="341">
        <f t="shared" si="8"/>
        <v>0</v>
      </c>
      <c r="AK25" s="341">
        <f t="shared" si="9"/>
        <v>0</v>
      </c>
      <c r="AL25" s="341">
        <f t="shared" si="10"/>
        <v>0</v>
      </c>
      <c r="AM25" s="341">
        <f t="shared" si="11"/>
        <v>0</v>
      </c>
      <c r="AN25" s="302">
        <f t="shared" si="12"/>
        <v>0</v>
      </c>
      <c r="AO25" s="302">
        <f t="shared" si="13"/>
        <v>0</v>
      </c>
      <c r="AP25" s="302">
        <f t="shared" si="14"/>
        <v>0</v>
      </c>
      <c r="AQ25" s="302">
        <f t="shared" si="14"/>
        <v>0</v>
      </c>
      <c r="AR25" s="341">
        <f t="shared" si="14"/>
        <v>99851.16</v>
      </c>
      <c r="AS25" s="302">
        <f t="shared" si="117"/>
        <v>0</v>
      </c>
      <c r="AT25" s="341">
        <f t="shared" si="14"/>
        <v>0</v>
      </c>
      <c r="AU25" s="341">
        <f t="shared" si="14"/>
        <v>0</v>
      </c>
      <c r="AV25" s="341">
        <f t="shared" si="14"/>
        <v>0</v>
      </c>
      <c r="AW25" s="341">
        <f t="shared" si="14"/>
        <v>0</v>
      </c>
      <c r="AX25" s="341">
        <f t="shared" si="14"/>
        <v>0</v>
      </c>
      <c r="AY25" s="341">
        <f t="shared" si="14"/>
        <v>0</v>
      </c>
      <c r="AZ25" s="302">
        <f t="shared" si="14"/>
        <v>0</v>
      </c>
      <c r="BA25" s="302">
        <f t="shared" si="14"/>
        <v>0</v>
      </c>
      <c r="BB25" s="302">
        <f t="shared" si="14"/>
        <v>0</v>
      </c>
      <c r="BC25" s="302">
        <f t="shared" si="14"/>
        <v>0</v>
      </c>
      <c r="BD25" s="302">
        <f t="shared" si="14"/>
        <v>0</v>
      </c>
      <c r="BE25" s="302">
        <f t="shared" si="84"/>
        <v>0</v>
      </c>
      <c r="BF25" s="301">
        <f t="shared" si="15"/>
        <v>0</v>
      </c>
    </row>
    <row r="26" spans="1:58" s="297" customFormat="1" x14ac:dyDescent="0.25">
      <c r="A26" s="297" t="s">
        <v>149</v>
      </c>
      <c r="B26" s="369"/>
      <c r="C26" s="314"/>
      <c r="D26" s="368">
        <v>118579.5</v>
      </c>
      <c r="E26" s="247" t="s">
        <v>195</v>
      </c>
      <c r="F26" s="247"/>
      <c r="G26" s="353"/>
      <c r="H26" s="353"/>
      <c r="I26" s="350"/>
      <c r="J26" s="351"/>
      <c r="K26" s="351"/>
      <c r="L26" s="351"/>
      <c r="M26" s="335">
        <v>7.9316239316239323E-2</v>
      </c>
      <c r="N26" s="335">
        <v>0.27120045475686011</v>
      </c>
      <c r="O26" s="335">
        <v>0.26270741371457274</v>
      </c>
      <c r="P26" s="335">
        <v>0.26270741371457274</v>
      </c>
      <c r="Q26" s="335">
        <v>0.12406847849775515</v>
      </c>
      <c r="R26" s="334"/>
      <c r="S26" s="334"/>
      <c r="T26" s="334"/>
      <c r="U26" s="334"/>
      <c r="V26" s="334"/>
      <c r="W26" s="348">
        <f t="shared" si="16"/>
        <v>1</v>
      </c>
      <c r="X26" s="247"/>
      <c r="Y26" s="247"/>
      <c r="Z26" s="302">
        <f t="shared" ref="Z26" si="181">G26*$D26</f>
        <v>0</v>
      </c>
      <c r="AA26" s="302">
        <f t="shared" ref="AA26" si="182">H26*$D26</f>
        <v>0</v>
      </c>
      <c r="AB26" s="302">
        <f t="shared" ref="AB26" si="183">I26*$D26</f>
        <v>0</v>
      </c>
      <c r="AC26" s="302">
        <f t="shared" ref="AC26" si="184">J26*$D26</f>
        <v>0</v>
      </c>
      <c r="AD26" s="302">
        <f t="shared" ref="AD26" si="185">K26*$D26</f>
        <v>0</v>
      </c>
      <c r="AE26" s="302">
        <f t="shared" ref="AE26" si="186">L26*$D26</f>
        <v>0</v>
      </c>
      <c r="AF26" s="341">
        <f t="shared" ref="AF26" si="187">M26*$D26</f>
        <v>9405.2800000000007</v>
      </c>
      <c r="AG26" s="341">
        <f t="shared" ref="AG26" si="188">N26*$D26</f>
        <v>32158.814324841092</v>
      </c>
      <c r="AH26" s="341">
        <f t="shared" ref="AH26" si="189">O26*$D26</f>
        <v>31151.713764567179</v>
      </c>
      <c r="AI26" s="341">
        <f t="shared" ref="AI26" si="190">P26*$D26</f>
        <v>31151.713764567179</v>
      </c>
      <c r="AJ26" s="341">
        <f t="shared" ref="AJ26" si="191">Q26*$D26</f>
        <v>14711.978146024558</v>
      </c>
      <c r="AK26" s="341">
        <f t="shared" ref="AK26" si="192">R26*$D26</f>
        <v>0</v>
      </c>
      <c r="AL26" s="341">
        <f t="shared" ref="AL26" si="193">S26*$D26</f>
        <v>0</v>
      </c>
      <c r="AM26" s="341">
        <f t="shared" ref="AM26" si="194">T26*$D26</f>
        <v>0</v>
      </c>
      <c r="AN26" s="302">
        <f t="shared" ref="AN26" si="195">U26*$D26</f>
        <v>0</v>
      </c>
      <c r="AO26" s="302">
        <f t="shared" si="13"/>
        <v>0</v>
      </c>
      <c r="AP26" s="302">
        <f t="shared" ref="AP26:BE26" si="196">IF(AP$3=$E26,$D26,0)</f>
        <v>0</v>
      </c>
      <c r="AQ26" s="302">
        <f t="shared" si="196"/>
        <v>0</v>
      </c>
      <c r="AR26" s="341">
        <f t="shared" si="196"/>
        <v>0</v>
      </c>
      <c r="AS26" s="302">
        <f t="shared" si="117"/>
        <v>0</v>
      </c>
      <c r="AT26" s="341">
        <f t="shared" si="196"/>
        <v>0</v>
      </c>
      <c r="AU26" s="341">
        <f t="shared" si="196"/>
        <v>0</v>
      </c>
      <c r="AV26" s="341">
        <f t="shared" si="196"/>
        <v>118579.5</v>
      </c>
      <c r="AW26" s="341">
        <f t="shared" si="196"/>
        <v>0</v>
      </c>
      <c r="AX26" s="341">
        <f t="shared" si="196"/>
        <v>0</v>
      </c>
      <c r="AY26" s="341">
        <f t="shared" si="196"/>
        <v>0</v>
      </c>
      <c r="AZ26" s="302">
        <f t="shared" si="196"/>
        <v>0</v>
      </c>
      <c r="BA26" s="302">
        <f t="shared" si="196"/>
        <v>0</v>
      </c>
      <c r="BB26" s="302">
        <f t="shared" si="196"/>
        <v>0</v>
      </c>
      <c r="BC26" s="302">
        <f t="shared" si="196"/>
        <v>0</v>
      </c>
      <c r="BD26" s="302">
        <f t="shared" si="196"/>
        <v>0</v>
      </c>
      <c r="BE26" s="302">
        <f t="shared" si="196"/>
        <v>0</v>
      </c>
      <c r="BF26" s="301">
        <f t="shared" si="15"/>
        <v>0</v>
      </c>
    </row>
    <row r="27" spans="1:58" x14ac:dyDescent="0.25">
      <c r="A27" t="s">
        <v>149</v>
      </c>
      <c r="B27" s="369"/>
      <c r="C27" s="314"/>
      <c r="D27" s="339">
        <v>230000</v>
      </c>
      <c r="E27" s="247" t="s">
        <v>262</v>
      </c>
      <c r="F27" s="247"/>
      <c r="G27" s="353"/>
      <c r="H27" s="353"/>
      <c r="I27" s="353"/>
      <c r="J27" s="335"/>
      <c r="K27" s="335"/>
      <c r="L27" s="335">
        <v>0</v>
      </c>
      <c r="M27" s="335">
        <v>0</v>
      </c>
      <c r="N27" s="335">
        <v>0</v>
      </c>
      <c r="O27" s="335">
        <v>0</v>
      </c>
      <c r="P27" s="335">
        <v>0.25</v>
      </c>
      <c r="Q27" s="335">
        <v>0.25</v>
      </c>
      <c r="R27" s="335">
        <v>0.25</v>
      </c>
      <c r="S27" s="335">
        <v>0.25</v>
      </c>
      <c r="T27" s="334"/>
      <c r="U27" s="334"/>
      <c r="V27" s="334"/>
      <c r="W27" s="348">
        <f t="shared" si="16"/>
        <v>1</v>
      </c>
      <c r="X27" s="247"/>
      <c r="Y27" s="247"/>
      <c r="Z27" s="302">
        <f t="shared" si="0"/>
        <v>0</v>
      </c>
      <c r="AA27" s="302">
        <f t="shared" si="1"/>
        <v>0</v>
      </c>
      <c r="AB27" s="302">
        <f t="shared" si="2"/>
        <v>0</v>
      </c>
      <c r="AC27" s="302">
        <f t="shared" si="3"/>
        <v>0</v>
      </c>
      <c r="AD27" s="302">
        <f t="shared" ref="AD27:AE30" si="197">K27*$D27</f>
        <v>0</v>
      </c>
      <c r="AE27" s="302">
        <f t="shared" si="197"/>
        <v>0</v>
      </c>
      <c r="AF27" s="341">
        <f t="shared" si="36"/>
        <v>0</v>
      </c>
      <c r="AG27" s="341">
        <f t="shared" si="37"/>
        <v>0</v>
      </c>
      <c r="AH27" s="341">
        <f t="shared" si="17"/>
        <v>0</v>
      </c>
      <c r="AI27" s="341">
        <f t="shared" si="18"/>
        <v>57500</v>
      </c>
      <c r="AJ27" s="341">
        <f t="shared" si="8"/>
        <v>57500</v>
      </c>
      <c r="AK27" s="341">
        <f t="shared" si="9"/>
        <v>57500</v>
      </c>
      <c r="AL27" s="341">
        <f t="shared" si="10"/>
        <v>57500</v>
      </c>
      <c r="AM27" s="341">
        <f t="shared" si="11"/>
        <v>0</v>
      </c>
      <c r="AN27" s="302">
        <f t="shared" si="12"/>
        <v>0</v>
      </c>
      <c r="AO27" s="302">
        <f t="shared" si="13"/>
        <v>0</v>
      </c>
      <c r="AP27" s="302">
        <f t="shared" si="14"/>
        <v>0</v>
      </c>
      <c r="AQ27" s="302">
        <f t="shared" si="14"/>
        <v>0</v>
      </c>
      <c r="AR27" s="341">
        <f t="shared" si="14"/>
        <v>0</v>
      </c>
      <c r="AS27" s="302">
        <f t="shared" si="117"/>
        <v>0</v>
      </c>
      <c r="AT27" s="341">
        <f t="shared" si="14"/>
        <v>0</v>
      </c>
      <c r="AU27" s="341">
        <f t="shared" si="14"/>
        <v>0</v>
      </c>
      <c r="AV27" s="341">
        <f t="shared" si="14"/>
        <v>0</v>
      </c>
      <c r="AW27" s="341">
        <f t="shared" si="14"/>
        <v>0</v>
      </c>
      <c r="AX27" s="341">
        <f t="shared" si="14"/>
        <v>0</v>
      </c>
      <c r="AY27" s="341">
        <f t="shared" si="14"/>
        <v>230000</v>
      </c>
      <c r="AZ27" s="302">
        <f t="shared" si="14"/>
        <v>0</v>
      </c>
      <c r="BA27" s="302">
        <f t="shared" si="14"/>
        <v>0</v>
      </c>
      <c r="BB27" s="302">
        <f t="shared" si="14"/>
        <v>0</v>
      </c>
      <c r="BC27" s="302">
        <f t="shared" si="14"/>
        <v>0</v>
      </c>
      <c r="BD27" s="302">
        <f t="shared" si="14"/>
        <v>0</v>
      </c>
      <c r="BE27" s="302">
        <f t="shared" si="84"/>
        <v>0</v>
      </c>
      <c r="BF27" s="301">
        <f t="shared" si="15"/>
        <v>0</v>
      </c>
    </row>
    <row r="28" spans="1:58" s="297" customFormat="1" x14ac:dyDescent="0.25">
      <c r="A28" s="297" t="s">
        <v>149</v>
      </c>
      <c r="B28" s="369"/>
      <c r="C28" s="314"/>
      <c r="D28" s="339">
        <v>7725.48</v>
      </c>
      <c r="E28" s="247" t="s">
        <v>195</v>
      </c>
      <c r="F28" s="247"/>
      <c r="G28" s="353"/>
      <c r="H28" s="353"/>
      <c r="I28" s="353"/>
      <c r="J28" s="335"/>
      <c r="K28" s="335"/>
      <c r="L28" s="335">
        <v>0</v>
      </c>
      <c r="M28" s="335">
        <v>1</v>
      </c>
      <c r="N28" s="335">
        <v>0</v>
      </c>
      <c r="O28" s="335">
        <v>0</v>
      </c>
      <c r="P28" s="335">
        <v>0</v>
      </c>
      <c r="Q28" s="335">
        <v>0</v>
      </c>
      <c r="R28" s="335">
        <v>0</v>
      </c>
      <c r="S28" s="335">
        <v>0</v>
      </c>
      <c r="T28" s="334"/>
      <c r="U28" s="334"/>
      <c r="V28" s="334"/>
      <c r="W28" s="348">
        <f t="shared" ref="W28" si="198">SUM(G28:V28)</f>
        <v>1</v>
      </c>
      <c r="X28" s="247"/>
      <c r="Y28" s="247"/>
      <c r="Z28" s="302">
        <f t="shared" ref="Z28" si="199">G28*$D28</f>
        <v>0</v>
      </c>
      <c r="AA28" s="302">
        <f t="shared" ref="AA28" si="200">H28*$D28</f>
        <v>0</v>
      </c>
      <c r="AB28" s="302">
        <f t="shared" ref="AB28" si="201">I28*$D28</f>
        <v>0</v>
      </c>
      <c r="AC28" s="302">
        <f t="shared" ref="AC28" si="202">J28*$D28</f>
        <v>0</v>
      </c>
      <c r="AD28" s="302">
        <f t="shared" si="197"/>
        <v>0</v>
      </c>
      <c r="AE28" s="302">
        <f t="shared" si="197"/>
        <v>0</v>
      </c>
      <c r="AF28" s="341">
        <f t="shared" ref="AF28" si="203">M28*$D28</f>
        <v>7725.48</v>
      </c>
      <c r="AG28" s="341">
        <f t="shared" ref="AG28" si="204">N28*$D28</f>
        <v>0</v>
      </c>
      <c r="AH28" s="341">
        <f t="shared" ref="AH28" si="205">O28*$D28</f>
        <v>0</v>
      </c>
      <c r="AI28" s="341">
        <f t="shared" ref="AI28" si="206">P28*$D28</f>
        <v>0</v>
      </c>
      <c r="AJ28" s="341">
        <f t="shared" ref="AJ28" si="207">Q28*$D28</f>
        <v>0</v>
      </c>
      <c r="AK28" s="341">
        <f t="shared" ref="AK28" si="208">R28*$D28</f>
        <v>0</v>
      </c>
      <c r="AL28" s="341">
        <f t="shared" ref="AL28" si="209">S28*$D28</f>
        <v>0</v>
      </c>
      <c r="AM28" s="341">
        <f t="shared" ref="AM28" si="210">T28*$D28</f>
        <v>0</v>
      </c>
      <c r="AN28" s="302">
        <f t="shared" ref="AN28" si="211">U28*$D28</f>
        <v>0</v>
      </c>
      <c r="AO28" s="302">
        <f t="shared" si="13"/>
        <v>0</v>
      </c>
      <c r="AP28" s="302">
        <f t="shared" ref="AP28:BD30" si="212">IF(AP$3=$E28,$D28,0)</f>
        <v>0</v>
      </c>
      <c r="AQ28" s="302">
        <f t="shared" si="212"/>
        <v>0</v>
      </c>
      <c r="AR28" s="341">
        <f t="shared" si="212"/>
        <v>0</v>
      </c>
      <c r="AS28" s="302">
        <f t="shared" si="117"/>
        <v>0</v>
      </c>
      <c r="AT28" s="341">
        <f t="shared" si="212"/>
        <v>0</v>
      </c>
      <c r="AU28" s="341">
        <f t="shared" si="212"/>
        <v>0</v>
      </c>
      <c r="AV28" s="341">
        <f t="shared" si="212"/>
        <v>7725.48</v>
      </c>
      <c r="AW28" s="341">
        <f t="shared" si="212"/>
        <v>0</v>
      </c>
      <c r="AX28" s="341">
        <f t="shared" si="212"/>
        <v>0</v>
      </c>
      <c r="AY28" s="341">
        <f t="shared" si="212"/>
        <v>0</v>
      </c>
      <c r="AZ28" s="302">
        <f t="shared" si="212"/>
        <v>0</v>
      </c>
      <c r="BA28" s="302">
        <f t="shared" si="212"/>
        <v>0</v>
      </c>
      <c r="BB28" s="302">
        <f t="shared" si="212"/>
        <v>0</v>
      </c>
      <c r="BC28" s="302">
        <f t="shared" si="212"/>
        <v>0</v>
      </c>
      <c r="BD28" s="302">
        <f t="shared" si="212"/>
        <v>0</v>
      </c>
      <c r="BE28" s="302">
        <f t="shared" si="84"/>
        <v>0</v>
      </c>
      <c r="BF28" s="301">
        <f t="shared" si="15"/>
        <v>0</v>
      </c>
    </row>
    <row r="29" spans="1:58" s="297" customFormat="1" x14ac:dyDescent="0.25">
      <c r="A29" s="297" t="s">
        <v>149</v>
      </c>
      <c r="B29" s="369"/>
      <c r="C29" s="314"/>
      <c r="D29" s="339">
        <v>1241.07</v>
      </c>
      <c r="E29" s="247" t="s">
        <v>235</v>
      </c>
      <c r="F29" s="247"/>
      <c r="G29" s="353"/>
      <c r="H29" s="353"/>
      <c r="I29" s="353"/>
      <c r="J29" s="335"/>
      <c r="K29" s="335"/>
      <c r="L29" s="335">
        <v>0</v>
      </c>
      <c r="M29" s="335">
        <v>0</v>
      </c>
      <c r="N29" s="335">
        <v>1</v>
      </c>
      <c r="O29" s="335">
        <v>0</v>
      </c>
      <c r="P29" s="335">
        <v>0</v>
      </c>
      <c r="Q29" s="335">
        <v>0</v>
      </c>
      <c r="R29" s="335">
        <v>0</v>
      </c>
      <c r="S29" s="335">
        <v>0</v>
      </c>
      <c r="T29" s="334"/>
      <c r="U29" s="334"/>
      <c r="V29" s="334"/>
      <c r="W29" s="348">
        <f t="shared" ref="W29" si="213">SUM(G29:V29)</f>
        <v>1</v>
      </c>
      <c r="X29" s="247"/>
      <c r="Y29" s="247"/>
      <c r="Z29" s="302">
        <f t="shared" ref="Z29" si="214">G29*$D29</f>
        <v>0</v>
      </c>
      <c r="AA29" s="302">
        <f t="shared" ref="AA29" si="215">H29*$D29</f>
        <v>0</v>
      </c>
      <c r="AB29" s="302">
        <f t="shared" ref="AB29" si="216">I29*$D29</f>
        <v>0</v>
      </c>
      <c r="AC29" s="302">
        <f t="shared" ref="AC29" si="217">J29*$D29</f>
        <v>0</v>
      </c>
      <c r="AD29" s="302">
        <f t="shared" si="197"/>
        <v>0</v>
      </c>
      <c r="AE29" s="302">
        <f t="shared" si="197"/>
        <v>0</v>
      </c>
      <c r="AF29" s="341">
        <f t="shared" ref="AF29" si="218">M29*$D29</f>
        <v>0</v>
      </c>
      <c r="AG29" s="341">
        <f t="shared" ref="AG29" si="219">N29*$D29</f>
        <v>1241.07</v>
      </c>
      <c r="AH29" s="341">
        <f t="shared" ref="AH29" si="220">O29*$D29</f>
        <v>0</v>
      </c>
      <c r="AI29" s="341">
        <f t="shared" ref="AI29" si="221">P29*$D29</f>
        <v>0</v>
      </c>
      <c r="AJ29" s="341">
        <f t="shared" ref="AJ29" si="222">Q29*$D29</f>
        <v>0</v>
      </c>
      <c r="AK29" s="341">
        <f t="shared" ref="AK29" si="223">R29*$D29</f>
        <v>0</v>
      </c>
      <c r="AL29" s="341">
        <f t="shared" ref="AL29" si="224">S29*$D29</f>
        <v>0</v>
      </c>
      <c r="AM29" s="341">
        <f t="shared" ref="AM29" si="225">T29*$D29</f>
        <v>0</v>
      </c>
      <c r="AN29" s="302">
        <f t="shared" ref="AN29" si="226">U29*$D29</f>
        <v>0</v>
      </c>
      <c r="AO29" s="302">
        <f t="shared" si="13"/>
        <v>0</v>
      </c>
      <c r="AP29" s="302">
        <f t="shared" si="212"/>
        <v>0</v>
      </c>
      <c r="AQ29" s="302">
        <f t="shared" si="212"/>
        <v>0</v>
      </c>
      <c r="AR29" s="341">
        <f t="shared" si="212"/>
        <v>0</v>
      </c>
      <c r="AS29" s="302">
        <f t="shared" si="117"/>
        <v>0</v>
      </c>
      <c r="AT29" s="341">
        <f t="shared" si="212"/>
        <v>0</v>
      </c>
      <c r="AU29" s="341">
        <f t="shared" si="212"/>
        <v>0</v>
      </c>
      <c r="AV29" s="341">
        <f t="shared" si="212"/>
        <v>0</v>
      </c>
      <c r="AW29" s="341">
        <f t="shared" si="212"/>
        <v>1241.07</v>
      </c>
      <c r="AX29" s="341">
        <f t="shared" si="212"/>
        <v>0</v>
      </c>
      <c r="AY29" s="341">
        <f t="shared" si="212"/>
        <v>0</v>
      </c>
      <c r="AZ29" s="302">
        <f t="shared" si="212"/>
        <v>0</v>
      </c>
      <c r="BA29" s="302">
        <f t="shared" si="212"/>
        <v>0</v>
      </c>
      <c r="BB29" s="302">
        <f t="shared" si="212"/>
        <v>0</v>
      </c>
      <c r="BC29" s="302">
        <f t="shared" si="212"/>
        <v>0</v>
      </c>
      <c r="BD29" s="302">
        <f t="shared" si="212"/>
        <v>0</v>
      </c>
      <c r="BE29" s="302">
        <f t="shared" si="84"/>
        <v>0</v>
      </c>
      <c r="BF29" s="301">
        <f t="shared" si="15"/>
        <v>0</v>
      </c>
    </row>
    <row r="30" spans="1:58" s="297" customFormat="1" x14ac:dyDescent="0.25">
      <c r="A30" s="297" t="s">
        <v>149</v>
      </c>
      <c r="B30" s="369"/>
      <c r="C30" s="314"/>
      <c r="D30" s="339">
        <v>2000</v>
      </c>
      <c r="E30" s="247" t="s">
        <v>263</v>
      </c>
      <c r="F30" s="247"/>
      <c r="G30" s="353"/>
      <c r="H30" s="353"/>
      <c r="I30" s="353"/>
      <c r="J30" s="335"/>
      <c r="K30" s="335"/>
      <c r="L30" s="335">
        <v>0</v>
      </c>
      <c r="M30" s="335">
        <v>0</v>
      </c>
      <c r="N30" s="335">
        <v>0</v>
      </c>
      <c r="O30" s="335">
        <v>1</v>
      </c>
      <c r="P30" s="335">
        <v>0</v>
      </c>
      <c r="Q30" s="335">
        <v>0</v>
      </c>
      <c r="R30" s="335">
        <v>0</v>
      </c>
      <c r="S30" s="335">
        <v>0</v>
      </c>
      <c r="T30" s="334"/>
      <c r="U30" s="334"/>
      <c r="V30" s="334"/>
      <c r="W30" s="348">
        <f t="shared" ref="W30" si="227">SUM(G30:V30)</f>
        <v>1</v>
      </c>
      <c r="X30" s="247"/>
      <c r="Y30" s="247"/>
      <c r="Z30" s="302">
        <f t="shared" ref="Z30" si="228">G30*$D30</f>
        <v>0</v>
      </c>
      <c r="AA30" s="302">
        <f t="shared" ref="AA30" si="229">H30*$D30</f>
        <v>0</v>
      </c>
      <c r="AB30" s="302">
        <f t="shared" ref="AB30" si="230">I30*$D30</f>
        <v>0</v>
      </c>
      <c r="AC30" s="302">
        <f t="shared" ref="AC30" si="231">J30*$D30</f>
        <v>0</v>
      </c>
      <c r="AD30" s="302">
        <f t="shared" si="197"/>
        <v>0</v>
      </c>
      <c r="AE30" s="302">
        <f t="shared" si="197"/>
        <v>0</v>
      </c>
      <c r="AF30" s="341">
        <f t="shared" ref="AF30" si="232">M30*$D30</f>
        <v>0</v>
      </c>
      <c r="AG30" s="341">
        <f t="shared" ref="AG30" si="233">N30*$D30</f>
        <v>0</v>
      </c>
      <c r="AH30" s="341">
        <f t="shared" ref="AH30" si="234">O30*$D30</f>
        <v>2000</v>
      </c>
      <c r="AI30" s="341">
        <f t="shared" ref="AI30" si="235">P30*$D30</f>
        <v>0</v>
      </c>
      <c r="AJ30" s="341">
        <f t="shared" ref="AJ30" si="236">Q30*$D30</f>
        <v>0</v>
      </c>
      <c r="AK30" s="341">
        <f t="shared" ref="AK30" si="237">R30*$D30</f>
        <v>0</v>
      </c>
      <c r="AL30" s="341">
        <f t="shared" ref="AL30" si="238">S30*$D30</f>
        <v>0</v>
      </c>
      <c r="AM30" s="341">
        <f t="shared" ref="AM30" si="239">T30*$D30</f>
        <v>0</v>
      </c>
      <c r="AN30" s="302">
        <f t="shared" ref="AN30" si="240">U30*$D30</f>
        <v>0</v>
      </c>
      <c r="AO30" s="302">
        <f t="shared" si="13"/>
        <v>0</v>
      </c>
      <c r="AP30" s="302">
        <f t="shared" si="212"/>
        <v>0</v>
      </c>
      <c r="AQ30" s="302">
        <f t="shared" si="212"/>
        <v>0</v>
      </c>
      <c r="AR30" s="341">
        <f t="shared" si="212"/>
        <v>0</v>
      </c>
      <c r="AS30" s="302">
        <f t="shared" si="117"/>
        <v>0</v>
      </c>
      <c r="AT30" s="341">
        <f t="shared" si="212"/>
        <v>0</v>
      </c>
      <c r="AU30" s="341">
        <f t="shared" si="212"/>
        <v>0</v>
      </c>
      <c r="AV30" s="341">
        <f t="shared" si="212"/>
        <v>0</v>
      </c>
      <c r="AW30" s="341">
        <f t="shared" si="212"/>
        <v>0</v>
      </c>
      <c r="AX30" s="341">
        <f t="shared" si="212"/>
        <v>2000</v>
      </c>
      <c r="AY30" s="341">
        <f t="shared" si="212"/>
        <v>0</v>
      </c>
      <c r="AZ30" s="302">
        <f t="shared" si="212"/>
        <v>0</v>
      </c>
      <c r="BA30" s="302">
        <f t="shared" si="212"/>
        <v>0</v>
      </c>
      <c r="BB30" s="302">
        <f t="shared" si="212"/>
        <v>0</v>
      </c>
      <c r="BC30" s="302">
        <f t="shared" si="212"/>
        <v>0</v>
      </c>
      <c r="BD30" s="302">
        <f t="shared" si="212"/>
        <v>0</v>
      </c>
      <c r="BE30" s="302">
        <f t="shared" si="84"/>
        <v>0</v>
      </c>
      <c r="BF30" s="301">
        <f t="shared" si="15"/>
        <v>0</v>
      </c>
    </row>
    <row r="31" spans="1:58" s="297" customFormat="1" x14ac:dyDescent="0.25">
      <c r="A31" s="297" t="s">
        <v>149</v>
      </c>
      <c r="B31" s="369"/>
      <c r="C31" s="314"/>
      <c r="D31" s="339">
        <v>1500</v>
      </c>
      <c r="E31" s="247" t="s">
        <v>213</v>
      </c>
      <c r="F31" s="247"/>
      <c r="G31" s="353"/>
      <c r="H31" s="353"/>
      <c r="I31" s="353"/>
      <c r="J31" s="335">
        <v>1</v>
      </c>
      <c r="K31" s="335"/>
      <c r="L31" s="335">
        <v>0</v>
      </c>
      <c r="M31" s="335"/>
      <c r="N31" s="335"/>
      <c r="O31" s="335"/>
      <c r="P31" s="335"/>
      <c r="Q31" s="335"/>
      <c r="R31" s="335"/>
      <c r="S31" s="334"/>
      <c r="T31" s="334"/>
      <c r="U31" s="334"/>
      <c r="V31" s="334"/>
      <c r="W31" s="348">
        <f t="shared" si="16"/>
        <v>1</v>
      </c>
      <c r="X31" s="247"/>
      <c r="Y31" s="247"/>
      <c r="Z31" s="302">
        <f t="shared" ref="Z31" si="241">G31*$D31</f>
        <v>0</v>
      </c>
      <c r="AA31" s="302">
        <f t="shared" ref="AA31" si="242">H31*$D31</f>
        <v>0</v>
      </c>
      <c r="AB31" s="302">
        <f t="shared" ref="AB31" si="243">I31*$D31</f>
        <v>0</v>
      </c>
      <c r="AC31" s="302">
        <f t="shared" ref="AC31" si="244">J31*$D31</f>
        <v>1500</v>
      </c>
      <c r="AD31" s="302">
        <f t="shared" ref="AD31" si="245">K31*$D31</f>
        <v>0</v>
      </c>
      <c r="AE31" s="302">
        <f t="shared" ref="AE31" si="246">L31*$D31</f>
        <v>0</v>
      </c>
      <c r="AF31" s="341">
        <f t="shared" ref="AF31" si="247">M31*$D31</f>
        <v>0</v>
      </c>
      <c r="AG31" s="341">
        <f t="shared" ref="AG31" si="248">N31*$D31</f>
        <v>0</v>
      </c>
      <c r="AH31" s="341">
        <f t="shared" ref="AH31" si="249">O31*$D31</f>
        <v>0</v>
      </c>
      <c r="AI31" s="341">
        <f t="shared" ref="AI31" si="250">P31*$D31</f>
        <v>0</v>
      </c>
      <c r="AJ31" s="341">
        <f t="shared" ref="AJ31" si="251">Q31*$D31</f>
        <v>0</v>
      </c>
      <c r="AK31" s="341">
        <f t="shared" ref="AK31" si="252">R31*$D31</f>
        <v>0</v>
      </c>
      <c r="AL31" s="341">
        <f t="shared" ref="AL31" si="253">S31*$D31</f>
        <v>0</v>
      </c>
      <c r="AM31" s="341">
        <f t="shared" ref="AM31" si="254">T31*$D31</f>
        <v>0</v>
      </c>
      <c r="AN31" s="302">
        <f t="shared" ref="AN31" si="255">U31*$D31</f>
        <v>0</v>
      </c>
      <c r="AO31" s="302">
        <f t="shared" si="13"/>
        <v>0</v>
      </c>
      <c r="AP31" s="302">
        <f t="shared" si="14"/>
        <v>0</v>
      </c>
      <c r="AQ31" s="302">
        <f t="shared" si="14"/>
        <v>0</v>
      </c>
      <c r="AR31" s="341">
        <f t="shared" si="14"/>
        <v>0</v>
      </c>
      <c r="AS31" s="341">
        <f t="shared" si="14"/>
        <v>1500</v>
      </c>
      <c r="AT31" s="341">
        <f t="shared" si="14"/>
        <v>0</v>
      </c>
      <c r="AU31" s="341">
        <f t="shared" si="14"/>
        <v>0</v>
      </c>
      <c r="AV31" s="341">
        <f t="shared" si="14"/>
        <v>0</v>
      </c>
      <c r="AW31" s="341">
        <f t="shared" si="14"/>
        <v>0</v>
      </c>
      <c r="AX31" s="341">
        <f t="shared" si="14"/>
        <v>0</v>
      </c>
      <c r="AY31" s="341">
        <f t="shared" si="14"/>
        <v>0</v>
      </c>
      <c r="AZ31" s="302">
        <f t="shared" si="14"/>
        <v>0</v>
      </c>
      <c r="BA31" s="302">
        <f t="shared" si="14"/>
        <v>0</v>
      </c>
      <c r="BB31" s="302">
        <f t="shared" si="14"/>
        <v>0</v>
      </c>
      <c r="BC31" s="302">
        <f t="shared" si="14"/>
        <v>0</v>
      </c>
      <c r="BD31" s="302">
        <f t="shared" si="14"/>
        <v>0</v>
      </c>
      <c r="BE31" s="302">
        <f t="shared" si="84"/>
        <v>0</v>
      </c>
      <c r="BF31" s="301">
        <f t="shared" si="15"/>
        <v>0</v>
      </c>
    </row>
    <row r="32" spans="1:58" x14ac:dyDescent="0.25">
      <c r="A32" s="297" t="s">
        <v>150</v>
      </c>
      <c r="B32" s="310"/>
      <c r="C32" s="314"/>
      <c r="D32" s="380">
        <v>200000</v>
      </c>
      <c r="E32" s="247" t="s">
        <v>213</v>
      </c>
      <c r="F32" s="247"/>
      <c r="G32" s="353"/>
      <c r="H32" s="353"/>
      <c r="I32" s="353"/>
      <c r="J32" s="335"/>
      <c r="K32" s="335">
        <v>0</v>
      </c>
      <c r="L32" s="335">
        <v>0.20979244999999999</v>
      </c>
      <c r="M32" s="365">
        <v>2.7375E-2</v>
      </c>
      <c r="N32" s="336">
        <f>1.94978%+0.036</f>
        <v>5.54978E-2</v>
      </c>
      <c r="O32" s="344">
        <v>0</v>
      </c>
      <c r="P32" s="344">
        <v>0.25</v>
      </c>
      <c r="Q32" s="344"/>
      <c r="R32" s="344"/>
      <c r="S32" s="344">
        <v>0.2</v>
      </c>
      <c r="T32" s="344">
        <f>1-S32-P32-O32-M32-L32-N32</f>
        <v>0.25733475</v>
      </c>
      <c r="U32" s="334"/>
      <c r="V32" s="334"/>
      <c r="W32" s="370">
        <f t="shared" si="16"/>
        <v>1</v>
      </c>
      <c r="X32" s="247"/>
      <c r="Y32" s="247"/>
      <c r="Z32" s="302">
        <f t="shared" si="0"/>
        <v>0</v>
      </c>
      <c r="AA32" s="302">
        <f t="shared" si="1"/>
        <v>0</v>
      </c>
      <c r="AB32" s="341">
        <f t="shared" si="2"/>
        <v>0</v>
      </c>
      <c r="AC32" s="341">
        <f t="shared" si="3"/>
        <v>0</v>
      </c>
      <c r="AD32" s="341">
        <f>K32*$D32</f>
        <v>0</v>
      </c>
      <c r="AE32" s="341">
        <f t="shared" si="35"/>
        <v>41958.49</v>
      </c>
      <c r="AF32" s="341">
        <f t="shared" si="36"/>
        <v>5475</v>
      </c>
      <c r="AG32" s="341">
        <f t="shared" si="37"/>
        <v>11099.56</v>
      </c>
      <c r="AH32" s="302">
        <f t="shared" si="17"/>
        <v>0</v>
      </c>
      <c r="AI32" s="302">
        <f t="shared" si="18"/>
        <v>50000</v>
      </c>
      <c r="AJ32" s="302">
        <f t="shared" si="8"/>
        <v>0</v>
      </c>
      <c r="AK32" s="302">
        <f t="shared" si="9"/>
        <v>0</v>
      </c>
      <c r="AL32" s="302">
        <f t="shared" si="10"/>
        <v>40000</v>
      </c>
      <c r="AM32" s="302">
        <f t="shared" si="11"/>
        <v>51466.95</v>
      </c>
      <c r="AN32" s="302">
        <f t="shared" si="12"/>
        <v>0</v>
      </c>
      <c r="AO32" s="302">
        <f t="shared" si="13"/>
        <v>0</v>
      </c>
      <c r="AP32" s="302">
        <f t="shared" ref="AP32:BE48" si="256">IF(AP$3=$E32,$D32,0)</f>
        <v>0</v>
      </c>
      <c r="AQ32" s="302">
        <f t="shared" si="256"/>
        <v>0</v>
      </c>
      <c r="AR32" s="302">
        <f t="shared" si="256"/>
        <v>0</v>
      </c>
      <c r="AS32" s="302">
        <f t="shared" si="256"/>
        <v>200000</v>
      </c>
      <c r="AT32" s="302">
        <f t="shared" si="256"/>
        <v>0</v>
      </c>
      <c r="AU32" s="302">
        <f t="shared" si="256"/>
        <v>0</v>
      </c>
      <c r="AV32" s="302">
        <f t="shared" si="256"/>
        <v>0</v>
      </c>
      <c r="AW32" s="302">
        <f t="shared" si="256"/>
        <v>0</v>
      </c>
      <c r="AX32" s="302">
        <f t="shared" si="256"/>
        <v>0</v>
      </c>
      <c r="AY32" s="302">
        <f t="shared" si="256"/>
        <v>0</v>
      </c>
      <c r="AZ32" s="302">
        <f t="shared" si="256"/>
        <v>0</v>
      </c>
      <c r="BA32" s="302">
        <f t="shared" si="256"/>
        <v>0</v>
      </c>
      <c r="BB32" s="302">
        <f t="shared" si="256"/>
        <v>0</v>
      </c>
      <c r="BC32" s="302">
        <f t="shared" si="256"/>
        <v>0</v>
      </c>
      <c r="BD32" s="302">
        <f t="shared" si="256"/>
        <v>0</v>
      </c>
      <c r="BE32" s="302">
        <f t="shared" si="256"/>
        <v>0</v>
      </c>
      <c r="BF32" s="301">
        <f t="shared" si="15"/>
        <v>0</v>
      </c>
    </row>
    <row r="33" spans="1:58" x14ac:dyDescent="0.25">
      <c r="A33" t="s">
        <v>150</v>
      </c>
      <c r="B33" s="310"/>
      <c r="C33" s="314"/>
      <c r="D33" s="380">
        <v>51406.27</v>
      </c>
      <c r="E33" s="247" t="s">
        <v>210</v>
      </c>
      <c r="F33" s="247"/>
      <c r="G33" s="352"/>
      <c r="H33" s="352"/>
      <c r="I33" s="352"/>
      <c r="J33" s="334"/>
      <c r="K33" s="335">
        <v>0.37500194529821401</v>
      </c>
      <c r="L33" s="335">
        <v>0.50000233435785701</v>
      </c>
      <c r="M33" s="351">
        <v>0.1249999270517</v>
      </c>
      <c r="N33" s="335"/>
      <c r="O33" s="335"/>
      <c r="P33" s="334"/>
      <c r="Q33" s="334"/>
      <c r="R33" s="334"/>
      <c r="S33" s="334"/>
      <c r="T33" s="334"/>
      <c r="U33" s="334"/>
      <c r="V33" s="334"/>
      <c r="W33" s="348">
        <f t="shared" si="16"/>
        <v>1.000004206707771</v>
      </c>
      <c r="X33" s="247"/>
      <c r="Y33" s="247"/>
      <c r="Z33" s="302">
        <f t="shared" si="0"/>
        <v>0</v>
      </c>
      <c r="AA33" s="302">
        <f t="shared" si="1"/>
        <v>0</v>
      </c>
      <c r="AB33" s="341">
        <f t="shared" si="2"/>
        <v>0</v>
      </c>
      <c r="AC33" s="341">
        <f t="shared" si="3"/>
        <v>0</v>
      </c>
      <c r="AD33" s="341">
        <f>K33*$D33</f>
        <v>19277.451250525221</v>
      </c>
      <c r="AE33" s="341">
        <f t="shared" si="35"/>
        <v>25703.255000630274</v>
      </c>
      <c r="AF33" s="341">
        <f t="shared" si="36"/>
        <v>6425.7799999999943</v>
      </c>
      <c r="AG33" s="341">
        <f t="shared" si="37"/>
        <v>0</v>
      </c>
      <c r="AH33" s="302">
        <f t="shared" si="17"/>
        <v>0</v>
      </c>
      <c r="AI33" s="302">
        <f t="shared" si="18"/>
        <v>0</v>
      </c>
      <c r="AJ33" s="302">
        <f t="shared" si="8"/>
        <v>0</v>
      </c>
      <c r="AK33" s="302">
        <f t="shared" si="9"/>
        <v>0</v>
      </c>
      <c r="AL33" s="302">
        <f t="shared" si="10"/>
        <v>0</v>
      </c>
      <c r="AM33" s="302">
        <f t="shared" si="11"/>
        <v>0</v>
      </c>
      <c r="AN33" s="302">
        <f t="shared" si="12"/>
        <v>0</v>
      </c>
      <c r="AO33" s="302">
        <f t="shared" si="13"/>
        <v>0</v>
      </c>
      <c r="AP33" s="302">
        <f t="shared" si="256"/>
        <v>0</v>
      </c>
      <c r="AQ33" s="302">
        <f t="shared" si="256"/>
        <v>0</v>
      </c>
      <c r="AR33" s="302">
        <f t="shared" si="256"/>
        <v>0</v>
      </c>
      <c r="AS33" s="302">
        <f t="shared" si="256"/>
        <v>0</v>
      </c>
      <c r="AT33" s="302">
        <f t="shared" si="256"/>
        <v>51406.27</v>
      </c>
      <c r="AU33" s="302">
        <f t="shared" si="256"/>
        <v>0</v>
      </c>
      <c r="AV33" s="302">
        <f t="shared" si="256"/>
        <v>0</v>
      </c>
      <c r="AW33" s="302">
        <f t="shared" si="256"/>
        <v>0</v>
      </c>
      <c r="AX33" s="302">
        <f t="shared" si="256"/>
        <v>0</v>
      </c>
      <c r="AY33" s="302">
        <f t="shared" si="256"/>
        <v>0</v>
      </c>
      <c r="AZ33" s="302">
        <f t="shared" si="256"/>
        <v>0</v>
      </c>
      <c r="BA33" s="302">
        <f t="shared" si="256"/>
        <v>0</v>
      </c>
      <c r="BB33" s="302">
        <f t="shared" si="256"/>
        <v>0</v>
      </c>
      <c r="BC33" s="302">
        <f t="shared" si="256"/>
        <v>0</v>
      </c>
      <c r="BD33" s="302">
        <f t="shared" si="256"/>
        <v>0</v>
      </c>
      <c r="BE33" s="302">
        <f t="shared" si="256"/>
        <v>0</v>
      </c>
      <c r="BF33" s="301">
        <f t="shared" si="15"/>
        <v>0.2162511554925004</v>
      </c>
    </row>
    <row r="34" spans="1:58" s="297" customFormat="1" x14ac:dyDescent="0.25">
      <c r="A34" s="297" t="s">
        <v>150</v>
      </c>
      <c r="B34" s="310"/>
      <c r="C34" s="314"/>
      <c r="D34" s="380">
        <v>6425.8</v>
      </c>
      <c r="E34" s="247" t="s">
        <v>195</v>
      </c>
      <c r="F34" s="247"/>
      <c r="G34" s="352"/>
      <c r="H34" s="352"/>
      <c r="I34" s="352"/>
      <c r="J34" s="334"/>
      <c r="K34" s="335">
        <v>0</v>
      </c>
      <c r="L34" s="335">
        <v>0</v>
      </c>
      <c r="M34" s="335">
        <v>0</v>
      </c>
      <c r="N34" s="335">
        <v>1</v>
      </c>
      <c r="O34" s="335"/>
      <c r="P34" s="334"/>
      <c r="Q34" s="334"/>
      <c r="R34" s="334"/>
      <c r="S34" s="334"/>
      <c r="T34" s="334"/>
      <c r="U34" s="334"/>
      <c r="V34" s="334"/>
      <c r="W34" s="348">
        <f t="shared" si="16"/>
        <v>1</v>
      </c>
      <c r="X34" s="247"/>
      <c r="Y34" s="247"/>
      <c r="Z34" s="302">
        <f t="shared" ref="Z34" si="257">G34*$D34</f>
        <v>0</v>
      </c>
      <c r="AA34" s="302">
        <f t="shared" ref="AA34" si="258">H34*$D34</f>
        <v>0</v>
      </c>
      <c r="AB34" s="341">
        <f t="shared" ref="AB34" si="259">I34*$D34</f>
        <v>0</v>
      </c>
      <c r="AC34" s="341">
        <f t="shared" ref="AC34" si="260">J34*$D34</f>
        <v>0</v>
      </c>
      <c r="AD34" s="341">
        <f t="shared" ref="AD34" si="261">K34*$D34</f>
        <v>0</v>
      </c>
      <c r="AE34" s="341">
        <f t="shared" ref="AE34" si="262">L34*$D34</f>
        <v>0</v>
      </c>
      <c r="AF34" s="341">
        <f t="shared" ref="AF34" si="263">M34*$D34</f>
        <v>0</v>
      </c>
      <c r="AG34" s="341">
        <f t="shared" ref="AG34" si="264">N34*$D34</f>
        <v>6425.8</v>
      </c>
      <c r="AH34" s="302">
        <f t="shared" ref="AH34" si="265">O34*$D34</f>
        <v>0</v>
      </c>
      <c r="AI34" s="302">
        <f t="shared" ref="AI34" si="266">P34*$D34</f>
        <v>0</v>
      </c>
      <c r="AJ34" s="302">
        <f t="shared" ref="AJ34" si="267">Q34*$D34</f>
        <v>0</v>
      </c>
      <c r="AK34" s="302">
        <f t="shared" ref="AK34" si="268">R34*$D34</f>
        <v>0</v>
      </c>
      <c r="AL34" s="302">
        <f t="shared" ref="AL34" si="269">S34*$D34</f>
        <v>0</v>
      </c>
      <c r="AM34" s="302">
        <f t="shared" ref="AM34" si="270">T34*$D34</f>
        <v>0</v>
      </c>
      <c r="AN34" s="302">
        <f t="shared" ref="AN34" si="271">U34*$D34</f>
        <v>0</v>
      </c>
      <c r="AO34" s="302">
        <f t="shared" si="13"/>
        <v>0</v>
      </c>
      <c r="AP34" s="302">
        <f t="shared" si="256"/>
        <v>0</v>
      </c>
      <c r="AQ34" s="302">
        <f t="shared" si="256"/>
        <v>0</v>
      </c>
      <c r="AR34" s="302">
        <f t="shared" si="256"/>
        <v>0</v>
      </c>
      <c r="AS34" s="302">
        <f t="shared" si="256"/>
        <v>0</v>
      </c>
      <c r="AT34" s="302">
        <f t="shared" si="256"/>
        <v>0</v>
      </c>
      <c r="AU34" s="302">
        <f t="shared" si="256"/>
        <v>0</v>
      </c>
      <c r="AV34" s="302">
        <f t="shared" si="256"/>
        <v>6425.8</v>
      </c>
      <c r="AW34" s="302">
        <f t="shared" si="256"/>
        <v>0</v>
      </c>
      <c r="AX34" s="302">
        <f t="shared" si="256"/>
        <v>0</v>
      </c>
      <c r="AY34" s="302">
        <f t="shared" si="256"/>
        <v>0</v>
      </c>
      <c r="AZ34" s="302">
        <f t="shared" si="256"/>
        <v>0</v>
      </c>
      <c r="BA34" s="302">
        <f t="shared" si="256"/>
        <v>0</v>
      </c>
      <c r="BB34" s="302">
        <f t="shared" si="256"/>
        <v>0</v>
      </c>
      <c r="BC34" s="302">
        <f t="shared" si="256"/>
        <v>0</v>
      </c>
      <c r="BD34" s="302">
        <f t="shared" si="256"/>
        <v>0</v>
      </c>
      <c r="BE34" s="302">
        <f t="shared" si="256"/>
        <v>0</v>
      </c>
      <c r="BF34" s="301">
        <f t="shared" si="15"/>
        <v>0</v>
      </c>
    </row>
    <row r="35" spans="1:58" x14ac:dyDescent="0.25">
      <c r="A35" t="s">
        <v>150</v>
      </c>
      <c r="B35" s="310"/>
      <c r="C35" s="314"/>
      <c r="D35" s="380">
        <v>121200</v>
      </c>
      <c r="E35" s="247" t="s">
        <v>181</v>
      </c>
      <c r="F35" s="247"/>
      <c r="G35" s="353"/>
      <c r="H35" s="353"/>
      <c r="I35" s="353"/>
      <c r="J35" s="335">
        <v>0.33333332999999998</v>
      </c>
      <c r="K35" s="335">
        <v>0.16666665999999999</v>
      </c>
      <c r="L35" s="335">
        <v>0.33333332999999998</v>
      </c>
      <c r="M35" s="335">
        <v>0.16666668000000007</v>
      </c>
      <c r="N35" s="335"/>
      <c r="O35" s="335"/>
      <c r="P35" s="335"/>
      <c r="Q35" s="335"/>
      <c r="R35" s="335"/>
      <c r="S35" s="334"/>
      <c r="T35" s="334"/>
      <c r="U35" s="334"/>
      <c r="V35" s="334"/>
      <c r="W35" s="348">
        <f t="shared" si="16"/>
        <v>1</v>
      </c>
      <c r="X35" s="247"/>
      <c r="Y35" s="247"/>
      <c r="Z35" s="251">
        <f t="shared" si="0"/>
        <v>0</v>
      </c>
      <c r="AA35" s="302">
        <f t="shared" si="1"/>
        <v>0</v>
      </c>
      <c r="AB35" s="341">
        <f t="shared" si="2"/>
        <v>0</v>
      </c>
      <c r="AC35" s="341">
        <f t="shared" si="3"/>
        <v>40399.999596000001</v>
      </c>
      <c r="AD35" s="341">
        <f t="shared" ref="AD35:AD43" si="272">K35*$D35</f>
        <v>20199.999191999999</v>
      </c>
      <c r="AE35" s="341">
        <f t="shared" si="35"/>
        <v>40399.999596000001</v>
      </c>
      <c r="AF35" s="341">
        <f t="shared" si="36"/>
        <v>20200.001616000009</v>
      </c>
      <c r="AG35" s="341">
        <f t="shared" si="37"/>
        <v>0</v>
      </c>
      <c r="AH35" s="302">
        <f t="shared" si="17"/>
        <v>0</v>
      </c>
      <c r="AI35" s="302">
        <f t="shared" si="18"/>
        <v>0</v>
      </c>
      <c r="AJ35" s="302">
        <f t="shared" si="8"/>
        <v>0</v>
      </c>
      <c r="AK35" s="302">
        <f t="shared" si="9"/>
        <v>0</v>
      </c>
      <c r="AL35" s="302">
        <f t="shared" si="10"/>
        <v>0</v>
      </c>
      <c r="AM35" s="302">
        <f t="shared" si="11"/>
        <v>0</v>
      </c>
      <c r="AN35" s="302">
        <f t="shared" si="12"/>
        <v>0</v>
      </c>
      <c r="AO35" s="302">
        <f t="shared" si="13"/>
        <v>0</v>
      </c>
      <c r="AP35" s="302">
        <f t="shared" si="256"/>
        <v>0</v>
      </c>
      <c r="AQ35" s="302">
        <f t="shared" si="256"/>
        <v>0</v>
      </c>
      <c r="AR35" s="302">
        <f t="shared" si="256"/>
        <v>121200</v>
      </c>
      <c r="AS35" s="302">
        <f t="shared" si="256"/>
        <v>0</v>
      </c>
      <c r="AT35" s="302">
        <f t="shared" si="256"/>
        <v>0</v>
      </c>
      <c r="AU35" s="302">
        <f t="shared" si="256"/>
        <v>0</v>
      </c>
      <c r="AV35" s="302">
        <f t="shared" si="256"/>
        <v>0</v>
      </c>
      <c r="AW35" s="302">
        <f t="shared" si="256"/>
        <v>0</v>
      </c>
      <c r="AX35" s="302">
        <f t="shared" si="256"/>
        <v>0</v>
      </c>
      <c r="AY35" s="302">
        <f t="shared" si="256"/>
        <v>0</v>
      </c>
      <c r="AZ35" s="302">
        <f t="shared" si="256"/>
        <v>0</v>
      </c>
      <c r="BA35" s="302">
        <f t="shared" si="256"/>
        <v>0</v>
      </c>
      <c r="BB35" s="302">
        <f t="shared" si="256"/>
        <v>0</v>
      </c>
      <c r="BC35" s="302">
        <f t="shared" si="256"/>
        <v>0</v>
      </c>
      <c r="BD35" s="302">
        <f t="shared" si="256"/>
        <v>0</v>
      </c>
      <c r="BE35" s="302">
        <f t="shared" si="256"/>
        <v>0</v>
      </c>
      <c r="BF35" s="301">
        <f t="shared" si="15"/>
        <v>0</v>
      </c>
    </row>
    <row r="36" spans="1:58" x14ac:dyDescent="0.25">
      <c r="A36" t="s">
        <v>150</v>
      </c>
      <c r="B36" s="310"/>
      <c r="C36" s="314"/>
      <c r="D36" s="382">
        <f>12250*12</f>
        <v>147000</v>
      </c>
      <c r="E36" s="334" t="s">
        <v>210</v>
      </c>
      <c r="F36" s="334"/>
      <c r="G36" s="353"/>
      <c r="H36" s="353"/>
      <c r="I36" s="353"/>
      <c r="J36" s="335"/>
      <c r="K36" s="335">
        <v>8.3333333333333301E-2</v>
      </c>
      <c r="L36" s="335">
        <v>0.16666666666666599</v>
      </c>
      <c r="M36" s="335">
        <v>0.25</v>
      </c>
      <c r="N36" s="335">
        <v>0.33333333333333331</v>
      </c>
      <c r="O36" s="335">
        <v>0.16666666666666669</v>
      </c>
      <c r="P36" s="335">
        <v>0</v>
      </c>
      <c r="Q36" s="335"/>
      <c r="R36" s="335"/>
      <c r="S36" s="334"/>
      <c r="T36" s="334"/>
      <c r="U36" s="334"/>
      <c r="V36" s="334"/>
      <c r="W36" s="348">
        <f t="shared" si="16"/>
        <v>0.99999999999999933</v>
      </c>
      <c r="X36" s="247"/>
      <c r="Y36" s="247"/>
      <c r="Z36" s="251">
        <f t="shared" si="0"/>
        <v>0</v>
      </c>
      <c r="AA36" s="302">
        <f t="shared" si="1"/>
        <v>0</v>
      </c>
      <c r="AB36" s="341">
        <f t="shared" si="2"/>
        <v>0</v>
      </c>
      <c r="AC36" s="341">
        <f t="shared" si="3"/>
        <v>0</v>
      </c>
      <c r="AD36" s="341">
        <f t="shared" si="272"/>
        <v>12249.999999999995</v>
      </c>
      <c r="AE36" s="341">
        <f t="shared" si="35"/>
        <v>24499.999999999902</v>
      </c>
      <c r="AF36" s="341">
        <f t="shared" si="36"/>
        <v>36750</v>
      </c>
      <c r="AG36" s="341">
        <f t="shared" si="37"/>
        <v>49000</v>
      </c>
      <c r="AH36" s="302">
        <f t="shared" si="17"/>
        <v>24500.000000000004</v>
      </c>
      <c r="AI36" s="302">
        <f t="shared" si="18"/>
        <v>0</v>
      </c>
      <c r="AJ36" s="302">
        <f t="shared" si="8"/>
        <v>0</v>
      </c>
      <c r="AK36" s="302">
        <f t="shared" si="9"/>
        <v>0</v>
      </c>
      <c r="AL36" s="302">
        <f t="shared" si="10"/>
        <v>0</v>
      </c>
      <c r="AM36" s="302">
        <f t="shared" si="11"/>
        <v>0</v>
      </c>
      <c r="AN36" s="302">
        <f t="shared" si="12"/>
        <v>0</v>
      </c>
      <c r="AO36" s="302">
        <f t="shared" si="13"/>
        <v>0</v>
      </c>
      <c r="AP36" s="302">
        <f t="shared" si="256"/>
        <v>0</v>
      </c>
      <c r="AQ36" s="302">
        <f t="shared" si="256"/>
        <v>0</v>
      </c>
      <c r="AR36" s="302">
        <f t="shared" si="256"/>
        <v>0</v>
      </c>
      <c r="AS36" s="302">
        <f t="shared" si="256"/>
        <v>0</v>
      </c>
      <c r="AT36" s="302">
        <f t="shared" si="256"/>
        <v>147000</v>
      </c>
      <c r="AU36" s="302">
        <f t="shared" si="256"/>
        <v>0</v>
      </c>
      <c r="AV36" s="302">
        <f t="shared" si="256"/>
        <v>0</v>
      </c>
      <c r="AW36" s="302">
        <f t="shared" si="256"/>
        <v>0</v>
      </c>
      <c r="AX36" s="302">
        <f t="shared" si="256"/>
        <v>0</v>
      </c>
      <c r="AY36" s="302">
        <f t="shared" si="256"/>
        <v>0</v>
      </c>
      <c r="AZ36" s="302">
        <f t="shared" si="256"/>
        <v>0</v>
      </c>
      <c r="BA36" s="302">
        <f t="shared" si="256"/>
        <v>0</v>
      </c>
      <c r="BB36" s="302">
        <f t="shared" si="256"/>
        <v>0</v>
      </c>
      <c r="BC36" s="302">
        <f t="shared" si="256"/>
        <v>0</v>
      </c>
      <c r="BD36" s="302">
        <f t="shared" si="256"/>
        <v>0</v>
      </c>
      <c r="BE36" s="302">
        <f t="shared" si="256"/>
        <v>0</v>
      </c>
      <c r="BF36" s="388">
        <f t="shared" si="15"/>
        <v>0</v>
      </c>
    </row>
    <row r="37" spans="1:58" x14ac:dyDescent="0.25">
      <c r="A37" t="s">
        <v>150</v>
      </c>
      <c r="B37" s="310"/>
      <c r="C37" s="320"/>
      <c r="D37" s="380">
        <f>12250*12</f>
        <v>147000</v>
      </c>
      <c r="E37" s="247" t="s">
        <v>263</v>
      </c>
      <c r="F37" s="247"/>
      <c r="G37" s="353"/>
      <c r="H37" s="353"/>
      <c r="I37" s="353"/>
      <c r="J37" s="335"/>
      <c r="K37" s="335"/>
      <c r="L37" s="335"/>
      <c r="M37" s="335"/>
      <c r="N37" s="335"/>
      <c r="O37" s="335"/>
      <c r="P37" s="335">
        <v>0.16666666666666699</v>
      </c>
      <c r="Q37" s="335">
        <v>0.25</v>
      </c>
      <c r="R37" s="335">
        <v>0.25</v>
      </c>
      <c r="S37" s="335">
        <v>0.25</v>
      </c>
      <c r="T37" s="335">
        <v>8.3333333333333329E-2</v>
      </c>
      <c r="U37" s="334"/>
      <c r="V37" s="334"/>
      <c r="W37" s="348">
        <f t="shared" si="16"/>
        <v>1.0000000000000002</v>
      </c>
      <c r="X37" s="247"/>
      <c r="Y37" s="247"/>
      <c r="Z37" s="251">
        <f t="shared" si="0"/>
        <v>0</v>
      </c>
      <c r="AA37" s="302">
        <f t="shared" si="1"/>
        <v>0</v>
      </c>
      <c r="AB37" s="341">
        <f t="shared" si="2"/>
        <v>0</v>
      </c>
      <c r="AC37" s="341">
        <f t="shared" si="3"/>
        <v>0</v>
      </c>
      <c r="AD37" s="341">
        <f t="shared" si="272"/>
        <v>0</v>
      </c>
      <c r="AE37" s="341">
        <f t="shared" si="35"/>
        <v>0</v>
      </c>
      <c r="AF37" s="341">
        <f t="shared" si="36"/>
        <v>0</v>
      </c>
      <c r="AG37" s="341">
        <f t="shared" si="37"/>
        <v>0</v>
      </c>
      <c r="AH37" s="302">
        <f t="shared" si="17"/>
        <v>0</v>
      </c>
      <c r="AI37" s="302">
        <f t="shared" si="18"/>
        <v>24500.000000000047</v>
      </c>
      <c r="AJ37" s="302">
        <f t="shared" si="8"/>
        <v>36750</v>
      </c>
      <c r="AK37" s="302">
        <f t="shared" si="9"/>
        <v>36750</v>
      </c>
      <c r="AL37" s="302">
        <f t="shared" si="10"/>
        <v>36750</v>
      </c>
      <c r="AM37" s="302">
        <f t="shared" si="11"/>
        <v>12250</v>
      </c>
      <c r="AN37" s="302">
        <f t="shared" si="12"/>
        <v>0</v>
      </c>
      <c r="AO37" s="302">
        <f t="shared" ref="AO37:AO74" si="273">V37*$D37</f>
        <v>0</v>
      </c>
      <c r="AP37" s="302">
        <f t="shared" si="256"/>
        <v>0</v>
      </c>
      <c r="AQ37" s="302">
        <f t="shared" si="256"/>
        <v>0</v>
      </c>
      <c r="AR37" s="302">
        <f t="shared" si="256"/>
        <v>0</v>
      </c>
      <c r="AS37" s="302">
        <f t="shared" si="256"/>
        <v>0</v>
      </c>
      <c r="AT37" s="302">
        <f t="shared" si="256"/>
        <v>0</v>
      </c>
      <c r="AU37" s="302">
        <f t="shared" si="256"/>
        <v>0</v>
      </c>
      <c r="AV37" s="302">
        <f t="shared" si="256"/>
        <v>0</v>
      </c>
      <c r="AW37" s="302">
        <f t="shared" si="256"/>
        <v>0</v>
      </c>
      <c r="AX37" s="302">
        <f t="shared" si="256"/>
        <v>147000</v>
      </c>
      <c r="AY37" s="302">
        <f t="shared" si="256"/>
        <v>0</v>
      </c>
      <c r="AZ37" s="302">
        <f t="shared" si="256"/>
        <v>0</v>
      </c>
      <c r="BA37" s="302">
        <f t="shared" si="256"/>
        <v>0</v>
      </c>
      <c r="BB37" s="302">
        <f t="shared" si="256"/>
        <v>0</v>
      </c>
      <c r="BC37" s="302">
        <f t="shared" si="256"/>
        <v>0</v>
      </c>
      <c r="BD37" s="302">
        <f t="shared" si="256"/>
        <v>0</v>
      </c>
      <c r="BE37" s="302">
        <f t="shared" si="256"/>
        <v>0</v>
      </c>
      <c r="BF37" s="388">
        <f t="shared" ref="BF37:BF71" si="274">SUM(Z37:AO37)-SUM(AP37:BE37)</f>
        <v>0</v>
      </c>
    </row>
    <row r="38" spans="1:58" x14ac:dyDescent="0.25">
      <c r="A38" t="s">
        <v>150</v>
      </c>
      <c r="B38" s="310"/>
      <c r="C38" s="247"/>
      <c r="D38" s="382">
        <v>61250</v>
      </c>
      <c r="E38" s="334" t="s">
        <v>209</v>
      </c>
      <c r="F38" s="334"/>
      <c r="G38" s="353"/>
      <c r="H38" s="353">
        <v>0</v>
      </c>
      <c r="I38" s="353">
        <v>0.4</v>
      </c>
      <c r="J38" s="335">
        <v>0.6</v>
      </c>
      <c r="K38" s="335">
        <v>0</v>
      </c>
      <c r="L38" s="335"/>
      <c r="M38" s="335"/>
      <c r="N38" s="335"/>
      <c r="O38" s="335"/>
      <c r="P38" s="335"/>
      <c r="Q38" s="335"/>
      <c r="R38" s="335"/>
      <c r="S38" s="334"/>
      <c r="T38" s="334"/>
      <c r="U38" s="334"/>
      <c r="V38" s="334"/>
      <c r="W38" s="348">
        <f t="shared" si="16"/>
        <v>1</v>
      </c>
      <c r="X38" s="247"/>
      <c r="Y38" s="247"/>
      <c r="Z38" s="302">
        <f t="shared" si="0"/>
        <v>0</v>
      </c>
      <c r="AA38" s="302">
        <f t="shared" si="1"/>
        <v>0</v>
      </c>
      <c r="AB38" s="341">
        <f t="shared" si="2"/>
        <v>24500</v>
      </c>
      <c r="AC38" s="341">
        <f t="shared" si="3"/>
        <v>36750</v>
      </c>
      <c r="AD38" s="341">
        <f t="shared" si="272"/>
        <v>0</v>
      </c>
      <c r="AE38" s="341">
        <f t="shared" si="35"/>
        <v>0</v>
      </c>
      <c r="AF38" s="341">
        <f t="shared" si="36"/>
        <v>0</v>
      </c>
      <c r="AG38" s="341">
        <f t="shared" si="37"/>
        <v>0</v>
      </c>
      <c r="AH38" s="302">
        <f t="shared" si="17"/>
        <v>0</v>
      </c>
      <c r="AI38" s="302">
        <f t="shared" si="18"/>
        <v>0</v>
      </c>
      <c r="AJ38" s="302">
        <f t="shared" si="8"/>
        <v>0</v>
      </c>
      <c r="AK38" s="302">
        <f t="shared" si="9"/>
        <v>0</v>
      </c>
      <c r="AL38" s="302">
        <f t="shared" si="10"/>
        <v>0</v>
      </c>
      <c r="AM38" s="302">
        <f t="shared" si="11"/>
        <v>0</v>
      </c>
      <c r="AN38" s="302">
        <f t="shared" si="12"/>
        <v>0</v>
      </c>
      <c r="AO38" s="302">
        <f t="shared" si="273"/>
        <v>0</v>
      </c>
      <c r="AP38" s="302">
        <f t="shared" si="256"/>
        <v>0</v>
      </c>
      <c r="AQ38" s="302">
        <f t="shared" si="256"/>
        <v>61250</v>
      </c>
      <c r="AR38" s="302">
        <f t="shared" si="256"/>
        <v>0</v>
      </c>
      <c r="AS38" s="302">
        <f t="shared" si="256"/>
        <v>0</v>
      </c>
      <c r="AT38" s="302">
        <f t="shared" si="256"/>
        <v>0</v>
      </c>
      <c r="AU38" s="302">
        <f t="shared" si="256"/>
        <v>0</v>
      </c>
      <c r="AV38" s="302">
        <f t="shared" si="256"/>
        <v>0</v>
      </c>
      <c r="AW38" s="302">
        <f t="shared" si="256"/>
        <v>0</v>
      </c>
      <c r="AX38" s="302">
        <f t="shared" si="256"/>
        <v>0</v>
      </c>
      <c r="AY38" s="302">
        <f t="shared" si="256"/>
        <v>0</v>
      </c>
      <c r="AZ38" s="302">
        <f t="shared" si="256"/>
        <v>0</v>
      </c>
      <c r="BA38" s="302">
        <f t="shared" si="256"/>
        <v>0</v>
      </c>
      <c r="BB38" s="302">
        <f t="shared" si="256"/>
        <v>0</v>
      </c>
      <c r="BC38" s="302">
        <f t="shared" si="256"/>
        <v>0</v>
      </c>
      <c r="BD38" s="302">
        <f t="shared" si="256"/>
        <v>0</v>
      </c>
      <c r="BE38" s="302">
        <f t="shared" si="256"/>
        <v>0</v>
      </c>
      <c r="BF38" s="301">
        <f t="shared" si="274"/>
        <v>0</v>
      </c>
    </row>
    <row r="39" spans="1:58" s="332" customFormat="1" x14ac:dyDescent="0.25">
      <c r="A39" s="332" t="s">
        <v>150</v>
      </c>
      <c r="B39" s="310"/>
      <c r="C39" s="334"/>
      <c r="D39" s="382">
        <v>73500</v>
      </c>
      <c r="E39" s="334" t="s">
        <v>262</v>
      </c>
      <c r="F39" s="334"/>
      <c r="G39" s="353"/>
      <c r="H39" s="353" t="s">
        <v>118</v>
      </c>
      <c r="I39" s="353"/>
      <c r="J39" s="335" t="s">
        <v>118</v>
      </c>
      <c r="K39" s="335">
        <v>0</v>
      </c>
      <c r="L39" s="335">
        <v>0</v>
      </c>
      <c r="M39" s="335"/>
      <c r="N39" s="335"/>
      <c r="O39" s="335"/>
      <c r="P39" s="335">
        <v>0.5</v>
      </c>
      <c r="Q39" s="335">
        <v>0.5</v>
      </c>
      <c r="R39" s="335"/>
      <c r="S39" s="334"/>
      <c r="T39" s="334"/>
      <c r="U39" s="334"/>
      <c r="V39" s="334"/>
      <c r="W39" s="348">
        <f t="shared" si="16"/>
        <v>1</v>
      </c>
      <c r="X39" s="334"/>
      <c r="Y39" s="334"/>
      <c r="Z39" s="333">
        <f t="shared" si="0"/>
        <v>0</v>
      </c>
      <c r="AA39" s="333">
        <v>0</v>
      </c>
      <c r="AB39" s="391">
        <v>0</v>
      </c>
      <c r="AC39" s="391">
        <v>0</v>
      </c>
      <c r="AD39" s="391">
        <f t="shared" si="272"/>
        <v>0</v>
      </c>
      <c r="AE39" s="391">
        <f t="shared" si="35"/>
        <v>0</v>
      </c>
      <c r="AF39" s="391">
        <f t="shared" si="36"/>
        <v>0</v>
      </c>
      <c r="AG39" s="391">
        <f t="shared" si="37"/>
        <v>0</v>
      </c>
      <c r="AH39" s="333">
        <f t="shared" si="17"/>
        <v>0</v>
      </c>
      <c r="AI39" s="333">
        <f t="shared" si="18"/>
        <v>36750</v>
      </c>
      <c r="AJ39" s="333">
        <f t="shared" si="8"/>
        <v>36750</v>
      </c>
      <c r="AK39" s="333">
        <f t="shared" si="9"/>
        <v>0</v>
      </c>
      <c r="AL39" s="333">
        <f t="shared" si="10"/>
        <v>0</v>
      </c>
      <c r="AM39" s="333">
        <f t="shared" si="11"/>
        <v>0</v>
      </c>
      <c r="AN39" s="333">
        <f t="shared" si="12"/>
        <v>0</v>
      </c>
      <c r="AO39" s="333">
        <f t="shared" si="273"/>
        <v>0</v>
      </c>
      <c r="AP39" s="333">
        <f t="shared" si="256"/>
        <v>0</v>
      </c>
      <c r="AQ39" s="333">
        <f t="shared" si="256"/>
        <v>0</v>
      </c>
      <c r="AR39" s="333">
        <f t="shared" si="256"/>
        <v>0</v>
      </c>
      <c r="AS39" s="333">
        <f t="shared" si="256"/>
        <v>0</v>
      </c>
      <c r="AT39" s="333">
        <f t="shared" si="256"/>
        <v>0</v>
      </c>
      <c r="AU39" s="333">
        <f t="shared" si="256"/>
        <v>0</v>
      </c>
      <c r="AV39" s="333">
        <f t="shared" si="256"/>
        <v>0</v>
      </c>
      <c r="AW39" s="333">
        <f t="shared" si="256"/>
        <v>0</v>
      </c>
      <c r="AX39" s="333">
        <f t="shared" si="256"/>
        <v>0</v>
      </c>
      <c r="AY39" s="333">
        <f t="shared" si="256"/>
        <v>73500</v>
      </c>
      <c r="AZ39" s="333">
        <f t="shared" si="256"/>
        <v>0</v>
      </c>
      <c r="BA39" s="333">
        <f t="shared" si="256"/>
        <v>0</v>
      </c>
      <c r="BB39" s="333">
        <f t="shared" si="256"/>
        <v>0</v>
      </c>
      <c r="BC39" s="333">
        <f t="shared" si="256"/>
        <v>0</v>
      </c>
      <c r="BD39" s="333">
        <f t="shared" si="256"/>
        <v>0</v>
      </c>
      <c r="BE39" s="333">
        <f t="shared" si="256"/>
        <v>0</v>
      </c>
      <c r="BF39" s="301">
        <f t="shared" si="274"/>
        <v>0</v>
      </c>
    </row>
    <row r="40" spans="1:58" x14ac:dyDescent="0.25">
      <c r="A40" t="s">
        <v>151</v>
      </c>
      <c r="B40" s="310"/>
      <c r="C40" s="247"/>
      <c r="D40" s="380">
        <v>1030229</v>
      </c>
      <c r="E40" s="247" t="s">
        <v>183</v>
      </c>
      <c r="F40" s="247"/>
      <c r="G40" s="353"/>
      <c r="H40" s="353"/>
      <c r="I40" s="353"/>
      <c r="J40" s="335"/>
      <c r="K40" s="335"/>
      <c r="L40" s="335">
        <v>0</v>
      </c>
      <c r="M40" s="335">
        <v>0.1</v>
      </c>
      <c r="N40" s="335">
        <v>0</v>
      </c>
      <c r="O40" s="335">
        <v>0.70002038381757847</v>
      </c>
      <c r="P40" s="344">
        <v>0.19997961618242155</v>
      </c>
      <c r="Q40" s="334"/>
      <c r="R40" s="334"/>
      <c r="S40" s="334"/>
      <c r="T40" s="334"/>
      <c r="U40" s="334"/>
      <c r="V40" s="334"/>
      <c r="W40" s="348">
        <f t="shared" si="16"/>
        <v>1</v>
      </c>
      <c r="X40" s="247"/>
      <c r="Y40" s="247"/>
      <c r="Z40" s="302">
        <f t="shared" si="0"/>
        <v>0</v>
      </c>
      <c r="AA40" s="302">
        <f t="shared" si="1"/>
        <v>0</v>
      </c>
      <c r="AB40" s="341">
        <f t="shared" si="2"/>
        <v>0</v>
      </c>
      <c r="AC40" s="341">
        <f t="shared" si="3"/>
        <v>0</v>
      </c>
      <c r="AD40" s="341">
        <f t="shared" si="272"/>
        <v>0</v>
      </c>
      <c r="AE40" s="341">
        <f>L40*$D40</f>
        <v>0</v>
      </c>
      <c r="AF40" s="341">
        <f t="shared" si="36"/>
        <v>103022.90000000001</v>
      </c>
      <c r="AG40" s="341">
        <f t="shared" si="37"/>
        <v>0</v>
      </c>
      <c r="AH40" s="341">
        <f t="shared" si="17"/>
        <v>721181.3</v>
      </c>
      <c r="AI40" s="302">
        <f t="shared" si="18"/>
        <v>206024.79999999996</v>
      </c>
      <c r="AJ40" s="302">
        <f t="shared" si="8"/>
        <v>0</v>
      </c>
      <c r="AK40" s="302">
        <f t="shared" si="9"/>
        <v>0</v>
      </c>
      <c r="AL40" s="302">
        <f t="shared" si="10"/>
        <v>0</v>
      </c>
      <c r="AM40" s="302">
        <f t="shared" si="11"/>
        <v>0</v>
      </c>
      <c r="AN40" s="302">
        <f t="shared" si="12"/>
        <v>0</v>
      </c>
      <c r="AO40" s="302">
        <f t="shared" si="273"/>
        <v>0</v>
      </c>
      <c r="AP40" s="302">
        <f t="shared" si="256"/>
        <v>0</v>
      </c>
      <c r="AQ40" s="302">
        <f t="shared" si="256"/>
        <v>0</v>
      </c>
      <c r="AR40" s="302">
        <f t="shared" si="256"/>
        <v>0</v>
      </c>
      <c r="AS40" s="302">
        <f t="shared" si="256"/>
        <v>0</v>
      </c>
      <c r="AT40" s="302">
        <f t="shared" si="256"/>
        <v>0</v>
      </c>
      <c r="AU40" s="302">
        <f t="shared" si="256"/>
        <v>1030229</v>
      </c>
      <c r="AV40" s="302">
        <f t="shared" si="256"/>
        <v>0</v>
      </c>
      <c r="AW40" s="302">
        <f t="shared" si="256"/>
        <v>0</v>
      </c>
      <c r="AX40" s="302">
        <f t="shared" si="256"/>
        <v>0</v>
      </c>
      <c r="AY40" s="302">
        <f t="shared" si="256"/>
        <v>0</v>
      </c>
      <c r="AZ40" s="302">
        <f t="shared" si="256"/>
        <v>0</v>
      </c>
      <c r="BA40" s="302">
        <f t="shared" si="256"/>
        <v>0</v>
      </c>
      <c r="BB40" s="302">
        <f t="shared" si="256"/>
        <v>0</v>
      </c>
      <c r="BC40" s="302">
        <f t="shared" si="256"/>
        <v>0</v>
      </c>
      <c r="BD40" s="302">
        <f t="shared" si="256"/>
        <v>0</v>
      </c>
      <c r="BE40" s="302">
        <f t="shared" si="256"/>
        <v>0</v>
      </c>
      <c r="BF40" s="301">
        <f t="shared" si="274"/>
        <v>0</v>
      </c>
    </row>
    <row r="41" spans="1:58" x14ac:dyDescent="0.25">
      <c r="A41" t="s">
        <v>151</v>
      </c>
      <c r="B41" s="310"/>
      <c r="C41" s="247"/>
      <c r="D41" s="380">
        <v>900000</v>
      </c>
      <c r="E41" s="247" t="s">
        <v>262</v>
      </c>
      <c r="F41" s="247"/>
      <c r="G41" s="352"/>
      <c r="H41" s="352"/>
      <c r="I41" s="352"/>
      <c r="J41" s="334"/>
      <c r="K41" s="335"/>
      <c r="L41" s="335">
        <v>0</v>
      </c>
      <c r="M41" s="335">
        <v>0</v>
      </c>
      <c r="N41" s="335">
        <v>0</v>
      </c>
      <c r="O41" s="335">
        <v>0</v>
      </c>
      <c r="P41" s="344">
        <v>0.5</v>
      </c>
      <c r="Q41" s="344">
        <v>0.5</v>
      </c>
      <c r="R41" s="334"/>
      <c r="S41" s="334"/>
      <c r="T41" s="334"/>
      <c r="U41" s="334"/>
      <c r="V41" s="334"/>
      <c r="W41" s="348">
        <f t="shared" si="16"/>
        <v>1</v>
      </c>
      <c r="X41" s="247"/>
      <c r="Y41" s="247"/>
      <c r="Z41" s="302">
        <f t="shared" si="0"/>
        <v>0</v>
      </c>
      <c r="AA41" s="302">
        <f t="shared" si="1"/>
        <v>0</v>
      </c>
      <c r="AB41" s="341">
        <f t="shared" si="2"/>
        <v>0</v>
      </c>
      <c r="AC41" s="341">
        <f t="shared" si="3"/>
        <v>0</v>
      </c>
      <c r="AD41" s="341">
        <f t="shared" si="272"/>
        <v>0</v>
      </c>
      <c r="AE41" s="341">
        <f t="shared" si="35"/>
        <v>0</v>
      </c>
      <c r="AF41" s="341">
        <f t="shared" si="36"/>
        <v>0</v>
      </c>
      <c r="AG41" s="341">
        <f t="shared" si="37"/>
        <v>0</v>
      </c>
      <c r="AH41" s="341">
        <f t="shared" si="17"/>
        <v>0</v>
      </c>
      <c r="AI41" s="302">
        <f t="shared" si="18"/>
        <v>450000</v>
      </c>
      <c r="AJ41" s="302">
        <f t="shared" si="8"/>
        <v>450000</v>
      </c>
      <c r="AK41" s="302">
        <f t="shared" si="9"/>
        <v>0</v>
      </c>
      <c r="AL41" s="302">
        <f t="shared" si="10"/>
        <v>0</v>
      </c>
      <c r="AM41" s="302">
        <f t="shared" si="11"/>
        <v>0</v>
      </c>
      <c r="AN41" s="302">
        <f t="shared" si="12"/>
        <v>0</v>
      </c>
      <c r="AO41" s="302">
        <f t="shared" si="273"/>
        <v>0</v>
      </c>
      <c r="AP41" s="302">
        <f t="shared" ref="AP41:BD64" si="275">IF(AP$3=$E41,$D41,0)</f>
        <v>0</v>
      </c>
      <c r="AQ41" s="302">
        <f t="shared" si="275"/>
        <v>0</v>
      </c>
      <c r="AR41" s="302">
        <f t="shared" si="275"/>
        <v>0</v>
      </c>
      <c r="AS41" s="302">
        <f t="shared" si="275"/>
        <v>0</v>
      </c>
      <c r="AT41" s="302">
        <f t="shared" si="275"/>
        <v>0</v>
      </c>
      <c r="AU41" s="302">
        <f t="shared" si="275"/>
        <v>0</v>
      </c>
      <c r="AV41" s="302">
        <f t="shared" si="275"/>
        <v>0</v>
      </c>
      <c r="AW41" s="302">
        <f t="shared" si="275"/>
        <v>0</v>
      </c>
      <c r="AX41" s="302">
        <f t="shared" si="275"/>
        <v>0</v>
      </c>
      <c r="AY41" s="302">
        <f t="shared" si="275"/>
        <v>900000</v>
      </c>
      <c r="AZ41" s="302">
        <f t="shared" si="275"/>
        <v>0</v>
      </c>
      <c r="BA41" s="302">
        <f t="shared" si="275"/>
        <v>0</v>
      </c>
      <c r="BB41" s="302">
        <f t="shared" si="275"/>
        <v>0</v>
      </c>
      <c r="BC41" s="302">
        <f t="shared" si="275"/>
        <v>0</v>
      </c>
      <c r="BD41" s="302">
        <f t="shared" si="275"/>
        <v>0</v>
      </c>
      <c r="BE41" s="302">
        <f t="shared" si="256"/>
        <v>0</v>
      </c>
      <c r="BF41" s="301">
        <f t="shared" si="274"/>
        <v>0</v>
      </c>
    </row>
    <row r="42" spans="1:58" s="297" customFormat="1" x14ac:dyDescent="0.25">
      <c r="A42" s="297" t="s">
        <v>151</v>
      </c>
      <c r="B42" s="310"/>
      <c r="C42" s="247"/>
      <c r="D42" s="380">
        <v>770000</v>
      </c>
      <c r="E42" s="247" t="s">
        <v>280</v>
      </c>
      <c r="F42" s="247"/>
      <c r="G42" s="352"/>
      <c r="H42" s="352"/>
      <c r="I42" s="352"/>
      <c r="J42" s="334"/>
      <c r="K42" s="335"/>
      <c r="L42" s="335">
        <v>0</v>
      </c>
      <c r="M42" s="335">
        <v>0</v>
      </c>
      <c r="N42" s="335">
        <v>0</v>
      </c>
      <c r="O42" s="335">
        <v>0</v>
      </c>
      <c r="P42" s="344">
        <v>0</v>
      </c>
      <c r="Q42" s="344">
        <v>0</v>
      </c>
      <c r="R42" s="344"/>
      <c r="S42" s="344"/>
      <c r="T42" s="344">
        <v>0.5</v>
      </c>
      <c r="U42" s="344">
        <v>0.5</v>
      </c>
      <c r="V42" s="344"/>
      <c r="W42" s="348">
        <f t="shared" ref="W42" si="276">SUM(G42:V42)</f>
        <v>1</v>
      </c>
      <c r="X42" s="247"/>
      <c r="Y42" s="247"/>
      <c r="Z42" s="302">
        <f t="shared" ref="Z42" si="277">G42*$D42</f>
        <v>0</v>
      </c>
      <c r="AA42" s="302">
        <f t="shared" ref="AA42" si="278">H42*$D42</f>
        <v>0</v>
      </c>
      <c r="AB42" s="341">
        <f t="shared" ref="AB42" si="279">I42*$D42</f>
        <v>0</v>
      </c>
      <c r="AC42" s="341">
        <f t="shared" ref="AC42" si="280">J42*$D42</f>
        <v>0</v>
      </c>
      <c r="AD42" s="341">
        <f t="shared" ref="AD42" si="281">K42*$D42</f>
        <v>0</v>
      </c>
      <c r="AE42" s="341">
        <f t="shared" ref="AE42" si="282">L42*$D42</f>
        <v>0</v>
      </c>
      <c r="AF42" s="341">
        <f t="shared" ref="AF42" si="283">M42*$D42</f>
        <v>0</v>
      </c>
      <c r="AG42" s="341">
        <f t="shared" ref="AG42" si="284">N42*$D42</f>
        <v>0</v>
      </c>
      <c r="AH42" s="341">
        <f t="shared" ref="AH42" si="285">O42*$D42</f>
        <v>0</v>
      </c>
      <c r="AI42" s="302">
        <f t="shared" ref="AI42" si="286">P42*$D42</f>
        <v>0</v>
      </c>
      <c r="AJ42" s="302">
        <f t="shared" ref="AJ42" si="287">Q42*$D42</f>
        <v>0</v>
      </c>
      <c r="AK42" s="302">
        <f t="shared" ref="AK42" si="288">R42*$D42</f>
        <v>0</v>
      </c>
      <c r="AL42" s="302">
        <f t="shared" ref="AL42" si="289">S42*$D42</f>
        <v>0</v>
      </c>
      <c r="AM42" s="302">
        <f t="shared" ref="AM42" si="290">T42*$D42</f>
        <v>385000</v>
      </c>
      <c r="AN42" s="302">
        <f t="shared" ref="AN42" si="291">U42*$D42</f>
        <v>385000</v>
      </c>
      <c r="AO42" s="302">
        <f t="shared" ref="AO42" si="292">V42*$D42</f>
        <v>0</v>
      </c>
      <c r="AP42" s="302">
        <f t="shared" si="275"/>
        <v>0</v>
      </c>
      <c r="AQ42" s="302">
        <f t="shared" si="275"/>
        <v>0</v>
      </c>
      <c r="AR42" s="302">
        <f t="shared" si="275"/>
        <v>0</v>
      </c>
      <c r="AS42" s="302">
        <f t="shared" si="275"/>
        <v>0</v>
      </c>
      <c r="AT42" s="302">
        <f t="shared" si="275"/>
        <v>0</v>
      </c>
      <c r="AU42" s="302">
        <f t="shared" ref="AU42:BD42" si="293">IF(AU$3=$E42,$D42,0)</f>
        <v>0</v>
      </c>
      <c r="AV42" s="302">
        <f t="shared" si="293"/>
        <v>0</v>
      </c>
      <c r="AW42" s="302">
        <f t="shared" si="293"/>
        <v>0</v>
      </c>
      <c r="AX42" s="302">
        <f t="shared" si="293"/>
        <v>0</v>
      </c>
      <c r="AY42" s="302">
        <f t="shared" si="293"/>
        <v>0</v>
      </c>
      <c r="AZ42" s="302">
        <f t="shared" si="293"/>
        <v>0</v>
      </c>
      <c r="BA42" s="302">
        <f t="shared" si="293"/>
        <v>0</v>
      </c>
      <c r="BB42" s="302">
        <f t="shared" si="293"/>
        <v>0</v>
      </c>
      <c r="BC42" s="302">
        <f t="shared" si="293"/>
        <v>770000</v>
      </c>
      <c r="BD42" s="302">
        <f t="shared" si="293"/>
        <v>0</v>
      </c>
      <c r="BE42" s="302">
        <f t="shared" si="256"/>
        <v>0</v>
      </c>
      <c r="BF42" s="301">
        <f t="shared" ref="BF42" si="294">SUM(Z42:AO42)-SUM(AP42:BE42)</f>
        <v>0</v>
      </c>
    </row>
    <row r="43" spans="1:58" s="297" customFormat="1" x14ac:dyDescent="0.25">
      <c r="A43" s="297" t="s">
        <v>152</v>
      </c>
      <c r="B43" s="310"/>
      <c r="D43" s="380">
        <v>75000</v>
      </c>
      <c r="E43" s="247" t="s">
        <v>263</v>
      </c>
      <c r="F43" s="247"/>
      <c r="G43" s="352"/>
      <c r="H43" s="352"/>
      <c r="I43" s="352"/>
      <c r="J43" s="335">
        <v>0</v>
      </c>
      <c r="K43" s="335">
        <v>0</v>
      </c>
      <c r="L43" s="335">
        <v>0</v>
      </c>
      <c r="M43" s="335">
        <v>0</v>
      </c>
      <c r="N43" s="335">
        <v>0</v>
      </c>
      <c r="O43" s="335">
        <v>1</v>
      </c>
      <c r="P43" s="334">
        <v>0</v>
      </c>
      <c r="Q43" s="334">
        <v>0</v>
      </c>
      <c r="R43" s="344">
        <v>0</v>
      </c>
      <c r="S43" s="344">
        <v>0</v>
      </c>
      <c r="T43" s="344">
        <v>0</v>
      </c>
      <c r="U43" s="344">
        <v>0</v>
      </c>
      <c r="V43" s="344">
        <v>0</v>
      </c>
      <c r="W43" s="348">
        <f t="shared" ref="W43" si="295">SUM(G43:V43)</f>
        <v>1</v>
      </c>
      <c r="X43" s="247"/>
      <c r="Y43" s="247"/>
      <c r="Z43" s="302">
        <f t="shared" si="0"/>
        <v>0</v>
      </c>
      <c r="AA43" s="302">
        <f t="shared" si="1"/>
        <v>0</v>
      </c>
      <c r="AB43" s="341">
        <f t="shared" si="2"/>
        <v>0</v>
      </c>
      <c r="AC43" s="341">
        <f t="shared" si="3"/>
        <v>0</v>
      </c>
      <c r="AD43" s="341">
        <f t="shared" si="272"/>
        <v>0</v>
      </c>
      <c r="AE43" s="341">
        <f t="shared" si="35"/>
        <v>0</v>
      </c>
      <c r="AF43" s="341">
        <f t="shared" si="36"/>
        <v>0</v>
      </c>
      <c r="AG43" s="341">
        <f t="shared" si="37"/>
        <v>0</v>
      </c>
      <c r="AH43" s="302">
        <f t="shared" si="17"/>
        <v>75000</v>
      </c>
      <c r="AI43" s="302">
        <f t="shared" si="18"/>
        <v>0</v>
      </c>
      <c r="AJ43" s="302">
        <f t="shared" si="8"/>
        <v>0</v>
      </c>
      <c r="AK43" s="302">
        <f t="shared" si="9"/>
        <v>0</v>
      </c>
      <c r="AL43" s="302">
        <f t="shared" si="10"/>
        <v>0</v>
      </c>
      <c r="AM43" s="302">
        <f t="shared" si="11"/>
        <v>0</v>
      </c>
      <c r="AN43" s="302">
        <f t="shared" si="12"/>
        <v>0</v>
      </c>
      <c r="AO43" s="302">
        <f t="shared" ref="AO43" si="296">V43*$D43</f>
        <v>0</v>
      </c>
      <c r="AP43" s="302">
        <f t="shared" si="275"/>
        <v>0</v>
      </c>
      <c r="AQ43" s="302">
        <f t="shared" si="275"/>
        <v>0</v>
      </c>
      <c r="AR43" s="302">
        <f t="shared" si="275"/>
        <v>0</v>
      </c>
      <c r="AS43" s="302">
        <f t="shared" si="275"/>
        <v>0</v>
      </c>
      <c r="AT43" s="302">
        <f t="shared" si="275"/>
        <v>0</v>
      </c>
      <c r="AU43" s="302">
        <f t="shared" si="275"/>
        <v>0</v>
      </c>
      <c r="AV43" s="302">
        <f t="shared" si="275"/>
        <v>0</v>
      </c>
      <c r="AW43" s="302">
        <f t="shared" si="275"/>
        <v>0</v>
      </c>
      <c r="AX43" s="302">
        <f t="shared" si="275"/>
        <v>75000</v>
      </c>
      <c r="AY43" s="302">
        <f t="shared" si="275"/>
        <v>0</v>
      </c>
      <c r="AZ43" s="302">
        <f t="shared" si="275"/>
        <v>0</v>
      </c>
      <c r="BA43" s="302">
        <f t="shared" si="275"/>
        <v>0</v>
      </c>
      <c r="BB43" s="302">
        <f t="shared" si="275"/>
        <v>0</v>
      </c>
      <c r="BC43" s="302">
        <f t="shared" si="275"/>
        <v>0</v>
      </c>
      <c r="BD43" s="302">
        <f t="shared" si="275"/>
        <v>0</v>
      </c>
      <c r="BE43" s="302">
        <f t="shared" si="256"/>
        <v>0</v>
      </c>
      <c r="BF43" s="388">
        <f t="shared" ref="BF43" si="297">SUM(Z43:AO43)-SUM(AP43:BE43)</f>
        <v>0</v>
      </c>
    </row>
    <row r="44" spans="1:58" s="297" customFormat="1" x14ac:dyDescent="0.25">
      <c r="A44" s="297" t="s">
        <v>152</v>
      </c>
      <c r="B44" s="310"/>
      <c r="D44" s="380">
        <v>5000</v>
      </c>
      <c r="E44" s="247" t="s">
        <v>213</v>
      </c>
      <c r="F44" s="247"/>
      <c r="G44" s="352"/>
      <c r="H44" s="352"/>
      <c r="I44" s="352"/>
      <c r="J44" s="335">
        <v>1</v>
      </c>
      <c r="K44" s="335"/>
      <c r="L44" s="335"/>
      <c r="M44" s="335"/>
      <c r="N44" s="335"/>
      <c r="O44" s="334"/>
      <c r="P44" s="334"/>
      <c r="Q44" s="334"/>
      <c r="R44" s="334"/>
      <c r="S44" s="334"/>
      <c r="T44" s="334"/>
      <c r="U44" s="334"/>
      <c r="V44" s="334"/>
      <c r="W44" s="348">
        <f t="shared" si="16"/>
        <v>1</v>
      </c>
      <c r="X44" s="247"/>
      <c r="Y44" s="247"/>
      <c r="Z44" s="302">
        <f t="shared" ref="Z44" si="298">G44*$D44</f>
        <v>0</v>
      </c>
      <c r="AA44" s="302">
        <f t="shared" ref="AA44" si="299">H44*$D44</f>
        <v>0</v>
      </c>
      <c r="AB44" s="341">
        <f t="shared" ref="AB44" si="300">I44*$D44</f>
        <v>0</v>
      </c>
      <c r="AC44" s="341">
        <f t="shared" ref="AC44" si="301">J44*$D44</f>
        <v>5000</v>
      </c>
      <c r="AD44" s="341">
        <f t="shared" ref="AD44" si="302">K44*$D44</f>
        <v>0</v>
      </c>
      <c r="AE44" s="341">
        <f t="shared" ref="AE44" si="303">L44*$D44</f>
        <v>0</v>
      </c>
      <c r="AF44" s="341">
        <f t="shared" ref="AF44" si="304">M44*$D44</f>
        <v>0</v>
      </c>
      <c r="AG44" s="341">
        <f t="shared" ref="AG44" si="305">N44*$D44</f>
        <v>0</v>
      </c>
      <c r="AH44" s="302">
        <f t="shared" ref="AH44" si="306">O44*$D44</f>
        <v>0</v>
      </c>
      <c r="AI44" s="302">
        <f t="shared" ref="AI44" si="307">P44*$D44</f>
        <v>0</v>
      </c>
      <c r="AJ44" s="302">
        <f t="shared" ref="AJ44" si="308">Q44*$D44</f>
        <v>0</v>
      </c>
      <c r="AK44" s="302">
        <f t="shared" ref="AK44" si="309">R44*$D44</f>
        <v>0</v>
      </c>
      <c r="AL44" s="302">
        <f t="shared" ref="AL44" si="310">S44*$D44</f>
        <v>0</v>
      </c>
      <c r="AM44" s="302">
        <f t="shared" ref="AM44" si="311">T44*$D44</f>
        <v>0</v>
      </c>
      <c r="AN44" s="302">
        <f t="shared" ref="AN44" si="312">U44*$D44</f>
        <v>0</v>
      </c>
      <c r="AO44" s="302">
        <f t="shared" si="273"/>
        <v>0</v>
      </c>
      <c r="AP44" s="302">
        <f t="shared" si="275"/>
        <v>0</v>
      </c>
      <c r="AQ44" s="302">
        <f t="shared" si="275"/>
        <v>0</v>
      </c>
      <c r="AR44" s="302">
        <f t="shared" si="275"/>
        <v>0</v>
      </c>
      <c r="AS44" s="302">
        <f t="shared" si="275"/>
        <v>5000</v>
      </c>
      <c r="AT44" s="302">
        <f t="shared" si="275"/>
        <v>0</v>
      </c>
      <c r="AU44" s="302">
        <f t="shared" si="275"/>
        <v>0</v>
      </c>
      <c r="AV44" s="302">
        <f t="shared" si="275"/>
        <v>0</v>
      </c>
      <c r="AW44" s="302">
        <f t="shared" si="275"/>
        <v>0</v>
      </c>
      <c r="AX44" s="302">
        <f t="shared" si="275"/>
        <v>0</v>
      </c>
      <c r="AY44" s="302">
        <f t="shared" si="275"/>
        <v>0</v>
      </c>
      <c r="AZ44" s="302">
        <f t="shared" si="275"/>
        <v>0</v>
      </c>
      <c r="BA44" s="302">
        <f t="shared" si="275"/>
        <v>0</v>
      </c>
      <c r="BB44" s="302">
        <f t="shared" si="275"/>
        <v>0</v>
      </c>
      <c r="BC44" s="302">
        <f t="shared" si="275"/>
        <v>0</v>
      </c>
      <c r="BD44" s="302">
        <f t="shared" si="275"/>
        <v>0</v>
      </c>
      <c r="BE44" s="302">
        <f t="shared" si="256"/>
        <v>0</v>
      </c>
      <c r="BF44" s="301">
        <f t="shared" si="274"/>
        <v>0</v>
      </c>
    </row>
    <row r="45" spans="1:58" s="297" customFormat="1" x14ac:dyDescent="0.25">
      <c r="A45" s="297" t="s">
        <v>152</v>
      </c>
      <c r="B45" s="310"/>
      <c r="D45" s="380">
        <v>961.64</v>
      </c>
      <c r="E45" s="247" t="s">
        <v>210</v>
      </c>
      <c r="F45" s="247"/>
      <c r="G45" s="352"/>
      <c r="H45" s="352"/>
      <c r="I45" s="352"/>
      <c r="J45" s="335"/>
      <c r="K45" s="335">
        <v>1</v>
      </c>
      <c r="L45" s="335"/>
      <c r="M45" s="335"/>
      <c r="N45" s="335"/>
      <c r="O45" s="334"/>
      <c r="P45" s="334"/>
      <c r="Q45" s="334"/>
      <c r="R45" s="334"/>
      <c r="S45" s="334"/>
      <c r="T45" s="334"/>
      <c r="U45" s="334"/>
      <c r="V45" s="334"/>
      <c r="W45" s="348">
        <f t="shared" si="16"/>
        <v>1</v>
      </c>
      <c r="X45" s="247"/>
      <c r="Y45" s="247"/>
      <c r="Z45" s="302">
        <f t="shared" ref="Z45" si="313">G45*$D45</f>
        <v>0</v>
      </c>
      <c r="AA45" s="302">
        <f t="shared" ref="AA45" si="314">H45*$D45</f>
        <v>0</v>
      </c>
      <c r="AB45" s="341">
        <f t="shared" ref="AB45" si="315">I45*$D45</f>
        <v>0</v>
      </c>
      <c r="AC45" s="341">
        <f t="shared" ref="AC45" si="316">J45*$D45</f>
        <v>0</v>
      </c>
      <c r="AD45" s="341">
        <f t="shared" ref="AD45" si="317">K45*$D45</f>
        <v>961.64</v>
      </c>
      <c r="AE45" s="341">
        <f t="shared" ref="AE45" si="318">L45*$D45</f>
        <v>0</v>
      </c>
      <c r="AF45" s="341">
        <f t="shared" ref="AF45" si="319">M45*$D45</f>
        <v>0</v>
      </c>
      <c r="AG45" s="341">
        <f t="shared" ref="AG45" si="320">N45*$D45</f>
        <v>0</v>
      </c>
      <c r="AH45" s="302">
        <f t="shared" ref="AH45" si="321">O45*$D45</f>
        <v>0</v>
      </c>
      <c r="AI45" s="302">
        <f t="shared" ref="AI45" si="322">P45*$D45</f>
        <v>0</v>
      </c>
      <c r="AJ45" s="302">
        <f t="shared" ref="AJ45" si="323">Q45*$D45</f>
        <v>0</v>
      </c>
      <c r="AK45" s="302">
        <f t="shared" ref="AK45" si="324">R45*$D45</f>
        <v>0</v>
      </c>
      <c r="AL45" s="302">
        <f t="shared" ref="AL45" si="325">S45*$D45</f>
        <v>0</v>
      </c>
      <c r="AM45" s="302">
        <f t="shared" ref="AM45" si="326">T45*$D45</f>
        <v>0</v>
      </c>
      <c r="AN45" s="302">
        <f t="shared" ref="AN45" si="327">U45*$D45</f>
        <v>0</v>
      </c>
      <c r="AO45" s="302">
        <f t="shared" si="273"/>
        <v>0</v>
      </c>
      <c r="AP45" s="302">
        <f t="shared" si="275"/>
        <v>0</v>
      </c>
      <c r="AQ45" s="302">
        <f t="shared" si="275"/>
        <v>0</v>
      </c>
      <c r="AR45" s="302">
        <f t="shared" si="275"/>
        <v>0</v>
      </c>
      <c r="AS45" s="302">
        <f t="shared" si="275"/>
        <v>0</v>
      </c>
      <c r="AT45" s="302">
        <f t="shared" si="275"/>
        <v>961.64</v>
      </c>
      <c r="AU45" s="302">
        <f t="shared" si="275"/>
        <v>0</v>
      </c>
      <c r="AV45" s="302">
        <f t="shared" si="275"/>
        <v>0</v>
      </c>
      <c r="AW45" s="302">
        <f t="shared" si="275"/>
        <v>0</v>
      </c>
      <c r="AX45" s="302">
        <f t="shared" si="275"/>
        <v>0</v>
      </c>
      <c r="AY45" s="302">
        <f t="shared" si="275"/>
        <v>0</v>
      </c>
      <c r="AZ45" s="302">
        <f t="shared" si="275"/>
        <v>0</v>
      </c>
      <c r="BA45" s="302">
        <f t="shared" si="275"/>
        <v>0</v>
      </c>
      <c r="BB45" s="302">
        <f t="shared" si="275"/>
        <v>0</v>
      </c>
      <c r="BC45" s="302">
        <f t="shared" si="275"/>
        <v>0</v>
      </c>
      <c r="BD45" s="302">
        <f t="shared" si="275"/>
        <v>0</v>
      </c>
      <c r="BE45" s="302">
        <f t="shared" si="256"/>
        <v>0</v>
      </c>
      <c r="BF45" s="301">
        <f t="shared" si="274"/>
        <v>0</v>
      </c>
    </row>
    <row r="46" spans="1:58" x14ac:dyDescent="0.25">
      <c r="A46" t="s">
        <v>153</v>
      </c>
      <c r="B46" s="256"/>
      <c r="C46" s="247"/>
      <c r="D46" s="392">
        <v>13200</v>
      </c>
      <c r="E46" s="247" t="s">
        <v>210</v>
      </c>
      <c r="F46" s="247"/>
      <c r="G46" s="353"/>
      <c r="H46" s="353"/>
      <c r="I46" s="353"/>
      <c r="J46" s="335"/>
      <c r="K46" s="335"/>
      <c r="L46" s="335">
        <v>1</v>
      </c>
      <c r="M46" s="335"/>
      <c r="N46" s="335"/>
      <c r="O46" s="335"/>
      <c r="P46" s="334"/>
      <c r="Q46" s="334"/>
      <c r="R46" s="334"/>
      <c r="S46" s="334"/>
      <c r="T46" s="334"/>
      <c r="U46" s="334"/>
      <c r="V46" s="334"/>
      <c r="W46" s="348">
        <f t="shared" si="16"/>
        <v>1</v>
      </c>
      <c r="X46" s="247"/>
      <c r="Y46" s="247"/>
      <c r="Z46" s="302">
        <f t="shared" si="0"/>
        <v>0</v>
      </c>
      <c r="AA46" s="302">
        <f t="shared" si="1"/>
        <v>0</v>
      </c>
      <c r="AB46" s="302">
        <f t="shared" si="2"/>
        <v>0</v>
      </c>
      <c r="AC46" s="302">
        <f t="shared" si="3"/>
        <v>0</v>
      </c>
      <c r="AD46" s="302">
        <f>K46*$D46</f>
        <v>0</v>
      </c>
      <c r="AE46" s="302">
        <f t="shared" si="35"/>
        <v>13200</v>
      </c>
      <c r="AF46" s="302">
        <f t="shared" si="36"/>
        <v>0</v>
      </c>
      <c r="AG46" s="341">
        <f t="shared" si="37"/>
        <v>0</v>
      </c>
      <c r="AH46" s="302">
        <f t="shared" si="17"/>
        <v>0</v>
      </c>
      <c r="AI46" s="302">
        <f t="shared" si="18"/>
        <v>0</v>
      </c>
      <c r="AJ46" s="302">
        <f t="shared" si="8"/>
        <v>0</v>
      </c>
      <c r="AK46" s="302">
        <f t="shared" si="9"/>
        <v>0</v>
      </c>
      <c r="AL46" s="302">
        <f t="shared" si="10"/>
        <v>0</v>
      </c>
      <c r="AM46" s="302">
        <f t="shared" si="11"/>
        <v>0</v>
      </c>
      <c r="AN46" s="302">
        <f t="shared" si="12"/>
        <v>0</v>
      </c>
      <c r="AO46" s="302">
        <f t="shared" si="273"/>
        <v>0</v>
      </c>
      <c r="AP46" s="302">
        <f t="shared" si="275"/>
        <v>0</v>
      </c>
      <c r="AQ46" s="302">
        <f t="shared" si="275"/>
        <v>0</v>
      </c>
      <c r="AR46" s="302">
        <f t="shared" si="275"/>
        <v>0</v>
      </c>
      <c r="AS46" s="302">
        <f t="shared" si="275"/>
        <v>0</v>
      </c>
      <c r="AT46" s="302">
        <f t="shared" si="275"/>
        <v>13200</v>
      </c>
      <c r="AU46" s="302">
        <f t="shared" si="275"/>
        <v>0</v>
      </c>
      <c r="AV46" s="302">
        <f t="shared" si="275"/>
        <v>0</v>
      </c>
      <c r="AW46" s="302">
        <f t="shared" si="275"/>
        <v>0</v>
      </c>
      <c r="AX46" s="302">
        <f t="shared" si="275"/>
        <v>0</v>
      </c>
      <c r="AY46" s="302">
        <f t="shared" si="275"/>
        <v>0</v>
      </c>
      <c r="AZ46" s="302">
        <f t="shared" si="275"/>
        <v>0</v>
      </c>
      <c r="BA46" s="302">
        <f t="shared" si="275"/>
        <v>0</v>
      </c>
      <c r="BB46" s="302">
        <f t="shared" si="275"/>
        <v>0</v>
      </c>
      <c r="BC46" s="302">
        <f t="shared" si="275"/>
        <v>0</v>
      </c>
      <c r="BD46" s="302">
        <f t="shared" si="275"/>
        <v>0</v>
      </c>
      <c r="BE46" s="302">
        <f t="shared" si="256"/>
        <v>0</v>
      </c>
      <c r="BF46" s="301">
        <f t="shared" si="274"/>
        <v>0</v>
      </c>
    </row>
    <row r="47" spans="1:58" x14ac:dyDescent="0.25">
      <c r="A47" t="s">
        <v>153</v>
      </c>
      <c r="B47" s="256"/>
      <c r="C47" s="247"/>
      <c r="D47" s="392">
        <v>50000</v>
      </c>
      <c r="E47" s="247" t="s">
        <v>195</v>
      </c>
      <c r="F47" s="247"/>
      <c r="G47" s="352"/>
      <c r="H47" s="352"/>
      <c r="I47" s="352"/>
      <c r="J47" s="334"/>
      <c r="K47" s="334"/>
      <c r="L47" s="334"/>
      <c r="M47" s="344">
        <v>0</v>
      </c>
      <c r="N47" s="335">
        <v>0.86232620000000004</v>
      </c>
      <c r="O47" s="344">
        <v>0</v>
      </c>
      <c r="P47" s="344">
        <v>0.13767380000000001</v>
      </c>
      <c r="Q47" s="344">
        <v>0</v>
      </c>
      <c r="R47" s="335"/>
      <c r="S47" s="335"/>
      <c r="T47" s="335"/>
      <c r="U47" s="335"/>
      <c r="V47" s="335"/>
      <c r="W47" s="348">
        <f t="shared" si="16"/>
        <v>1</v>
      </c>
      <c r="X47" s="247"/>
      <c r="Y47" s="247"/>
      <c r="Z47" s="302">
        <f t="shared" si="0"/>
        <v>0</v>
      </c>
      <c r="AA47" s="302">
        <f t="shared" si="1"/>
        <v>0</v>
      </c>
      <c r="AB47" s="302">
        <f t="shared" si="2"/>
        <v>0</v>
      </c>
      <c r="AC47" s="302">
        <f t="shared" si="3"/>
        <v>0</v>
      </c>
      <c r="AD47" s="302">
        <f>K47*$D47</f>
        <v>0</v>
      </c>
      <c r="AE47" s="302">
        <f t="shared" si="35"/>
        <v>0</v>
      </c>
      <c r="AF47" s="302">
        <f t="shared" si="36"/>
        <v>0</v>
      </c>
      <c r="AG47" s="341">
        <f t="shared" si="37"/>
        <v>43116.310000000005</v>
      </c>
      <c r="AH47" s="341">
        <f t="shared" si="17"/>
        <v>0</v>
      </c>
      <c r="AI47" s="341">
        <f t="shared" si="18"/>
        <v>6883.6900000000005</v>
      </c>
      <c r="AJ47" s="302">
        <f t="shared" si="8"/>
        <v>0</v>
      </c>
      <c r="AK47" s="302">
        <f t="shared" si="9"/>
        <v>0</v>
      </c>
      <c r="AL47" s="302">
        <f t="shared" si="10"/>
        <v>0</v>
      </c>
      <c r="AM47" s="302">
        <f t="shared" si="11"/>
        <v>0</v>
      </c>
      <c r="AN47" s="302">
        <f t="shared" si="12"/>
        <v>0</v>
      </c>
      <c r="AO47" s="302">
        <f t="shared" si="273"/>
        <v>0</v>
      </c>
      <c r="AP47" s="302">
        <f t="shared" si="275"/>
        <v>0</v>
      </c>
      <c r="AQ47" s="302">
        <f t="shared" si="275"/>
        <v>0</v>
      </c>
      <c r="AR47" s="302">
        <f t="shared" si="275"/>
        <v>0</v>
      </c>
      <c r="AS47" s="302">
        <f t="shared" si="275"/>
        <v>0</v>
      </c>
      <c r="AT47" s="302">
        <f t="shared" si="275"/>
        <v>0</v>
      </c>
      <c r="AU47" s="302">
        <f t="shared" si="275"/>
        <v>0</v>
      </c>
      <c r="AV47" s="302">
        <f t="shared" si="275"/>
        <v>50000</v>
      </c>
      <c r="AW47" s="302">
        <f t="shared" si="275"/>
        <v>0</v>
      </c>
      <c r="AX47" s="302">
        <f t="shared" si="275"/>
        <v>0</v>
      </c>
      <c r="AY47" s="302">
        <f t="shared" si="275"/>
        <v>0</v>
      </c>
      <c r="AZ47" s="302">
        <f t="shared" si="275"/>
        <v>0</v>
      </c>
      <c r="BA47" s="302">
        <f t="shared" si="275"/>
        <v>0</v>
      </c>
      <c r="BB47" s="302">
        <f t="shared" si="275"/>
        <v>0</v>
      </c>
      <c r="BC47" s="302">
        <f t="shared" si="275"/>
        <v>0</v>
      </c>
      <c r="BD47" s="302">
        <f t="shared" si="275"/>
        <v>0</v>
      </c>
      <c r="BE47" s="302">
        <f t="shared" si="256"/>
        <v>0</v>
      </c>
      <c r="BF47" s="301">
        <f t="shared" si="274"/>
        <v>0</v>
      </c>
    </row>
    <row r="48" spans="1:58" s="297" customFormat="1" x14ac:dyDescent="0.25">
      <c r="A48" s="297" t="s">
        <v>153</v>
      </c>
      <c r="B48" s="256"/>
      <c r="C48" s="247"/>
      <c r="D48" s="392">
        <v>45000</v>
      </c>
      <c r="E48" s="247" t="s">
        <v>195</v>
      </c>
      <c r="F48" s="247"/>
      <c r="G48" s="352"/>
      <c r="H48" s="352"/>
      <c r="I48" s="352"/>
      <c r="J48" s="334"/>
      <c r="K48" s="334"/>
      <c r="L48" s="334"/>
      <c r="M48" s="344">
        <v>0</v>
      </c>
      <c r="N48" s="335">
        <v>0</v>
      </c>
      <c r="O48" s="344">
        <v>0.8</v>
      </c>
      <c r="P48" s="344">
        <v>0.2</v>
      </c>
      <c r="Q48" s="344">
        <v>0</v>
      </c>
      <c r="R48" s="335"/>
      <c r="S48" s="335"/>
      <c r="T48" s="335"/>
      <c r="U48" s="335"/>
      <c r="V48" s="335"/>
      <c r="W48" s="348">
        <f t="shared" si="16"/>
        <v>1</v>
      </c>
      <c r="X48" s="247"/>
      <c r="Y48" s="247"/>
      <c r="Z48" s="302">
        <f t="shared" ref="Z48:Z50" si="328">G48*$D48</f>
        <v>0</v>
      </c>
      <c r="AA48" s="302">
        <f t="shared" ref="AA48:AA50" si="329">H48*$D48</f>
        <v>0</v>
      </c>
      <c r="AB48" s="302">
        <f t="shared" ref="AB48:AB50" si="330">I48*$D48</f>
        <v>0</v>
      </c>
      <c r="AC48" s="302">
        <f t="shared" ref="AC48:AC50" si="331">J48*$D48</f>
        <v>0</v>
      </c>
      <c r="AD48" s="302">
        <f t="shared" ref="AD48:AD50" si="332">K48*$D48</f>
        <v>0</v>
      </c>
      <c r="AE48" s="302">
        <f t="shared" ref="AE48:AE50" si="333">L48*$D48</f>
        <v>0</v>
      </c>
      <c r="AF48" s="302">
        <f t="shared" ref="AF48:AF50" si="334">M48*$D48</f>
        <v>0</v>
      </c>
      <c r="AG48" s="341">
        <f t="shared" ref="AG48:AG50" si="335">N48*$D48</f>
        <v>0</v>
      </c>
      <c r="AH48" s="302">
        <f t="shared" ref="AH48:AH50" si="336">O48*$D48</f>
        <v>36000</v>
      </c>
      <c r="AI48" s="302">
        <f t="shared" ref="AI48:AI50" si="337">P48*$D48</f>
        <v>9000</v>
      </c>
      <c r="AJ48" s="302">
        <f t="shared" ref="AJ48:AJ50" si="338">Q48*$D48</f>
        <v>0</v>
      </c>
      <c r="AK48" s="302">
        <f t="shared" ref="AK48:AK50" si="339">R48*$D48</f>
        <v>0</v>
      </c>
      <c r="AL48" s="302">
        <f t="shared" ref="AL48:AL50" si="340">S48*$D48</f>
        <v>0</v>
      </c>
      <c r="AM48" s="302">
        <f t="shared" ref="AM48:AM50" si="341">T48*$D48</f>
        <v>0</v>
      </c>
      <c r="AN48" s="302">
        <f t="shared" ref="AN48:AN50" si="342">U48*$D48</f>
        <v>0</v>
      </c>
      <c r="AO48" s="302">
        <f t="shared" si="273"/>
        <v>0</v>
      </c>
      <c r="AP48" s="302">
        <f t="shared" si="275"/>
        <v>0</v>
      </c>
      <c r="AQ48" s="302">
        <f t="shared" si="275"/>
        <v>0</v>
      </c>
      <c r="AR48" s="302">
        <f t="shared" si="275"/>
        <v>0</v>
      </c>
      <c r="AS48" s="302">
        <f t="shared" si="275"/>
        <v>0</v>
      </c>
      <c r="AT48" s="302">
        <f t="shared" si="275"/>
        <v>0</v>
      </c>
      <c r="AU48" s="302">
        <f t="shared" si="275"/>
        <v>0</v>
      </c>
      <c r="AV48" s="302">
        <f t="shared" si="275"/>
        <v>45000</v>
      </c>
      <c r="AW48" s="302">
        <f t="shared" si="275"/>
        <v>0</v>
      </c>
      <c r="AX48" s="302">
        <f t="shared" si="275"/>
        <v>0</v>
      </c>
      <c r="AY48" s="302">
        <f t="shared" si="275"/>
        <v>0</v>
      </c>
      <c r="AZ48" s="302">
        <f t="shared" si="275"/>
        <v>0</v>
      </c>
      <c r="BA48" s="302">
        <f t="shared" si="275"/>
        <v>0</v>
      </c>
      <c r="BB48" s="302">
        <f t="shared" si="275"/>
        <v>0</v>
      </c>
      <c r="BC48" s="302">
        <f t="shared" si="275"/>
        <v>0</v>
      </c>
      <c r="BD48" s="302">
        <f t="shared" si="275"/>
        <v>0</v>
      </c>
      <c r="BE48" s="302">
        <f t="shared" si="256"/>
        <v>0</v>
      </c>
      <c r="BF48" s="301">
        <f t="shared" si="274"/>
        <v>0</v>
      </c>
    </row>
    <row r="49" spans="1:58" s="297" customFormat="1" x14ac:dyDescent="0.25">
      <c r="A49" s="297" t="s">
        <v>153</v>
      </c>
      <c r="B49" s="256"/>
      <c r="C49" s="247"/>
      <c r="D49" s="392">
        <v>66139.19</v>
      </c>
      <c r="E49" s="247" t="s">
        <v>235</v>
      </c>
      <c r="F49" s="247"/>
      <c r="G49" s="352"/>
      <c r="H49" s="352"/>
      <c r="I49" s="352"/>
      <c r="J49" s="334"/>
      <c r="K49" s="334"/>
      <c r="L49" s="334"/>
      <c r="M49" s="344">
        <v>0</v>
      </c>
      <c r="N49" s="335">
        <v>0</v>
      </c>
      <c r="O49" s="344">
        <v>1</v>
      </c>
      <c r="P49" s="344">
        <v>0</v>
      </c>
      <c r="Q49" s="344">
        <v>0</v>
      </c>
      <c r="R49" s="335"/>
      <c r="S49" s="335"/>
      <c r="T49" s="335"/>
      <c r="U49" s="335"/>
      <c r="V49" s="335"/>
      <c r="W49" s="348">
        <f t="shared" si="16"/>
        <v>1</v>
      </c>
      <c r="X49" s="247"/>
      <c r="Y49" s="247"/>
      <c r="Z49" s="302">
        <f t="shared" si="328"/>
        <v>0</v>
      </c>
      <c r="AA49" s="302">
        <f t="shared" si="329"/>
        <v>0</v>
      </c>
      <c r="AB49" s="302">
        <f t="shared" si="330"/>
        <v>0</v>
      </c>
      <c r="AC49" s="302">
        <f t="shared" si="331"/>
        <v>0</v>
      </c>
      <c r="AD49" s="302">
        <f t="shared" si="332"/>
        <v>0</v>
      </c>
      <c r="AE49" s="302">
        <f t="shared" si="333"/>
        <v>0</v>
      </c>
      <c r="AF49" s="302">
        <f t="shared" si="334"/>
        <v>0</v>
      </c>
      <c r="AG49" s="341">
        <f t="shared" si="335"/>
        <v>0</v>
      </c>
      <c r="AH49" s="302">
        <f t="shared" si="336"/>
        <v>66139.19</v>
      </c>
      <c r="AI49" s="302">
        <f t="shared" si="337"/>
        <v>0</v>
      </c>
      <c r="AJ49" s="302">
        <f t="shared" si="338"/>
        <v>0</v>
      </c>
      <c r="AK49" s="302">
        <f t="shared" si="339"/>
        <v>0</v>
      </c>
      <c r="AL49" s="302">
        <f t="shared" si="340"/>
        <v>0</v>
      </c>
      <c r="AM49" s="302">
        <f t="shared" si="341"/>
        <v>0</v>
      </c>
      <c r="AN49" s="302">
        <f t="shared" si="342"/>
        <v>0</v>
      </c>
      <c r="AO49" s="302">
        <f t="shared" si="273"/>
        <v>0</v>
      </c>
      <c r="AP49" s="302">
        <f t="shared" ref="AP49:BE50" si="343">IF(AP$3=$E49,$D49,0)</f>
        <v>0</v>
      </c>
      <c r="AQ49" s="302">
        <f t="shared" si="343"/>
        <v>0</v>
      </c>
      <c r="AR49" s="302">
        <f t="shared" si="343"/>
        <v>0</v>
      </c>
      <c r="AS49" s="302">
        <f t="shared" si="343"/>
        <v>0</v>
      </c>
      <c r="AT49" s="302">
        <f t="shared" si="343"/>
        <v>0</v>
      </c>
      <c r="AU49" s="302">
        <f t="shared" si="343"/>
        <v>0</v>
      </c>
      <c r="AV49" s="302">
        <f t="shared" si="343"/>
        <v>0</v>
      </c>
      <c r="AW49" s="302">
        <f t="shared" si="343"/>
        <v>66139.19</v>
      </c>
      <c r="AX49" s="302">
        <f t="shared" si="343"/>
        <v>0</v>
      </c>
      <c r="AY49" s="302">
        <f t="shared" si="343"/>
        <v>0</v>
      </c>
      <c r="AZ49" s="302">
        <f t="shared" si="343"/>
        <v>0</v>
      </c>
      <c r="BA49" s="302">
        <f t="shared" si="343"/>
        <v>0</v>
      </c>
      <c r="BB49" s="302">
        <f t="shared" si="343"/>
        <v>0</v>
      </c>
      <c r="BC49" s="302">
        <f t="shared" si="343"/>
        <v>0</v>
      </c>
      <c r="BD49" s="302">
        <f t="shared" si="343"/>
        <v>0</v>
      </c>
      <c r="BE49" s="302">
        <f t="shared" si="343"/>
        <v>0</v>
      </c>
      <c r="BF49" s="301">
        <f t="shared" si="274"/>
        <v>0</v>
      </c>
    </row>
    <row r="50" spans="1:58" s="297" customFormat="1" x14ac:dyDescent="0.25">
      <c r="A50" s="297" t="s">
        <v>153</v>
      </c>
      <c r="B50" s="256"/>
      <c r="C50" s="247"/>
      <c r="D50" s="392">
        <v>7848.12</v>
      </c>
      <c r="E50" s="247" t="s">
        <v>235</v>
      </c>
      <c r="F50" s="247"/>
      <c r="G50" s="352"/>
      <c r="H50" s="352"/>
      <c r="I50" s="352"/>
      <c r="J50" s="334"/>
      <c r="K50" s="334"/>
      <c r="L50" s="334"/>
      <c r="M50" s="344">
        <v>0</v>
      </c>
      <c r="N50" s="335">
        <v>0</v>
      </c>
      <c r="O50" s="344">
        <v>1</v>
      </c>
      <c r="P50" s="344">
        <v>0</v>
      </c>
      <c r="Q50" s="344">
        <v>0</v>
      </c>
      <c r="R50" s="335"/>
      <c r="S50" s="335"/>
      <c r="T50" s="335"/>
      <c r="U50" s="335"/>
      <c r="V50" s="335"/>
      <c r="W50" s="348">
        <f t="shared" si="16"/>
        <v>1</v>
      </c>
      <c r="X50" s="247"/>
      <c r="Y50" s="247"/>
      <c r="Z50" s="302">
        <f t="shared" si="328"/>
        <v>0</v>
      </c>
      <c r="AA50" s="302">
        <f t="shared" si="329"/>
        <v>0</v>
      </c>
      <c r="AB50" s="302">
        <f t="shared" si="330"/>
        <v>0</v>
      </c>
      <c r="AC50" s="302">
        <f t="shared" si="331"/>
        <v>0</v>
      </c>
      <c r="AD50" s="302">
        <f t="shared" si="332"/>
        <v>0</v>
      </c>
      <c r="AE50" s="302">
        <f t="shared" si="333"/>
        <v>0</v>
      </c>
      <c r="AF50" s="302">
        <f t="shared" si="334"/>
        <v>0</v>
      </c>
      <c r="AG50" s="341">
        <f t="shared" si="335"/>
        <v>0</v>
      </c>
      <c r="AH50" s="341">
        <f t="shared" si="336"/>
        <v>7848.12</v>
      </c>
      <c r="AI50" s="302">
        <f t="shared" si="337"/>
        <v>0</v>
      </c>
      <c r="AJ50" s="302">
        <f t="shared" si="338"/>
        <v>0</v>
      </c>
      <c r="AK50" s="302">
        <f t="shared" si="339"/>
        <v>0</v>
      </c>
      <c r="AL50" s="302">
        <f t="shared" si="340"/>
        <v>0</v>
      </c>
      <c r="AM50" s="302">
        <f t="shared" si="341"/>
        <v>0</v>
      </c>
      <c r="AN50" s="302">
        <f t="shared" si="342"/>
        <v>0</v>
      </c>
      <c r="AO50" s="302">
        <f t="shared" si="273"/>
        <v>0</v>
      </c>
      <c r="AP50" s="302">
        <f t="shared" si="343"/>
        <v>0</v>
      </c>
      <c r="AQ50" s="302">
        <f t="shared" si="343"/>
        <v>0</v>
      </c>
      <c r="AR50" s="302">
        <f t="shared" si="343"/>
        <v>0</v>
      </c>
      <c r="AS50" s="302">
        <f t="shared" si="343"/>
        <v>0</v>
      </c>
      <c r="AT50" s="302">
        <f t="shared" si="343"/>
        <v>0</v>
      </c>
      <c r="AU50" s="302">
        <f t="shared" si="343"/>
        <v>0</v>
      </c>
      <c r="AV50" s="302">
        <f t="shared" si="343"/>
        <v>0</v>
      </c>
      <c r="AW50" s="341">
        <f t="shared" si="343"/>
        <v>7848.12</v>
      </c>
      <c r="AX50" s="302">
        <f t="shared" si="343"/>
        <v>0</v>
      </c>
      <c r="AY50" s="302">
        <f t="shared" si="343"/>
        <v>0</v>
      </c>
      <c r="AZ50" s="302">
        <f t="shared" si="343"/>
        <v>0</v>
      </c>
      <c r="BA50" s="302">
        <f t="shared" si="343"/>
        <v>0</v>
      </c>
      <c r="BB50" s="302">
        <f t="shared" si="343"/>
        <v>0</v>
      </c>
      <c r="BC50" s="302">
        <f t="shared" si="343"/>
        <v>0</v>
      </c>
      <c r="BD50" s="302">
        <f t="shared" si="343"/>
        <v>0</v>
      </c>
      <c r="BE50" s="302">
        <f t="shared" si="343"/>
        <v>0</v>
      </c>
      <c r="BF50" s="301">
        <f t="shared" si="274"/>
        <v>0</v>
      </c>
    </row>
    <row r="51" spans="1:58" x14ac:dyDescent="0.25">
      <c r="A51" t="s">
        <v>153</v>
      </c>
      <c r="B51" s="256"/>
      <c r="C51" s="297"/>
      <c r="D51" s="380">
        <v>8100</v>
      </c>
      <c r="E51" s="247" t="s">
        <v>213</v>
      </c>
      <c r="F51" s="247"/>
      <c r="G51" s="353"/>
      <c r="H51" s="353"/>
      <c r="I51" s="353"/>
      <c r="J51" s="335">
        <v>0</v>
      </c>
      <c r="K51" s="335">
        <v>0.41666666667000002</v>
      </c>
      <c r="L51" s="335">
        <v>0.58333333333333004</v>
      </c>
      <c r="M51" s="334"/>
      <c r="N51" s="334"/>
      <c r="O51" s="334"/>
      <c r="P51" s="334"/>
      <c r="Q51" s="334"/>
      <c r="R51" s="335"/>
      <c r="S51" s="335"/>
      <c r="T51" s="335"/>
      <c r="U51" s="335"/>
      <c r="V51" s="335"/>
      <c r="W51" s="348">
        <f t="shared" si="16"/>
        <v>1.00000000000333</v>
      </c>
      <c r="X51" s="247"/>
      <c r="Y51" s="247"/>
      <c r="Z51" s="302">
        <f t="shared" si="0"/>
        <v>0</v>
      </c>
      <c r="AA51" s="302">
        <f t="shared" si="1"/>
        <v>0</v>
      </c>
      <c r="AB51" s="302">
        <f t="shared" si="2"/>
        <v>0</v>
      </c>
      <c r="AC51" s="302">
        <f t="shared" si="3"/>
        <v>0</v>
      </c>
      <c r="AD51" s="302">
        <f t="shared" ref="AD51:AD58" si="344">K51*$D51</f>
        <v>3375.0000000270002</v>
      </c>
      <c r="AE51" s="302">
        <f t="shared" si="35"/>
        <v>4724.9999999999736</v>
      </c>
      <c r="AF51" s="302">
        <f t="shared" si="36"/>
        <v>0</v>
      </c>
      <c r="AG51" s="341">
        <f t="shared" si="37"/>
        <v>0</v>
      </c>
      <c r="AH51" s="302">
        <f t="shared" si="17"/>
        <v>0</v>
      </c>
      <c r="AI51" s="302">
        <f t="shared" si="18"/>
        <v>0</v>
      </c>
      <c r="AJ51" s="302">
        <f t="shared" si="8"/>
        <v>0</v>
      </c>
      <c r="AK51" s="302">
        <f t="shared" si="9"/>
        <v>0</v>
      </c>
      <c r="AL51" s="302">
        <f t="shared" si="10"/>
        <v>0</v>
      </c>
      <c r="AM51" s="302">
        <f t="shared" si="11"/>
        <v>0</v>
      </c>
      <c r="AN51" s="302">
        <f t="shared" si="12"/>
        <v>0</v>
      </c>
      <c r="AO51" s="302">
        <f t="shared" si="273"/>
        <v>0</v>
      </c>
      <c r="AP51" s="302">
        <f t="shared" si="275"/>
        <v>0</v>
      </c>
      <c r="AQ51" s="302">
        <f t="shared" si="275"/>
        <v>0</v>
      </c>
      <c r="AR51" s="302">
        <f t="shared" si="275"/>
        <v>0</v>
      </c>
      <c r="AS51" s="302">
        <f t="shared" si="275"/>
        <v>8100</v>
      </c>
      <c r="AT51" s="302">
        <f t="shared" si="275"/>
        <v>0</v>
      </c>
      <c r="AU51" s="302">
        <f t="shared" si="275"/>
        <v>0</v>
      </c>
      <c r="AV51" s="302">
        <f t="shared" si="275"/>
        <v>0</v>
      </c>
      <c r="AW51" s="302">
        <f t="shared" si="275"/>
        <v>0</v>
      </c>
      <c r="AX51" s="302">
        <f t="shared" si="275"/>
        <v>0</v>
      </c>
      <c r="AY51" s="302">
        <f t="shared" si="275"/>
        <v>0</v>
      </c>
      <c r="AZ51" s="302">
        <f t="shared" si="275"/>
        <v>0</v>
      </c>
      <c r="BA51" s="302">
        <f t="shared" si="275"/>
        <v>0</v>
      </c>
      <c r="BB51" s="302">
        <f t="shared" si="275"/>
        <v>0</v>
      </c>
      <c r="BC51" s="302">
        <f t="shared" si="275"/>
        <v>0</v>
      </c>
      <c r="BD51" s="302">
        <f t="shared" ref="BD51:BE73" si="345">IF(BD$3=$E51,$D51,0)</f>
        <v>0</v>
      </c>
      <c r="BE51" s="302">
        <f t="shared" si="345"/>
        <v>0</v>
      </c>
      <c r="BF51" s="301">
        <f t="shared" si="274"/>
        <v>2.6973793865181506E-8</v>
      </c>
    </row>
    <row r="52" spans="1:58" x14ac:dyDescent="0.25">
      <c r="A52" t="s">
        <v>153</v>
      </c>
      <c r="B52" s="256"/>
      <c r="C52" s="297"/>
      <c r="D52" s="380">
        <v>18700</v>
      </c>
      <c r="E52" s="247" t="s">
        <v>213</v>
      </c>
      <c r="F52" s="247"/>
      <c r="G52" s="353"/>
      <c r="H52" s="353"/>
      <c r="I52" s="353"/>
      <c r="J52" s="335">
        <v>0</v>
      </c>
      <c r="K52" s="335">
        <v>0.36363636363599999</v>
      </c>
      <c r="L52" s="335">
        <v>0.63636363636299997</v>
      </c>
      <c r="M52" s="334"/>
      <c r="N52" s="334"/>
      <c r="O52" s="334"/>
      <c r="P52" s="334"/>
      <c r="Q52" s="334"/>
      <c r="R52" s="335"/>
      <c r="S52" s="335"/>
      <c r="T52" s="335"/>
      <c r="U52" s="335"/>
      <c r="V52" s="335"/>
      <c r="W52" s="348">
        <f t="shared" si="16"/>
        <v>0.99999999999899991</v>
      </c>
      <c r="X52" s="247"/>
      <c r="Y52" s="247"/>
      <c r="Z52" s="302">
        <f t="shared" si="0"/>
        <v>0</v>
      </c>
      <c r="AA52" s="302">
        <f t="shared" si="1"/>
        <v>0</v>
      </c>
      <c r="AB52" s="302">
        <f t="shared" si="2"/>
        <v>0</v>
      </c>
      <c r="AC52" s="302">
        <f t="shared" si="3"/>
        <v>0</v>
      </c>
      <c r="AD52" s="302">
        <f t="shared" si="344"/>
        <v>6799.9999999931997</v>
      </c>
      <c r="AE52" s="302">
        <f t="shared" si="35"/>
        <v>11899.9999999881</v>
      </c>
      <c r="AF52" s="302">
        <f t="shared" si="36"/>
        <v>0</v>
      </c>
      <c r="AG52" s="341">
        <f t="shared" si="37"/>
        <v>0</v>
      </c>
      <c r="AH52" s="302">
        <f t="shared" si="17"/>
        <v>0</v>
      </c>
      <c r="AI52" s="302">
        <f t="shared" si="18"/>
        <v>0</v>
      </c>
      <c r="AJ52" s="302">
        <f t="shared" si="8"/>
        <v>0</v>
      </c>
      <c r="AK52" s="302">
        <f t="shared" si="9"/>
        <v>0</v>
      </c>
      <c r="AL52" s="302">
        <f t="shared" si="10"/>
        <v>0</v>
      </c>
      <c r="AM52" s="302">
        <f t="shared" si="11"/>
        <v>0</v>
      </c>
      <c r="AN52" s="302">
        <f t="shared" si="12"/>
        <v>0</v>
      </c>
      <c r="AO52" s="302">
        <f t="shared" si="273"/>
        <v>0</v>
      </c>
      <c r="AP52" s="302">
        <f t="shared" si="275"/>
        <v>0</v>
      </c>
      <c r="AQ52" s="302">
        <f t="shared" si="275"/>
        <v>0</v>
      </c>
      <c r="AR52" s="302">
        <f t="shared" si="275"/>
        <v>0</v>
      </c>
      <c r="AS52" s="302">
        <f t="shared" si="275"/>
        <v>18700</v>
      </c>
      <c r="AT52" s="302">
        <f t="shared" si="275"/>
        <v>0</v>
      </c>
      <c r="AU52" s="302">
        <f t="shared" si="275"/>
        <v>0</v>
      </c>
      <c r="AV52" s="302">
        <f t="shared" si="275"/>
        <v>0</v>
      </c>
      <c r="AW52" s="302">
        <f t="shared" si="275"/>
        <v>0</v>
      </c>
      <c r="AX52" s="302">
        <f t="shared" si="275"/>
        <v>0</v>
      </c>
      <c r="AY52" s="302">
        <f t="shared" si="275"/>
        <v>0</v>
      </c>
      <c r="AZ52" s="302">
        <f t="shared" si="275"/>
        <v>0</v>
      </c>
      <c r="BA52" s="302">
        <f t="shared" si="275"/>
        <v>0</v>
      </c>
      <c r="BB52" s="302">
        <f t="shared" si="275"/>
        <v>0</v>
      </c>
      <c r="BC52" s="302">
        <f t="shared" si="275"/>
        <v>0</v>
      </c>
      <c r="BD52" s="302">
        <f t="shared" si="345"/>
        <v>0</v>
      </c>
      <c r="BE52" s="302">
        <f t="shared" si="345"/>
        <v>0</v>
      </c>
      <c r="BF52" s="301">
        <f t="shared" si="274"/>
        <v>-1.8699211068451405E-8</v>
      </c>
    </row>
    <row r="53" spans="1:58" ht="14.45" customHeight="1" x14ac:dyDescent="0.25">
      <c r="A53" t="s">
        <v>153</v>
      </c>
      <c r="B53" s="256"/>
      <c r="C53" s="297"/>
      <c r="D53" s="380">
        <v>8000</v>
      </c>
      <c r="E53" s="247" t="s">
        <v>181</v>
      </c>
      <c r="F53" s="247"/>
      <c r="G53" s="353"/>
      <c r="H53" s="353"/>
      <c r="I53" s="353"/>
      <c r="J53" s="335">
        <v>0.5</v>
      </c>
      <c r="K53" s="335">
        <v>0.5</v>
      </c>
      <c r="L53" s="334"/>
      <c r="M53" s="334"/>
      <c r="N53" s="334"/>
      <c r="O53" s="334"/>
      <c r="P53" s="334"/>
      <c r="Q53" s="334"/>
      <c r="R53" s="335"/>
      <c r="S53" s="335"/>
      <c r="T53" s="335"/>
      <c r="U53" s="335"/>
      <c r="V53" s="335"/>
      <c r="W53" s="348">
        <f t="shared" si="16"/>
        <v>1</v>
      </c>
      <c r="X53" s="247"/>
      <c r="Y53" s="247"/>
      <c r="Z53" s="302">
        <f t="shared" si="0"/>
        <v>0</v>
      </c>
      <c r="AA53" s="302">
        <f t="shared" si="1"/>
        <v>0</v>
      </c>
      <c r="AB53" s="302">
        <f t="shared" si="2"/>
        <v>0</v>
      </c>
      <c r="AC53" s="302">
        <f t="shared" si="3"/>
        <v>4000</v>
      </c>
      <c r="AD53" s="302">
        <f t="shared" si="344"/>
        <v>4000</v>
      </c>
      <c r="AE53" s="302">
        <f t="shared" si="35"/>
        <v>0</v>
      </c>
      <c r="AF53" s="302">
        <f t="shared" si="36"/>
        <v>0</v>
      </c>
      <c r="AG53" s="341">
        <f t="shared" si="37"/>
        <v>0</v>
      </c>
      <c r="AH53" s="302">
        <f t="shared" si="17"/>
        <v>0</v>
      </c>
      <c r="AI53" s="302">
        <f t="shared" si="18"/>
        <v>0</v>
      </c>
      <c r="AJ53" s="302">
        <f t="shared" si="8"/>
        <v>0</v>
      </c>
      <c r="AK53" s="302">
        <f t="shared" si="9"/>
        <v>0</v>
      </c>
      <c r="AL53" s="302">
        <f t="shared" si="10"/>
        <v>0</v>
      </c>
      <c r="AM53" s="302">
        <f t="shared" si="11"/>
        <v>0</v>
      </c>
      <c r="AN53" s="302">
        <f t="shared" si="12"/>
        <v>0</v>
      </c>
      <c r="AO53" s="302">
        <f t="shared" si="273"/>
        <v>0</v>
      </c>
      <c r="AP53" s="302">
        <f t="shared" si="275"/>
        <v>0</v>
      </c>
      <c r="AQ53" s="302">
        <f t="shared" si="275"/>
        <v>0</v>
      </c>
      <c r="AR53" s="302">
        <f t="shared" si="275"/>
        <v>8000</v>
      </c>
      <c r="AS53" s="302">
        <f t="shared" si="275"/>
        <v>0</v>
      </c>
      <c r="AT53" s="302">
        <f t="shared" si="275"/>
        <v>0</v>
      </c>
      <c r="AU53" s="302">
        <f t="shared" si="275"/>
        <v>0</v>
      </c>
      <c r="AV53" s="302">
        <f t="shared" si="275"/>
        <v>0</v>
      </c>
      <c r="AW53" s="302">
        <f t="shared" si="275"/>
        <v>0</v>
      </c>
      <c r="AX53" s="302">
        <f t="shared" si="275"/>
        <v>0</v>
      </c>
      <c r="AY53" s="302">
        <f t="shared" si="275"/>
        <v>0</v>
      </c>
      <c r="AZ53" s="302">
        <f t="shared" si="275"/>
        <v>0</v>
      </c>
      <c r="BA53" s="302">
        <f t="shared" si="275"/>
        <v>0</v>
      </c>
      <c r="BB53" s="302">
        <f t="shared" si="275"/>
        <v>0</v>
      </c>
      <c r="BC53" s="302">
        <f t="shared" si="275"/>
        <v>0</v>
      </c>
      <c r="BD53" s="302">
        <f t="shared" si="345"/>
        <v>0</v>
      </c>
      <c r="BE53" s="302">
        <f t="shared" si="345"/>
        <v>0</v>
      </c>
      <c r="BF53" s="301">
        <f t="shared" si="274"/>
        <v>0</v>
      </c>
    </row>
    <row r="54" spans="1:58" ht="14.45" customHeight="1" x14ac:dyDescent="0.25">
      <c r="A54" t="s">
        <v>153</v>
      </c>
      <c r="B54" s="256"/>
      <c r="C54" s="297"/>
      <c r="D54" s="380">
        <v>52000</v>
      </c>
      <c r="E54" s="247" t="s">
        <v>181</v>
      </c>
      <c r="F54" s="247"/>
      <c r="G54" s="366"/>
      <c r="H54" s="366"/>
      <c r="I54" s="366"/>
      <c r="J54" s="337">
        <v>0.115384615384615</v>
      </c>
      <c r="K54" s="337">
        <v>0.115384615384615</v>
      </c>
      <c r="L54" s="337">
        <v>0.115384615384615</v>
      </c>
      <c r="M54" s="337">
        <v>0.115384615384615</v>
      </c>
      <c r="N54" s="337">
        <v>0.115384615384615</v>
      </c>
      <c r="O54" s="337">
        <v>0.115384615384615</v>
      </c>
      <c r="P54" s="337">
        <v>0.115384615384615</v>
      </c>
      <c r="Q54" s="337">
        <v>0.115384615384615</v>
      </c>
      <c r="R54" s="337">
        <v>7.69230769230769E-2</v>
      </c>
      <c r="S54" s="337">
        <v>0</v>
      </c>
      <c r="T54" s="337">
        <v>0</v>
      </c>
      <c r="U54" s="337">
        <v>0</v>
      </c>
      <c r="V54" s="337"/>
      <c r="W54" s="348">
        <f t="shared" si="16"/>
        <v>0.99999999999999678</v>
      </c>
      <c r="X54" s="247"/>
      <c r="Y54" s="247"/>
      <c r="Z54" s="302">
        <f t="shared" si="0"/>
        <v>0</v>
      </c>
      <c r="AA54" s="302">
        <f t="shared" si="1"/>
        <v>0</v>
      </c>
      <c r="AB54" s="302">
        <f t="shared" si="2"/>
        <v>0</v>
      </c>
      <c r="AC54" s="302">
        <f t="shared" si="3"/>
        <v>5999.99999999998</v>
      </c>
      <c r="AD54" s="302">
        <f t="shared" si="344"/>
        <v>5999.99999999998</v>
      </c>
      <c r="AE54" s="302">
        <f t="shared" si="35"/>
        <v>5999.99999999998</v>
      </c>
      <c r="AF54" s="302">
        <f t="shared" si="36"/>
        <v>5999.99999999998</v>
      </c>
      <c r="AG54" s="341">
        <f t="shared" si="37"/>
        <v>5999.99999999998</v>
      </c>
      <c r="AH54" s="302">
        <f t="shared" si="17"/>
        <v>5999.99999999998</v>
      </c>
      <c r="AI54" s="302">
        <f t="shared" si="18"/>
        <v>5999.99999999998</v>
      </c>
      <c r="AJ54" s="302">
        <f t="shared" si="8"/>
        <v>5999.99999999998</v>
      </c>
      <c r="AK54" s="302">
        <f t="shared" si="9"/>
        <v>3999.9999999999986</v>
      </c>
      <c r="AL54" s="302">
        <f t="shared" si="10"/>
        <v>0</v>
      </c>
      <c r="AM54" s="302">
        <f t="shared" si="11"/>
        <v>0</v>
      </c>
      <c r="AN54" s="302">
        <f t="shared" si="12"/>
        <v>0</v>
      </c>
      <c r="AO54" s="302">
        <f t="shared" si="273"/>
        <v>0</v>
      </c>
      <c r="AP54" s="302">
        <f t="shared" si="275"/>
        <v>0</v>
      </c>
      <c r="AQ54" s="302">
        <f t="shared" si="275"/>
        <v>0</v>
      </c>
      <c r="AR54" s="302">
        <f t="shared" si="275"/>
        <v>52000</v>
      </c>
      <c r="AS54" s="302">
        <f t="shared" si="275"/>
        <v>0</v>
      </c>
      <c r="AT54" s="302">
        <f t="shared" si="275"/>
        <v>0</v>
      </c>
      <c r="AU54" s="302">
        <f t="shared" si="275"/>
        <v>0</v>
      </c>
      <c r="AV54" s="302">
        <f t="shared" si="275"/>
        <v>0</v>
      </c>
      <c r="AW54" s="302">
        <f t="shared" si="275"/>
        <v>0</v>
      </c>
      <c r="AX54" s="302">
        <f t="shared" si="275"/>
        <v>0</v>
      </c>
      <c r="AY54" s="302">
        <f t="shared" si="275"/>
        <v>0</v>
      </c>
      <c r="AZ54" s="302">
        <f t="shared" si="275"/>
        <v>0</v>
      </c>
      <c r="BA54" s="302">
        <f t="shared" si="275"/>
        <v>0</v>
      </c>
      <c r="BB54" s="302">
        <f t="shared" si="275"/>
        <v>0</v>
      </c>
      <c r="BC54" s="302">
        <f t="shared" si="275"/>
        <v>0</v>
      </c>
      <c r="BD54" s="302">
        <f t="shared" si="345"/>
        <v>0</v>
      </c>
      <c r="BE54" s="302">
        <f t="shared" si="345"/>
        <v>0</v>
      </c>
      <c r="BF54" s="301">
        <f t="shared" si="274"/>
        <v>-1.673470251262188E-10</v>
      </c>
    </row>
    <row r="55" spans="1:58" ht="14.45" customHeight="1" x14ac:dyDescent="0.25">
      <c r="A55" t="s">
        <v>153</v>
      </c>
      <c r="B55" s="256"/>
      <c r="C55" s="247"/>
      <c r="D55" s="380">
        <v>28000</v>
      </c>
      <c r="E55" s="247" t="s">
        <v>263</v>
      </c>
      <c r="F55" s="247"/>
      <c r="G55" s="352"/>
      <c r="H55" s="352"/>
      <c r="I55" s="352"/>
      <c r="J55" s="334"/>
      <c r="K55" s="334"/>
      <c r="L55" s="334"/>
      <c r="M55" s="335">
        <v>0</v>
      </c>
      <c r="N55" s="335">
        <v>0</v>
      </c>
      <c r="O55" s="335">
        <v>1</v>
      </c>
      <c r="P55" s="335">
        <v>0</v>
      </c>
      <c r="Q55" s="334"/>
      <c r="R55" s="334"/>
      <c r="S55" s="334"/>
      <c r="T55" s="334"/>
      <c r="U55" s="334"/>
      <c r="V55" s="334"/>
      <c r="W55" s="348">
        <f t="shared" si="16"/>
        <v>1</v>
      </c>
      <c r="X55" s="247"/>
      <c r="Y55" s="247"/>
      <c r="Z55" s="302">
        <f t="shared" si="0"/>
        <v>0</v>
      </c>
      <c r="AA55" s="302">
        <f t="shared" si="1"/>
        <v>0</v>
      </c>
      <c r="AB55" s="302">
        <f t="shared" si="2"/>
        <v>0</v>
      </c>
      <c r="AC55" s="302">
        <f t="shared" si="3"/>
        <v>0</v>
      </c>
      <c r="AD55" s="302">
        <f t="shared" si="344"/>
        <v>0</v>
      </c>
      <c r="AE55" s="302">
        <f t="shared" si="35"/>
        <v>0</v>
      </c>
      <c r="AF55" s="302">
        <f t="shared" si="36"/>
        <v>0</v>
      </c>
      <c r="AG55" s="341">
        <f t="shared" si="37"/>
        <v>0</v>
      </c>
      <c r="AH55" s="302">
        <f t="shared" si="17"/>
        <v>28000</v>
      </c>
      <c r="AI55" s="302">
        <f t="shared" si="18"/>
        <v>0</v>
      </c>
      <c r="AJ55" s="302">
        <f t="shared" si="8"/>
        <v>0</v>
      </c>
      <c r="AK55" s="302">
        <f t="shared" si="9"/>
        <v>0</v>
      </c>
      <c r="AL55" s="302">
        <f t="shared" si="10"/>
        <v>0</v>
      </c>
      <c r="AM55" s="302">
        <f t="shared" si="11"/>
        <v>0</v>
      </c>
      <c r="AN55" s="302">
        <f t="shared" si="12"/>
        <v>0</v>
      </c>
      <c r="AO55" s="302">
        <f t="shared" si="273"/>
        <v>0</v>
      </c>
      <c r="AP55" s="302">
        <f t="shared" si="275"/>
        <v>0</v>
      </c>
      <c r="AQ55" s="302">
        <f t="shared" si="275"/>
        <v>0</v>
      </c>
      <c r="AR55" s="302">
        <f t="shared" si="275"/>
        <v>0</v>
      </c>
      <c r="AS55" s="302">
        <f t="shared" si="275"/>
        <v>0</v>
      </c>
      <c r="AT55" s="302">
        <f t="shared" si="275"/>
        <v>0</v>
      </c>
      <c r="AU55" s="302">
        <f t="shared" si="275"/>
        <v>0</v>
      </c>
      <c r="AV55" s="302">
        <f t="shared" si="275"/>
        <v>0</v>
      </c>
      <c r="AW55" s="302">
        <f t="shared" si="275"/>
        <v>0</v>
      </c>
      <c r="AX55" s="302">
        <f t="shared" si="275"/>
        <v>28000</v>
      </c>
      <c r="AY55" s="302">
        <f t="shared" si="275"/>
        <v>0</v>
      </c>
      <c r="AZ55" s="302">
        <f t="shared" si="275"/>
        <v>0</v>
      </c>
      <c r="BA55" s="302">
        <f t="shared" si="275"/>
        <v>0</v>
      </c>
      <c r="BB55" s="302">
        <f t="shared" si="275"/>
        <v>0</v>
      </c>
      <c r="BC55" s="302">
        <f t="shared" si="275"/>
        <v>0</v>
      </c>
      <c r="BD55" s="302">
        <f t="shared" si="345"/>
        <v>0</v>
      </c>
      <c r="BE55" s="302">
        <f t="shared" si="345"/>
        <v>0</v>
      </c>
      <c r="BF55" s="301">
        <f t="shared" si="274"/>
        <v>0</v>
      </c>
    </row>
    <row r="56" spans="1:58" s="297" customFormat="1" ht="14.45" customHeight="1" x14ac:dyDescent="0.25">
      <c r="A56" s="297" t="s">
        <v>155</v>
      </c>
      <c r="B56" s="256"/>
      <c r="C56" s="247"/>
      <c r="D56" s="380">
        <v>160000</v>
      </c>
      <c r="E56" s="247" t="s">
        <v>227</v>
      </c>
      <c r="F56" s="247"/>
      <c r="G56" s="352"/>
      <c r="H56" s="352"/>
      <c r="I56" s="352"/>
      <c r="J56" s="334"/>
      <c r="K56" s="334"/>
      <c r="L56" s="334"/>
      <c r="M56" s="334"/>
      <c r="N56" s="334"/>
      <c r="O56" s="334"/>
      <c r="P56" s="334"/>
      <c r="Q56" s="334"/>
      <c r="R56" s="335">
        <v>0</v>
      </c>
      <c r="S56" s="335">
        <v>0</v>
      </c>
      <c r="T56" s="335">
        <v>0</v>
      </c>
      <c r="U56" s="335">
        <v>1</v>
      </c>
      <c r="V56" s="335"/>
      <c r="W56" s="348">
        <f t="shared" si="16"/>
        <v>1</v>
      </c>
      <c r="X56" s="247"/>
      <c r="Y56" s="247"/>
      <c r="Z56" s="302">
        <f t="shared" si="0"/>
        <v>0</v>
      </c>
      <c r="AA56" s="302">
        <f t="shared" si="1"/>
        <v>0</v>
      </c>
      <c r="AB56" s="302">
        <f t="shared" si="2"/>
        <v>0</v>
      </c>
      <c r="AC56" s="302">
        <f t="shared" si="3"/>
        <v>0</v>
      </c>
      <c r="AD56" s="302">
        <f t="shared" si="344"/>
        <v>0</v>
      </c>
      <c r="AE56" s="302">
        <f t="shared" si="35"/>
        <v>0</v>
      </c>
      <c r="AF56" s="302">
        <f t="shared" si="36"/>
        <v>0</v>
      </c>
      <c r="AG56" s="341">
        <f t="shared" si="37"/>
        <v>0</v>
      </c>
      <c r="AH56" s="302">
        <f t="shared" si="17"/>
        <v>0</v>
      </c>
      <c r="AI56" s="302">
        <f t="shared" si="18"/>
        <v>0</v>
      </c>
      <c r="AJ56" s="302">
        <f t="shared" si="8"/>
        <v>0</v>
      </c>
      <c r="AK56" s="302">
        <f t="shared" si="9"/>
        <v>0</v>
      </c>
      <c r="AL56" s="302">
        <f t="shared" si="10"/>
        <v>0</v>
      </c>
      <c r="AM56" s="302">
        <f t="shared" si="11"/>
        <v>0</v>
      </c>
      <c r="AN56" s="302">
        <f t="shared" si="12"/>
        <v>160000</v>
      </c>
      <c r="AO56" s="302">
        <f t="shared" si="273"/>
        <v>0</v>
      </c>
      <c r="AP56" s="302">
        <f t="shared" si="275"/>
        <v>0</v>
      </c>
      <c r="AQ56" s="302">
        <f t="shared" si="275"/>
        <v>0</v>
      </c>
      <c r="AR56" s="302">
        <f t="shared" si="275"/>
        <v>0</v>
      </c>
      <c r="AS56" s="302">
        <f t="shared" si="275"/>
        <v>0</v>
      </c>
      <c r="AT56" s="302">
        <f t="shared" si="275"/>
        <v>0</v>
      </c>
      <c r="AU56" s="302">
        <f t="shared" si="275"/>
        <v>0</v>
      </c>
      <c r="AV56" s="302">
        <f t="shared" si="275"/>
        <v>0</v>
      </c>
      <c r="AW56" s="302">
        <f t="shared" si="275"/>
        <v>0</v>
      </c>
      <c r="AX56" s="302">
        <f t="shared" si="275"/>
        <v>0</v>
      </c>
      <c r="AY56" s="302">
        <f t="shared" si="275"/>
        <v>0</v>
      </c>
      <c r="AZ56" s="302">
        <f t="shared" si="275"/>
        <v>0</v>
      </c>
      <c r="BA56" s="302">
        <f t="shared" si="275"/>
        <v>0</v>
      </c>
      <c r="BB56" s="302">
        <f t="shared" si="275"/>
        <v>0</v>
      </c>
      <c r="BC56" s="302">
        <f t="shared" si="275"/>
        <v>0</v>
      </c>
      <c r="BD56" s="302">
        <f t="shared" si="275"/>
        <v>160000</v>
      </c>
      <c r="BE56" s="302">
        <f t="shared" si="345"/>
        <v>0</v>
      </c>
      <c r="BF56" s="301">
        <f t="shared" si="274"/>
        <v>0</v>
      </c>
    </row>
    <row r="57" spans="1:58" s="297" customFormat="1" ht="14.45" customHeight="1" x14ac:dyDescent="0.25">
      <c r="A57" s="297" t="s">
        <v>156</v>
      </c>
      <c r="B57" s="256"/>
      <c r="C57" s="247"/>
      <c r="D57" s="380">
        <v>640.16</v>
      </c>
      <c r="E57" s="247" t="s">
        <v>210</v>
      </c>
      <c r="F57" s="247"/>
      <c r="G57" s="352"/>
      <c r="H57" s="352"/>
      <c r="I57" s="352"/>
      <c r="J57" s="334"/>
      <c r="K57" s="334"/>
      <c r="L57" s="344">
        <v>1</v>
      </c>
      <c r="M57" s="344"/>
      <c r="N57" s="334"/>
      <c r="O57" s="334"/>
      <c r="P57" s="334"/>
      <c r="Q57" s="334"/>
      <c r="R57" s="335">
        <v>0</v>
      </c>
      <c r="S57" s="335">
        <v>0</v>
      </c>
      <c r="T57" s="335">
        <v>0</v>
      </c>
      <c r="U57" s="335">
        <v>0</v>
      </c>
      <c r="V57" s="335"/>
      <c r="W57" s="348">
        <f t="shared" ref="W57" si="346">SUM(G57:V57)</f>
        <v>1</v>
      </c>
      <c r="X57" s="247"/>
      <c r="Y57" s="247"/>
      <c r="Z57" s="302">
        <f t="shared" ref="Z57" si="347">G57*$D57</f>
        <v>0</v>
      </c>
      <c r="AA57" s="302">
        <f t="shared" ref="AA57" si="348">H57*$D57</f>
        <v>0</v>
      </c>
      <c r="AB57" s="302">
        <f t="shared" ref="AB57" si="349">I57*$D57</f>
        <v>0</v>
      </c>
      <c r="AC57" s="302">
        <f t="shared" ref="AC57" si="350">J57*$D57</f>
        <v>0</v>
      </c>
      <c r="AD57" s="302">
        <f t="shared" ref="AD57" si="351">K57*$D57</f>
        <v>0</v>
      </c>
      <c r="AE57" s="302">
        <f t="shared" ref="AE57" si="352">L57*$D57</f>
        <v>640.16</v>
      </c>
      <c r="AF57" s="302">
        <f t="shared" ref="AF57" si="353">M57*$D57</f>
        <v>0</v>
      </c>
      <c r="AG57" s="341">
        <f t="shared" ref="AG57" si="354">N57*$D57</f>
        <v>0</v>
      </c>
      <c r="AH57" s="302">
        <f t="shared" ref="AH57" si="355">O57*$D57</f>
        <v>0</v>
      </c>
      <c r="AI57" s="302">
        <f t="shared" ref="AI57" si="356">P57*$D57</f>
        <v>0</v>
      </c>
      <c r="AJ57" s="302">
        <f t="shared" ref="AJ57" si="357">Q57*$D57</f>
        <v>0</v>
      </c>
      <c r="AK57" s="302">
        <f t="shared" ref="AK57" si="358">R57*$D57</f>
        <v>0</v>
      </c>
      <c r="AL57" s="302">
        <f t="shared" ref="AL57" si="359">S57*$D57</f>
        <v>0</v>
      </c>
      <c r="AM57" s="302">
        <f t="shared" ref="AM57" si="360">T57*$D57</f>
        <v>0</v>
      </c>
      <c r="AN57" s="302">
        <f t="shared" ref="AN57" si="361">U57*$D57</f>
        <v>0</v>
      </c>
      <c r="AO57" s="302">
        <f t="shared" si="273"/>
        <v>0</v>
      </c>
      <c r="AP57" s="302">
        <f t="shared" ref="AP57:BD57" si="362">IF(AP$3=$E57,$D57,0)</f>
        <v>0</v>
      </c>
      <c r="AQ57" s="302">
        <f t="shared" si="362"/>
        <v>0</v>
      </c>
      <c r="AR57" s="302">
        <f t="shared" si="362"/>
        <v>0</v>
      </c>
      <c r="AS57" s="302">
        <f t="shared" si="362"/>
        <v>0</v>
      </c>
      <c r="AT57" s="302">
        <f t="shared" si="362"/>
        <v>640.16</v>
      </c>
      <c r="AU57" s="341">
        <f t="shared" si="362"/>
        <v>0</v>
      </c>
      <c r="AV57" s="302">
        <f t="shared" si="362"/>
        <v>0</v>
      </c>
      <c r="AW57" s="302">
        <f t="shared" si="362"/>
        <v>0</v>
      </c>
      <c r="AX57" s="302">
        <f t="shared" si="362"/>
        <v>0</v>
      </c>
      <c r="AY57" s="302">
        <f t="shared" si="362"/>
        <v>0</v>
      </c>
      <c r="AZ57" s="302">
        <f t="shared" si="362"/>
        <v>0</v>
      </c>
      <c r="BA57" s="302">
        <f t="shared" si="362"/>
        <v>0</v>
      </c>
      <c r="BB57" s="302">
        <f t="shared" si="362"/>
        <v>0</v>
      </c>
      <c r="BC57" s="302">
        <f t="shared" si="362"/>
        <v>0</v>
      </c>
      <c r="BD57" s="302">
        <f t="shared" si="362"/>
        <v>0</v>
      </c>
      <c r="BE57" s="302">
        <f t="shared" si="345"/>
        <v>0</v>
      </c>
      <c r="BF57" s="301">
        <f t="shared" si="274"/>
        <v>0</v>
      </c>
    </row>
    <row r="58" spans="1:58" s="297" customFormat="1" ht="14.45" customHeight="1" x14ac:dyDescent="0.25">
      <c r="A58" s="297" t="s">
        <v>156</v>
      </c>
      <c r="B58" s="256"/>
      <c r="C58" s="247"/>
      <c r="D58" s="380">
        <f>10927.22+1284.82+1652.68</f>
        <v>13864.72</v>
      </c>
      <c r="E58" s="247" t="s">
        <v>183</v>
      </c>
      <c r="F58" s="247"/>
      <c r="G58" s="352"/>
      <c r="H58" s="352"/>
      <c r="I58" s="352"/>
      <c r="J58" s="334"/>
      <c r="K58" s="334"/>
      <c r="L58" s="344">
        <v>1</v>
      </c>
      <c r="M58" s="344"/>
      <c r="N58" s="334"/>
      <c r="O58" s="334"/>
      <c r="P58" s="334"/>
      <c r="Q58" s="334"/>
      <c r="R58" s="335">
        <v>0</v>
      </c>
      <c r="S58" s="335">
        <v>0</v>
      </c>
      <c r="T58" s="335">
        <v>0</v>
      </c>
      <c r="U58" s="335">
        <v>0</v>
      </c>
      <c r="V58" s="335"/>
      <c r="W58" s="348">
        <f t="shared" si="16"/>
        <v>1</v>
      </c>
      <c r="X58" s="247"/>
      <c r="Y58" s="247"/>
      <c r="Z58" s="302">
        <f t="shared" si="0"/>
        <v>0</v>
      </c>
      <c r="AA58" s="302">
        <f t="shared" si="1"/>
        <v>0</v>
      </c>
      <c r="AB58" s="302">
        <f t="shared" si="2"/>
        <v>0</v>
      </c>
      <c r="AC58" s="302">
        <f t="shared" si="3"/>
        <v>0</v>
      </c>
      <c r="AD58" s="302">
        <f t="shared" si="344"/>
        <v>0</v>
      </c>
      <c r="AE58" s="302">
        <f t="shared" si="35"/>
        <v>13864.72</v>
      </c>
      <c r="AF58" s="302">
        <f t="shared" si="36"/>
        <v>0</v>
      </c>
      <c r="AG58" s="341">
        <f t="shared" si="37"/>
        <v>0</v>
      </c>
      <c r="AH58" s="302">
        <f t="shared" si="17"/>
        <v>0</v>
      </c>
      <c r="AI58" s="302">
        <f t="shared" si="18"/>
        <v>0</v>
      </c>
      <c r="AJ58" s="302">
        <f t="shared" si="8"/>
        <v>0</v>
      </c>
      <c r="AK58" s="302">
        <f t="shared" si="9"/>
        <v>0</v>
      </c>
      <c r="AL58" s="302">
        <f t="shared" si="10"/>
        <v>0</v>
      </c>
      <c r="AM58" s="302">
        <f t="shared" si="11"/>
        <v>0</v>
      </c>
      <c r="AN58" s="302">
        <f t="shared" si="12"/>
        <v>0</v>
      </c>
      <c r="AO58" s="302">
        <f t="shared" si="273"/>
        <v>0</v>
      </c>
      <c r="AP58" s="302">
        <f t="shared" si="275"/>
        <v>0</v>
      </c>
      <c r="AQ58" s="302">
        <f t="shared" si="275"/>
        <v>0</v>
      </c>
      <c r="AR58" s="302">
        <f t="shared" si="275"/>
        <v>0</v>
      </c>
      <c r="AS58" s="302">
        <f t="shared" si="275"/>
        <v>0</v>
      </c>
      <c r="AT58" s="302">
        <f t="shared" si="275"/>
        <v>0</v>
      </c>
      <c r="AU58" s="341">
        <f t="shared" si="275"/>
        <v>13864.72</v>
      </c>
      <c r="AV58" s="302">
        <f t="shared" si="275"/>
        <v>0</v>
      </c>
      <c r="AW58" s="302">
        <f t="shared" si="275"/>
        <v>0</v>
      </c>
      <c r="AX58" s="302">
        <f t="shared" si="275"/>
        <v>0</v>
      </c>
      <c r="AY58" s="302">
        <f t="shared" si="275"/>
        <v>0</v>
      </c>
      <c r="AZ58" s="302">
        <f t="shared" si="275"/>
        <v>0</v>
      </c>
      <c r="BA58" s="302">
        <f t="shared" si="275"/>
        <v>0</v>
      </c>
      <c r="BB58" s="302">
        <f t="shared" si="275"/>
        <v>0</v>
      </c>
      <c r="BC58" s="302">
        <f t="shared" si="275"/>
        <v>0</v>
      </c>
      <c r="BD58" s="302">
        <f t="shared" si="275"/>
        <v>0</v>
      </c>
      <c r="BE58" s="302">
        <f t="shared" si="345"/>
        <v>0</v>
      </c>
      <c r="BF58" s="301">
        <f t="shared" si="274"/>
        <v>0</v>
      </c>
    </row>
    <row r="59" spans="1:58" s="297" customFormat="1" ht="14.45" customHeight="1" x14ac:dyDescent="0.25">
      <c r="A59" s="297" t="s">
        <v>156</v>
      </c>
      <c r="B59" s="256"/>
      <c r="C59" s="247"/>
      <c r="D59" s="380">
        <f>380.62+94.87</f>
        <v>475.49</v>
      </c>
      <c r="E59" s="247" t="s">
        <v>195</v>
      </c>
      <c r="F59" s="247"/>
      <c r="G59" s="352"/>
      <c r="H59" s="352"/>
      <c r="I59" s="352"/>
      <c r="J59" s="334"/>
      <c r="K59" s="334"/>
      <c r="L59" s="344"/>
      <c r="M59" s="344">
        <v>1</v>
      </c>
      <c r="N59" s="334"/>
      <c r="O59" s="334"/>
      <c r="P59" s="334"/>
      <c r="Q59" s="334"/>
      <c r="R59" s="335">
        <v>0</v>
      </c>
      <c r="S59" s="335">
        <v>0</v>
      </c>
      <c r="T59" s="335">
        <v>0</v>
      </c>
      <c r="U59" s="335">
        <v>0</v>
      </c>
      <c r="V59" s="335"/>
      <c r="W59" s="348">
        <f t="shared" si="16"/>
        <v>1</v>
      </c>
      <c r="X59" s="247"/>
      <c r="Y59" s="247"/>
      <c r="Z59" s="302">
        <f t="shared" ref="Z59" si="363">G59*$D59</f>
        <v>0</v>
      </c>
      <c r="AA59" s="302">
        <f t="shared" ref="AA59" si="364">H59*$D59</f>
        <v>0</v>
      </c>
      <c r="AB59" s="302">
        <f t="shared" ref="AB59" si="365">I59*$D59</f>
        <v>0</v>
      </c>
      <c r="AC59" s="302">
        <f t="shared" ref="AC59" si="366">J59*$D59</f>
        <v>0</v>
      </c>
      <c r="AD59" s="302">
        <f t="shared" ref="AD59" si="367">K59*$D59</f>
        <v>0</v>
      </c>
      <c r="AE59" s="302">
        <f t="shared" ref="AE59" si="368">L59*$D59</f>
        <v>0</v>
      </c>
      <c r="AF59" s="302">
        <f t="shared" ref="AF59" si="369">M59*$D59</f>
        <v>475.49</v>
      </c>
      <c r="AG59" s="341">
        <f t="shared" ref="AG59" si="370">N59*$D59</f>
        <v>0</v>
      </c>
      <c r="AH59" s="302">
        <f t="shared" ref="AH59" si="371">O59*$D59</f>
        <v>0</v>
      </c>
      <c r="AI59" s="302">
        <f t="shared" ref="AI59" si="372">P59*$D59</f>
        <v>0</v>
      </c>
      <c r="AJ59" s="302">
        <f t="shared" ref="AJ59" si="373">Q59*$D59</f>
        <v>0</v>
      </c>
      <c r="AK59" s="302">
        <f t="shared" ref="AK59" si="374">R59*$D59</f>
        <v>0</v>
      </c>
      <c r="AL59" s="302">
        <f t="shared" ref="AL59" si="375">S59*$D59</f>
        <v>0</v>
      </c>
      <c r="AM59" s="302">
        <f t="shared" ref="AM59" si="376">T59*$D59</f>
        <v>0</v>
      </c>
      <c r="AN59" s="302">
        <f t="shared" ref="AN59" si="377">U59*$D59</f>
        <v>0</v>
      </c>
      <c r="AO59" s="302">
        <f t="shared" si="273"/>
        <v>0</v>
      </c>
      <c r="AP59" s="302">
        <f t="shared" si="275"/>
        <v>0</v>
      </c>
      <c r="AQ59" s="302">
        <f t="shared" si="275"/>
        <v>0</v>
      </c>
      <c r="AR59" s="302">
        <f t="shared" si="275"/>
        <v>0</v>
      </c>
      <c r="AS59" s="302">
        <f t="shared" si="275"/>
        <v>0</v>
      </c>
      <c r="AT59" s="302">
        <f t="shared" si="275"/>
        <v>0</v>
      </c>
      <c r="AU59" s="302">
        <f t="shared" si="275"/>
        <v>0</v>
      </c>
      <c r="AV59" s="302">
        <f t="shared" si="275"/>
        <v>475.49</v>
      </c>
      <c r="AW59" s="302">
        <f t="shared" si="275"/>
        <v>0</v>
      </c>
      <c r="AX59" s="302">
        <f t="shared" si="275"/>
        <v>0</v>
      </c>
      <c r="AY59" s="302">
        <f t="shared" si="275"/>
        <v>0</v>
      </c>
      <c r="AZ59" s="302">
        <f t="shared" si="275"/>
        <v>0</v>
      </c>
      <c r="BA59" s="302">
        <f t="shared" si="275"/>
        <v>0</v>
      </c>
      <c r="BB59" s="302">
        <f t="shared" si="275"/>
        <v>0</v>
      </c>
      <c r="BC59" s="302">
        <f t="shared" si="275"/>
        <v>0</v>
      </c>
      <c r="BD59" s="302">
        <f t="shared" si="275"/>
        <v>0</v>
      </c>
      <c r="BE59" s="302">
        <f t="shared" si="345"/>
        <v>0</v>
      </c>
      <c r="BF59" s="301">
        <f t="shared" si="274"/>
        <v>0</v>
      </c>
    </row>
    <row r="60" spans="1:58" s="297" customFormat="1" ht="14.45" customHeight="1" x14ac:dyDescent="0.25">
      <c r="A60" s="297" t="s">
        <v>156</v>
      </c>
      <c r="B60" s="256"/>
      <c r="C60" s="247"/>
      <c r="D60" s="380">
        <v>203.63</v>
      </c>
      <c r="E60" s="247" t="s">
        <v>235</v>
      </c>
      <c r="F60" s="247"/>
      <c r="G60" s="352"/>
      <c r="H60" s="352"/>
      <c r="I60" s="352"/>
      <c r="J60" s="334"/>
      <c r="K60" s="334"/>
      <c r="L60" s="344"/>
      <c r="M60" s="344">
        <v>0</v>
      </c>
      <c r="N60" s="344">
        <v>1</v>
      </c>
      <c r="O60" s="334"/>
      <c r="P60" s="334"/>
      <c r="Q60" s="334"/>
      <c r="R60" s="335">
        <v>0</v>
      </c>
      <c r="S60" s="335">
        <v>0</v>
      </c>
      <c r="T60" s="335">
        <v>0</v>
      </c>
      <c r="U60" s="335">
        <v>0</v>
      </c>
      <c r="V60" s="335"/>
      <c r="W60" s="348">
        <f t="shared" si="16"/>
        <v>1</v>
      </c>
      <c r="X60" s="247"/>
      <c r="Y60" s="247"/>
      <c r="Z60" s="302">
        <f t="shared" ref="Z60" si="378">G60*$D60</f>
        <v>0</v>
      </c>
      <c r="AA60" s="302">
        <f t="shared" ref="AA60" si="379">H60*$D60</f>
        <v>0</v>
      </c>
      <c r="AB60" s="302">
        <f t="shared" ref="AB60" si="380">I60*$D60</f>
        <v>0</v>
      </c>
      <c r="AC60" s="302">
        <f t="shared" ref="AC60" si="381">J60*$D60</f>
        <v>0</v>
      </c>
      <c r="AD60" s="302">
        <f t="shared" ref="AD60" si="382">K60*$D60</f>
        <v>0</v>
      </c>
      <c r="AE60" s="302">
        <f t="shared" ref="AE60" si="383">L60*$D60</f>
        <v>0</v>
      </c>
      <c r="AF60" s="302">
        <f t="shared" ref="AF60" si="384">M60*$D60</f>
        <v>0</v>
      </c>
      <c r="AG60" s="341">
        <f t="shared" ref="AG60" si="385">N60*$D60</f>
        <v>203.63</v>
      </c>
      <c r="AH60" s="302">
        <f t="shared" ref="AH60" si="386">O60*$D60</f>
        <v>0</v>
      </c>
      <c r="AI60" s="302">
        <f t="shared" ref="AI60" si="387">P60*$D60</f>
        <v>0</v>
      </c>
      <c r="AJ60" s="302">
        <f t="shared" ref="AJ60" si="388">Q60*$D60</f>
        <v>0</v>
      </c>
      <c r="AK60" s="302">
        <f t="shared" ref="AK60" si="389">R60*$D60</f>
        <v>0</v>
      </c>
      <c r="AL60" s="302">
        <f t="shared" ref="AL60" si="390">S60*$D60</f>
        <v>0</v>
      </c>
      <c r="AM60" s="302">
        <f t="shared" ref="AM60" si="391">T60*$D60</f>
        <v>0</v>
      </c>
      <c r="AN60" s="302">
        <f t="shared" ref="AN60" si="392">U60*$D60</f>
        <v>0</v>
      </c>
      <c r="AO60" s="302">
        <f t="shared" si="273"/>
        <v>0</v>
      </c>
      <c r="AP60" s="302">
        <f t="shared" ref="AP60:BE62" si="393">IF(AP$3=$E60,$D60,0)</f>
        <v>0</v>
      </c>
      <c r="AQ60" s="302">
        <f t="shared" si="393"/>
        <v>0</v>
      </c>
      <c r="AR60" s="302">
        <f t="shared" si="393"/>
        <v>0</v>
      </c>
      <c r="AS60" s="302">
        <f t="shared" si="393"/>
        <v>0</v>
      </c>
      <c r="AT60" s="302">
        <f t="shared" si="393"/>
        <v>0</v>
      </c>
      <c r="AU60" s="302">
        <f t="shared" si="393"/>
        <v>0</v>
      </c>
      <c r="AV60" s="302">
        <f t="shared" si="393"/>
        <v>0</v>
      </c>
      <c r="AW60" s="302">
        <f t="shared" si="393"/>
        <v>203.63</v>
      </c>
      <c r="AX60" s="302">
        <f t="shared" si="393"/>
        <v>0</v>
      </c>
      <c r="AY60" s="302">
        <f t="shared" si="393"/>
        <v>0</v>
      </c>
      <c r="AZ60" s="302">
        <f t="shared" si="393"/>
        <v>0</v>
      </c>
      <c r="BA60" s="302">
        <f t="shared" si="393"/>
        <v>0</v>
      </c>
      <c r="BB60" s="302">
        <f t="shared" si="393"/>
        <v>0</v>
      </c>
      <c r="BC60" s="302">
        <f t="shared" si="393"/>
        <v>0</v>
      </c>
      <c r="BD60" s="302">
        <f t="shared" si="393"/>
        <v>0</v>
      </c>
      <c r="BE60" s="302">
        <f t="shared" si="393"/>
        <v>0</v>
      </c>
      <c r="BF60" s="388">
        <f t="shared" si="274"/>
        <v>0</v>
      </c>
    </row>
    <row r="61" spans="1:58" s="297" customFormat="1" ht="14.45" customHeight="1" x14ac:dyDescent="0.25">
      <c r="A61" s="297" t="s">
        <v>156</v>
      </c>
      <c r="B61" s="256"/>
      <c r="C61" s="247"/>
      <c r="D61" s="380">
        <v>179.46</v>
      </c>
      <c r="E61" s="247" t="s">
        <v>235</v>
      </c>
      <c r="F61" s="247"/>
      <c r="G61" s="352"/>
      <c r="H61" s="352"/>
      <c r="I61" s="352"/>
      <c r="J61" s="334"/>
      <c r="K61" s="334"/>
      <c r="L61" s="344"/>
      <c r="M61" s="344">
        <v>0</v>
      </c>
      <c r="N61" s="344">
        <v>1</v>
      </c>
      <c r="O61" s="334"/>
      <c r="P61" s="334"/>
      <c r="Q61" s="334"/>
      <c r="R61" s="335">
        <v>0</v>
      </c>
      <c r="S61" s="335">
        <v>0</v>
      </c>
      <c r="T61" s="335">
        <v>0</v>
      </c>
      <c r="U61" s="335">
        <v>0</v>
      </c>
      <c r="V61" s="335"/>
      <c r="W61" s="348">
        <f t="shared" ref="W61" si="394">SUM(G61:V61)</f>
        <v>1</v>
      </c>
      <c r="X61" s="247"/>
      <c r="Y61" s="247"/>
      <c r="Z61" s="302">
        <f t="shared" ref="Z61" si="395">G61*$D61</f>
        <v>0</v>
      </c>
      <c r="AA61" s="302">
        <f t="shared" ref="AA61" si="396">H61*$D61</f>
        <v>0</v>
      </c>
      <c r="AB61" s="302">
        <f t="shared" ref="AB61" si="397">I61*$D61</f>
        <v>0</v>
      </c>
      <c r="AC61" s="302">
        <f t="shared" ref="AC61" si="398">J61*$D61</f>
        <v>0</v>
      </c>
      <c r="AD61" s="302">
        <f t="shared" ref="AD61" si="399">K61*$D61</f>
        <v>0</v>
      </c>
      <c r="AE61" s="302">
        <f t="shared" ref="AE61" si="400">L61*$D61</f>
        <v>0</v>
      </c>
      <c r="AF61" s="302">
        <f t="shared" ref="AF61" si="401">M61*$D61</f>
        <v>0</v>
      </c>
      <c r="AG61" s="341">
        <f t="shared" ref="AG61" si="402">N61*$D61</f>
        <v>179.46</v>
      </c>
      <c r="AH61" s="302">
        <f t="shared" ref="AH61" si="403">O61*$D61</f>
        <v>0</v>
      </c>
      <c r="AI61" s="302">
        <f t="shared" ref="AI61" si="404">P61*$D61</f>
        <v>0</v>
      </c>
      <c r="AJ61" s="302">
        <f t="shared" ref="AJ61" si="405">Q61*$D61</f>
        <v>0</v>
      </c>
      <c r="AK61" s="302">
        <f t="shared" ref="AK61" si="406">R61*$D61</f>
        <v>0</v>
      </c>
      <c r="AL61" s="302">
        <f t="shared" ref="AL61" si="407">S61*$D61</f>
        <v>0</v>
      </c>
      <c r="AM61" s="302">
        <f t="shared" ref="AM61" si="408">T61*$D61</f>
        <v>0</v>
      </c>
      <c r="AN61" s="302">
        <f t="shared" ref="AN61" si="409">U61*$D61</f>
        <v>0</v>
      </c>
      <c r="AO61" s="302">
        <f t="shared" ref="AO61" si="410">V61*$D61</f>
        <v>0</v>
      </c>
      <c r="AP61" s="302">
        <f t="shared" si="393"/>
        <v>0</v>
      </c>
      <c r="AQ61" s="302">
        <f t="shared" si="393"/>
        <v>0</v>
      </c>
      <c r="AR61" s="302">
        <f t="shared" si="393"/>
        <v>0</v>
      </c>
      <c r="AS61" s="302">
        <f t="shared" si="393"/>
        <v>0</v>
      </c>
      <c r="AT61" s="302">
        <f t="shared" si="393"/>
        <v>0</v>
      </c>
      <c r="AU61" s="302">
        <f t="shared" si="393"/>
        <v>0</v>
      </c>
      <c r="AV61" s="302">
        <f t="shared" si="393"/>
        <v>0</v>
      </c>
      <c r="AW61" s="302">
        <f t="shared" si="393"/>
        <v>179.46</v>
      </c>
      <c r="AX61" s="302">
        <f t="shared" si="393"/>
        <v>0</v>
      </c>
      <c r="AY61" s="302">
        <f t="shared" si="393"/>
        <v>0</v>
      </c>
      <c r="AZ61" s="302">
        <f t="shared" si="393"/>
        <v>0</v>
      </c>
      <c r="BA61" s="302">
        <f t="shared" si="393"/>
        <v>0</v>
      </c>
      <c r="BB61" s="302">
        <f t="shared" si="393"/>
        <v>0</v>
      </c>
      <c r="BC61" s="302">
        <f t="shared" si="393"/>
        <v>0</v>
      </c>
      <c r="BD61" s="302">
        <f t="shared" si="393"/>
        <v>0</v>
      </c>
      <c r="BE61" s="302">
        <f t="shared" si="393"/>
        <v>0</v>
      </c>
      <c r="BF61" s="388">
        <f t="shared" ref="BF61" si="411">SUM(Z61:AO61)-SUM(AP61:BE61)</f>
        <v>0</v>
      </c>
    </row>
    <row r="62" spans="1:58" s="297" customFormat="1" ht="14.45" customHeight="1" x14ac:dyDescent="0.25">
      <c r="A62" s="297" t="s">
        <v>156</v>
      </c>
      <c r="B62" s="256"/>
      <c r="C62" s="247"/>
      <c r="D62" s="380">
        <v>10000</v>
      </c>
      <c r="E62" s="247" t="s">
        <v>263</v>
      </c>
      <c r="F62" s="247"/>
      <c r="G62" s="352"/>
      <c r="H62" s="352"/>
      <c r="I62" s="352"/>
      <c r="J62" s="334"/>
      <c r="K62" s="334"/>
      <c r="L62" s="344"/>
      <c r="M62" s="344">
        <v>0</v>
      </c>
      <c r="N62" s="344">
        <v>0</v>
      </c>
      <c r="O62" s="344">
        <v>1</v>
      </c>
      <c r="P62" s="334"/>
      <c r="Q62" s="334"/>
      <c r="R62" s="335">
        <v>0</v>
      </c>
      <c r="S62" s="335">
        <v>0</v>
      </c>
      <c r="T62" s="335">
        <v>0</v>
      </c>
      <c r="U62" s="335">
        <v>0</v>
      </c>
      <c r="V62" s="335"/>
      <c r="W62" s="348">
        <f t="shared" ref="W62" si="412">SUM(G62:V62)</f>
        <v>1</v>
      </c>
      <c r="X62" s="247"/>
      <c r="Y62" s="247"/>
      <c r="Z62" s="302">
        <f t="shared" ref="Z62" si="413">G62*$D62</f>
        <v>0</v>
      </c>
      <c r="AA62" s="302">
        <f t="shared" ref="AA62" si="414">H62*$D62</f>
        <v>0</v>
      </c>
      <c r="AB62" s="302">
        <f t="shared" ref="AB62" si="415">I62*$D62</f>
        <v>0</v>
      </c>
      <c r="AC62" s="302">
        <f t="shared" ref="AC62" si="416">J62*$D62</f>
        <v>0</v>
      </c>
      <c r="AD62" s="302">
        <f t="shared" ref="AD62" si="417">K62*$D62</f>
        <v>0</v>
      </c>
      <c r="AE62" s="302">
        <f t="shared" ref="AE62" si="418">L62*$D62</f>
        <v>0</v>
      </c>
      <c r="AF62" s="302">
        <f t="shared" ref="AF62" si="419">M62*$D62</f>
        <v>0</v>
      </c>
      <c r="AG62" s="341">
        <f t="shared" ref="AG62" si="420">N62*$D62</f>
        <v>0</v>
      </c>
      <c r="AH62" s="302">
        <f t="shared" ref="AH62" si="421">O62*$D62</f>
        <v>10000</v>
      </c>
      <c r="AI62" s="302">
        <f t="shared" ref="AI62" si="422">P62*$D62</f>
        <v>0</v>
      </c>
      <c r="AJ62" s="302">
        <f t="shared" ref="AJ62" si="423">Q62*$D62</f>
        <v>0</v>
      </c>
      <c r="AK62" s="302">
        <f t="shared" ref="AK62" si="424">R62*$D62</f>
        <v>0</v>
      </c>
      <c r="AL62" s="302">
        <f t="shared" ref="AL62" si="425">S62*$D62</f>
        <v>0</v>
      </c>
      <c r="AM62" s="302">
        <f t="shared" ref="AM62" si="426">T62*$D62</f>
        <v>0</v>
      </c>
      <c r="AN62" s="302">
        <f t="shared" ref="AN62" si="427">U62*$D62</f>
        <v>0</v>
      </c>
      <c r="AO62" s="302">
        <f t="shared" si="273"/>
        <v>0</v>
      </c>
      <c r="AP62" s="302">
        <f t="shared" si="393"/>
        <v>0</v>
      </c>
      <c r="AQ62" s="302">
        <f t="shared" si="393"/>
        <v>0</v>
      </c>
      <c r="AR62" s="302">
        <f t="shared" si="393"/>
        <v>0</v>
      </c>
      <c r="AS62" s="302">
        <f t="shared" si="393"/>
        <v>0</v>
      </c>
      <c r="AT62" s="302">
        <f t="shared" si="393"/>
        <v>0</v>
      </c>
      <c r="AU62" s="302">
        <f t="shared" si="393"/>
        <v>0</v>
      </c>
      <c r="AV62" s="302">
        <f t="shared" si="393"/>
        <v>0</v>
      </c>
      <c r="AW62" s="302">
        <f t="shared" si="393"/>
        <v>0</v>
      </c>
      <c r="AX62" s="302">
        <f t="shared" si="393"/>
        <v>10000</v>
      </c>
      <c r="AY62" s="302">
        <f t="shared" si="393"/>
        <v>0</v>
      </c>
      <c r="AZ62" s="302">
        <f t="shared" si="393"/>
        <v>0</v>
      </c>
      <c r="BA62" s="302">
        <f t="shared" si="393"/>
        <v>0</v>
      </c>
      <c r="BB62" s="302">
        <f t="shared" si="393"/>
        <v>0</v>
      </c>
      <c r="BC62" s="302">
        <f t="shared" si="393"/>
        <v>0</v>
      </c>
      <c r="BD62" s="302">
        <f t="shared" si="393"/>
        <v>0</v>
      </c>
      <c r="BE62" s="302">
        <f t="shared" si="393"/>
        <v>0</v>
      </c>
      <c r="BF62" s="388">
        <f t="shared" si="274"/>
        <v>0</v>
      </c>
    </row>
    <row r="63" spans="1:58" s="297" customFormat="1" ht="14.45" customHeight="1" x14ac:dyDescent="0.25">
      <c r="A63" s="297" t="s">
        <v>159</v>
      </c>
      <c r="B63" s="256"/>
      <c r="C63" s="247"/>
      <c r="D63" s="323">
        <v>120000</v>
      </c>
      <c r="E63" s="247" t="s">
        <v>235</v>
      </c>
      <c r="F63" s="247"/>
      <c r="G63" s="352"/>
      <c r="H63" s="352"/>
      <c r="I63" s="352"/>
      <c r="J63" s="334"/>
      <c r="K63" s="334"/>
      <c r="L63" s="336">
        <v>0</v>
      </c>
      <c r="M63" s="336">
        <v>0</v>
      </c>
      <c r="N63" s="336">
        <v>8.3333329999999997E-2</v>
      </c>
      <c r="O63" s="336">
        <v>0.125</v>
      </c>
      <c r="P63" s="334"/>
      <c r="Q63" s="336">
        <f>1/6</f>
        <v>0.16666666666666666</v>
      </c>
      <c r="R63" s="336">
        <f>1/6</f>
        <v>0.16666666666666666</v>
      </c>
      <c r="S63" s="334"/>
      <c r="T63" s="344">
        <v>0.16666666666666666</v>
      </c>
      <c r="U63" s="336">
        <v>0.29166667000000024</v>
      </c>
      <c r="V63" s="336"/>
      <c r="W63" s="348">
        <f t="shared" si="16"/>
        <v>1</v>
      </c>
      <c r="X63" s="247"/>
      <c r="Y63" s="247"/>
      <c r="Z63" s="302">
        <f t="shared" si="0"/>
        <v>0</v>
      </c>
      <c r="AA63" s="302">
        <f t="shared" si="1"/>
        <v>0</v>
      </c>
      <c r="AB63" s="302">
        <f t="shared" si="2"/>
        <v>0</v>
      </c>
      <c r="AC63" s="302">
        <f t="shared" si="3"/>
        <v>0</v>
      </c>
      <c r="AD63" s="302">
        <f t="shared" ref="AD63:AD70" si="428">K63*$D63</f>
        <v>0</v>
      </c>
      <c r="AE63" s="302">
        <f t="shared" si="35"/>
        <v>0</v>
      </c>
      <c r="AF63" s="302">
        <f t="shared" si="36"/>
        <v>0</v>
      </c>
      <c r="AG63" s="302">
        <f t="shared" si="37"/>
        <v>9999.9995999999992</v>
      </c>
      <c r="AH63" s="341">
        <f t="shared" si="17"/>
        <v>15000</v>
      </c>
      <c r="AI63" s="302">
        <f t="shared" si="18"/>
        <v>0</v>
      </c>
      <c r="AJ63" s="302">
        <f t="shared" si="8"/>
        <v>20000</v>
      </c>
      <c r="AK63" s="302">
        <f t="shared" si="9"/>
        <v>20000</v>
      </c>
      <c r="AL63" s="302">
        <f t="shared" si="10"/>
        <v>0</v>
      </c>
      <c r="AM63" s="302">
        <f t="shared" si="11"/>
        <v>20000</v>
      </c>
      <c r="AN63" s="302">
        <f t="shared" si="12"/>
        <v>35000.000400000026</v>
      </c>
      <c r="AO63" s="302">
        <f t="shared" si="273"/>
        <v>0</v>
      </c>
      <c r="AP63" s="302">
        <f t="shared" si="275"/>
        <v>0</v>
      </c>
      <c r="AQ63" s="302">
        <f t="shared" si="275"/>
        <v>0</v>
      </c>
      <c r="AR63" s="302">
        <f t="shared" si="275"/>
        <v>0</v>
      </c>
      <c r="AS63" s="302">
        <f t="shared" si="275"/>
        <v>0</v>
      </c>
      <c r="AT63" s="302">
        <f t="shared" si="275"/>
        <v>0</v>
      </c>
      <c r="AU63" s="302">
        <f t="shared" si="275"/>
        <v>0</v>
      </c>
      <c r="AV63" s="302">
        <f t="shared" si="275"/>
        <v>0</v>
      </c>
      <c r="AW63" s="302">
        <f t="shared" si="275"/>
        <v>120000</v>
      </c>
      <c r="AX63" s="302">
        <f t="shared" si="275"/>
        <v>0</v>
      </c>
      <c r="AY63" s="302">
        <f t="shared" si="275"/>
        <v>0</v>
      </c>
      <c r="AZ63" s="302">
        <f t="shared" si="275"/>
        <v>0</v>
      </c>
      <c r="BA63" s="302">
        <f t="shared" si="275"/>
        <v>0</v>
      </c>
      <c r="BB63" s="302">
        <f t="shared" si="275"/>
        <v>0</v>
      </c>
      <c r="BC63" s="302">
        <f t="shared" si="275"/>
        <v>0</v>
      </c>
      <c r="BD63" s="302">
        <f t="shared" si="275"/>
        <v>0</v>
      </c>
      <c r="BE63" s="302">
        <f t="shared" si="345"/>
        <v>0</v>
      </c>
      <c r="BF63" s="301">
        <f t="shared" si="274"/>
        <v>0</v>
      </c>
    </row>
    <row r="64" spans="1:58" s="297" customFormat="1" ht="14.45" customHeight="1" x14ac:dyDescent="0.25">
      <c r="A64" s="297" t="s">
        <v>160</v>
      </c>
      <c r="B64" s="256"/>
      <c r="C64" s="247"/>
      <c r="D64" s="368">
        <v>7666.96</v>
      </c>
      <c r="E64" s="247" t="s">
        <v>209</v>
      </c>
      <c r="F64" s="247"/>
      <c r="G64" s="354"/>
      <c r="H64" s="354">
        <v>1</v>
      </c>
      <c r="I64" s="354">
        <v>0</v>
      </c>
      <c r="J64" s="344">
        <v>0</v>
      </c>
      <c r="K64" s="334"/>
      <c r="L64" s="334"/>
      <c r="M64" s="334"/>
      <c r="N64" s="334"/>
      <c r="O64" s="334"/>
      <c r="P64" s="334"/>
      <c r="Q64" s="334"/>
      <c r="R64" s="334"/>
      <c r="S64" s="334"/>
      <c r="T64" s="334"/>
      <c r="U64" s="334"/>
      <c r="V64" s="334"/>
      <c r="W64" s="348">
        <f t="shared" si="16"/>
        <v>1</v>
      </c>
      <c r="X64" s="247"/>
      <c r="Y64" s="247"/>
      <c r="Z64" s="302">
        <f t="shared" si="0"/>
        <v>0</v>
      </c>
      <c r="AA64" s="302">
        <f t="shared" si="1"/>
        <v>7666.96</v>
      </c>
      <c r="AB64" s="302">
        <f t="shared" si="2"/>
        <v>0</v>
      </c>
      <c r="AC64" s="302">
        <f t="shared" si="3"/>
        <v>0</v>
      </c>
      <c r="AD64" s="302">
        <f t="shared" si="428"/>
        <v>0</v>
      </c>
      <c r="AE64" s="302">
        <f t="shared" si="35"/>
        <v>0</v>
      </c>
      <c r="AF64" s="302">
        <f t="shared" si="36"/>
        <v>0</v>
      </c>
      <c r="AG64" s="302">
        <f t="shared" si="37"/>
        <v>0</v>
      </c>
      <c r="AH64" s="341">
        <f t="shared" si="17"/>
        <v>0</v>
      </c>
      <c r="AI64" s="302">
        <f t="shared" si="18"/>
        <v>0</v>
      </c>
      <c r="AJ64" s="302">
        <f t="shared" si="8"/>
        <v>0</v>
      </c>
      <c r="AK64" s="302">
        <f t="shared" si="9"/>
        <v>0</v>
      </c>
      <c r="AL64" s="302">
        <f t="shared" si="10"/>
        <v>0</v>
      </c>
      <c r="AM64" s="302">
        <f t="shared" si="11"/>
        <v>0</v>
      </c>
      <c r="AN64" s="302">
        <f t="shared" si="12"/>
        <v>0</v>
      </c>
      <c r="AO64" s="302">
        <f t="shared" si="273"/>
        <v>0</v>
      </c>
      <c r="AP64" s="302">
        <f t="shared" si="275"/>
        <v>0</v>
      </c>
      <c r="AQ64" s="302">
        <f t="shared" si="275"/>
        <v>7666.96</v>
      </c>
      <c r="AR64" s="302">
        <f t="shared" si="275"/>
        <v>0</v>
      </c>
      <c r="AS64" s="302">
        <f t="shared" si="275"/>
        <v>0</v>
      </c>
      <c r="AT64" s="302">
        <f t="shared" si="275"/>
        <v>0</v>
      </c>
      <c r="AU64" s="302">
        <f t="shared" si="275"/>
        <v>0</v>
      </c>
      <c r="AV64" s="302">
        <f t="shared" si="275"/>
        <v>0</v>
      </c>
      <c r="AW64" s="302">
        <f t="shared" si="275"/>
        <v>0</v>
      </c>
      <c r="AX64" s="302">
        <f t="shared" si="275"/>
        <v>0</v>
      </c>
      <c r="AY64" s="302">
        <f t="shared" si="275"/>
        <v>0</v>
      </c>
      <c r="AZ64" s="302">
        <f t="shared" si="275"/>
        <v>0</v>
      </c>
      <c r="BA64" s="302">
        <f t="shared" si="275"/>
        <v>0</v>
      </c>
      <c r="BB64" s="302">
        <f t="shared" si="275"/>
        <v>0</v>
      </c>
      <c r="BC64" s="302">
        <f t="shared" si="275"/>
        <v>0</v>
      </c>
      <c r="BD64" s="302">
        <f t="shared" si="275"/>
        <v>0</v>
      </c>
      <c r="BE64" s="302">
        <f t="shared" si="345"/>
        <v>0</v>
      </c>
      <c r="BF64" s="301">
        <f t="shared" si="274"/>
        <v>0</v>
      </c>
    </row>
    <row r="65" spans="1:58" s="297" customFormat="1" ht="14.45" customHeight="1" x14ac:dyDescent="0.25">
      <c r="A65" s="297" t="s">
        <v>160</v>
      </c>
      <c r="B65" s="256"/>
      <c r="C65" s="247"/>
      <c r="D65" s="368">
        <v>1124.3800000000001</v>
      </c>
      <c r="E65" s="247" t="s">
        <v>181</v>
      </c>
      <c r="F65" s="247"/>
      <c r="G65" s="354"/>
      <c r="H65" s="354">
        <v>0</v>
      </c>
      <c r="I65" s="354">
        <v>0</v>
      </c>
      <c r="J65" s="344">
        <v>1</v>
      </c>
      <c r="K65" s="334"/>
      <c r="L65" s="334"/>
      <c r="M65" s="334"/>
      <c r="N65" s="334"/>
      <c r="O65" s="334"/>
      <c r="P65" s="334"/>
      <c r="Q65" s="334"/>
      <c r="R65" s="334"/>
      <c r="S65" s="334"/>
      <c r="T65" s="334"/>
      <c r="U65" s="334"/>
      <c r="V65" s="334"/>
      <c r="W65" s="348">
        <f t="shared" ref="W65" si="429">SUM(G65:V65)</f>
        <v>1</v>
      </c>
      <c r="X65" s="247"/>
      <c r="Y65" s="247"/>
      <c r="Z65" s="302">
        <f t="shared" ref="Z65" si="430">G65*$D65</f>
        <v>0</v>
      </c>
      <c r="AA65" s="302">
        <f t="shared" ref="AA65" si="431">H65*$D65</f>
        <v>0</v>
      </c>
      <c r="AB65" s="302">
        <f t="shared" ref="AB65" si="432">I65*$D65</f>
        <v>0</v>
      </c>
      <c r="AC65" s="302">
        <f t="shared" ref="AC65" si="433">J65*$D65</f>
        <v>1124.3800000000001</v>
      </c>
      <c r="AD65" s="302">
        <f t="shared" si="428"/>
        <v>0</v>
      </c>
      <c r="AE65" s="302">
        <f t="shared" ref="AE65" si="434">L65*$D65</f>
        <v>0</v>
      </c>
      <c r="AF65" s="302">
        <f t="shared" ref="AF65" si="435">M65*$D65</f>
        <v>0</v>
      </c>
      <c r="AG65" s="302">
        <f t="shared" ref="AG65" si="436">N65*$D65</f>
        <v>0</v>
      </c>
      <c r="AH65" s="341">
        <f t="shared" ref="AH65" si="437">O65*$D65</f>
        <v>0</v>
      </c>
      <c r="AI65" s="302">
        <f t="shared" ref="AI65" si="438">P65*$D65</f>
        <v>0</v>
      </c>
      <c r="AJ65" s="302">
        <f t="shared" ref="AJ65" si="439">Q65*$D65</f>
        <v>0</v>
      </c>
      <c r="AK65" s="302">
        <f t="shared" ref="AK65" si="440">R65*$D65</f>
        <v>0</v>
      </c>
      <c r="AL65" s="302">
        <f t="shared" ref="AL65" si="441">S65*$D65</f>
        <v>0</v>
      </c>
      <c r="AM65" s="302">
        <f t="shared" ref="AM65" si="442">T65*$D65</f>
        <v>0</v>
      </c>
      <c r="AN65" s="302">
        <f t="shared" ref="AN65" si="443">U65*$D65</f>
        <v>0</v>
      </c>
      <c r="AO65" s="302">
        <f t="shared" si="273"/>
        <v>0</v>
      </c>
      <c r="AP65" s="302">
        <f t="shared" ref="AP65:BD69" si="444">IF(AP$3=$E65,$D65,0)</f>
        <v>0</v>
      </c>
      <c r="AQ65" s="302">
        <f t="shared" si="444"/>
        <v>0</v>
      </c>
      <c r="AR65" s="302">
        <f t="shared" si="444"/>
        <v>1124.3800000000001</v>
      </c>
      <c r="AS65" s="302">
        <f t="shared" si="444"/>
        <v>0</v>
      </c>
      <c r="AT65" s="302">
        <f t="shared" si="444"/>
        <v>0</v>
      </c>
      <c r="AU65" s="302">
        <f t="shared" si="444"/>
        <v>0</v>
      </c>
      <c r="AV65" s="302">
        <f t="shared" si="444"/>
        <v>0</v>
      </c>
      <c r="AW65" s="302">
        <f t="shared" si="444"/>
        <v>0</v>
      </c>
      <c r="AX65" s="302">
        <f t="shared" si="444"/>
        <v>0</v>
      </c>
      <c r="AY65" s="302">
        <f t="shared" si="444"/>
        <v>0</v>
      </c>
      <c r="AZ65" s="302">
        <f t="shared" si="444"/>
        <v>0</v>
      </c>
      <c r="BA65" s="302">
        <f t="shared" si="444"/>
        <v>0</v>
      </c>
      <c r="BB65" s="302">
        <f t="shared" si="444"/>
        <v>0</v>
      </c>
      <c r="BC65" s="302">
        <f t="shared" si="444"/>
        <v>0</v>
      </c>
      <c r="BD65" s="302">
        <f t="shared" si="444"/>
        <v>0</v>
      </c>
      <c r="BE65" s="302">
        <f t="shared" si="345"/>
        <v>0</v>
      </c>
      <c r="BF65" s="301">
        <f t="shared" si="274"/>
        <v>0</v>
      </c>
    </row>
    <row r="66" spans="1:58" s="297" customFormat="1" ht="14.45" customHeight="1" x14ac:dyDescent="0.25">
      <c r="A66" s="297" t="s">
        <v>160</v>
      </c>
      <c r="B66" s="256"/>
      <c r="C66" s="247"/>
      <c r="D66" s="368">
        <v>1630</v>
      </c>
      <c r="E66" s="247" t="s">
        <v>210</v>
      </c>
      <c r="F66" s="247"/>
      <c r="G66" s="354"/>
      <c r="H66" s="354">
        <v>0</v>
      </c>
      <c r="I66" s="354">
        <v>0</v>
      </c>
      <c r="J66" s="344">
        <v>0</v>
      </c>
      <c r="K66" s="344">
        <v>1</v>
      </c>
      <c r="L66" s="334"/>
      <c r="M66" s="334"/>
      <c r="N66" s="334"/>
      <c r="O66" s="334"/>
      <c r="P66" s="334"/>
      <c r="Q66" s="334"/>
      <c r="R66" s="334"/>
      <c r="S66" s="334"/>
      <c r="T66" s="334"/>
      <c r="U66" s="334"/>
      <c r="V66" s="334"/>
      <c r="W66" s="348">
        <f t="shared" ref="W66" si="445">SUM(G66:V66)</f>
        <v>1</v>
      </c>
      <c r="X66" s="394"/>
      <c r="Y66" s="247"/>
      <c r="Z66" s="302">
        <f t="shared" ref="Z66" si="446">G66*$D66</f>
        <v>0</v>
      </c>
      <c r="AA66" s="302">
        <f t="shared" ref="AA66" si="447">H66*$D66</f>
        <v>0</v>
      </c>
      <c r="AB66" s="302">
        <f t="shared" ref="AB66" si="448">I66*$D66</f>
        <v>0</v>
      </c>
      <c r="AC66" s="302">
        <f t="shared" ref="AC66" si="449">J66*$D66</f>
        <v>0</v>
      </c>
      <c r="AD66" s="302">
        <f t="shared" si="428"/>
        <v>1630</v>
      </c>
      <c r="AE66" s="302">
        <f t="shared" ref="AE66" si="450">L66*$D66</f>
        <v>0</v>
      </c>
      <c r="AF66" s="302">
        <f t="shared" ref="AF66" si="451">M66*$D66</f>
        <v>0</v>
      </c>
      <c r="AG66" s="302">
        <f t="shared" ref="AG66" si="452">N66*$D66</f>
        <v>0</v>
      </c>
      <c r="AH66" s="341">
        <f t="shared" ref="AH66" si="453">O66*$D66</f>
        <v>0</v>
      </c>
      <c r="AI66" s="302">
        <f t="shared" ref="AI66" si="454">P66*$D66</f>
        <v>0</v>
      </c>
      <c r="AJ66" s="302">
        <f t="shared" ref="AJ66" si="455">Q66*$D66</f>
        <v>0</v>
      </c>
      <c r="AK66" s="302">
        <f t="shared" ref="AK66" si="456">R66*$D66</f>
        <v>0</v>
      </c>
      <c r="AL66" s="302">
        <f t="shared" ref="AL66" si="457">S66*$D66</f>
        <v>0</v>
      </c>
      <c r="AM66" s="302">
        <f t="shared" ref="AM66" si="458">T66*$D66</f>
        <v>0</v>
      </c>
      <c r="AN66" s="302">
        <f t="shared" ref="AN66" si="459">U66*$D66</f>
        <v>0</v>
      </c>
      <c r="AO66" s="302">
        <f t="shared" si="273"/>
        <v>0</v>
      </c>
      <c r="AP66" s="302">
        <f t="shared" si="444"/>
        <v>0</v>
      </c>
      <c r="AQ66" s="302">
        <f t="shared" si="444"/>
        <v>0</v>
      </c>
      <c r="AR66" s="302">
        <f t="shared" si="444"/>
        <v>0</v>
      </c>
      <c r="AS66" s="302">
        <f t="shared" si="444"/>
        <v>0</v>
      </c>
      <c r="AT66" s="302">
        <f t="shared" si="444"/>
        <v>1630</v>
      </c>
      <c r="AU66" s="302">
        <f t="shared" si="444"/>
        <v>0</v>
      </c>
      <c r="AV66" s="302">
        <f t="shared" si="444"/>
        <v>0</v>
      </c>
      <c r="AW66" s="302">
        <f t="shared" si="444"/>
        <v>0</v>
      </c>
      <c r="AX66" s="302">
        <f t="shared" si="444"/>
        <v>0</v>
      </c>
      <c r="AY66" s="302">
        <f t="shared" si="444"/>
        <v>0</v>
      </c>
      <c r="AZ66" s="302">
        <f t="shared" si="444"/>
        <v>0</v>
      </c>
      <c r="BA66" s="302">
        <f t="shared" si="444"/>
        <v>0</v>
      </c>
      <c r="BB66" s="302">
        <f t="shared" si="444"/>
        <v>0</v>
      </c>
      <c r="BC66" s="302">
        <f t="shared" si="444"/>
        <v>0</v>
      </c>
      <c r="BD66" s="302">
        <f t="shared" si="444"/>
        <v>0</v>
      </c>
      <c r="BE66" s="302">
        <f t="shared" si="345"/>
        <v>0</v>
      </c>
      <c r="BF66" s="301">
        <f t="shared" si="274"/>
        <v>0</v>
      </c>
    </row>
    <row r="67" spans="1:58" s="297" customFormat="1" ht="14.45" customHeight="1" x14ac:dyDescent="0.25">
      <c r="A67" s="297" t="s">
        <v>160</v>
      </c>
      <c r="B67" s="256"/>
      <c r="C67" s="247"/>
      <c r="D67" s="368">
        <v>739.99</v>
      </c>
      <c r="E67" s="247" t="s">
        <v>183</v>
      </c>
      <c r="F67" s="247"/>
      <c r="G67" s="354"/>
      <c r="H67" s="354">
        <v>0</v>
      </c>
      <c r="I67" s="354">
        <v>0</v>
      </c>
      <c r="J67" s="344">
        <v>0</v>
      </c>
      <c r="K67" s="334">
        <v>0</v>
      </c>
      <c r="L67" s="344">
        <v>1</v>
      </c>
      <c r="M67" s="344">
        <v>0</v>
      </c>
      <c r="N67" s="334"/>
      <c r="O67" s="334"/>
      <c r="P67" s="334"/>
      <c r="Q67" s="334"/>
      <c r="R67" s="334"/>
      <c r="S67" s="334"/>
      <c r="T67" s="334"/>
      <c r="U67" s="334"/>
      <c r="V67" s="334"/>
      <c r="W67" s="348">
        <f t="shared" ref="W67" si="460">SUM(G67:V67)</f>
        <v>1</v>
      </c>
      <c r="X67" s="247"/>
      <c r="Y67" s="247"/>
      <c r="Z67" s="302">
        <f t="shared" ref="Z67" si="461">G67*$D67</f>
        <v>0</v>
      </c>
      <c r="AA67" s="302">
        <f t="shared" ref="AA67" si="462">H67*$D67</f>
        <v>0</v>
      </c>
      <c r="AB67" s="302">
        <f t="shared" ref="AB67" si="463">I67*$D67</f>
        <v>0</v>
      </c>
      <c r="AC67" s="302">
        <v>0</v>
      </c>
      <c r="AD67" s="302">
        <f t="shared" si="428"/>
        <v>0</v>
      </c>
      <c r="AE67" s="302">
        <f t="shared" ref="AE67" si="464">L67*$D67</f>
        <v>739.99</v>
      </c>
      <c r="AF67" s="302">
        <f t="shared" ref="AF67" si="465">M67*$D67</f>
        <v>0</v>
      </c>
      <c r="AG67" s="302">
        <f t="shared" ref="AG67" si="466">N67*$D67</f>
        <v>0</v>
      </c>
      <c r="AH67" s="341">
        <f t="shared" ref="AH67" si="467">O67*$D67</f>
        <v>0</v>
      </c>
      <c r="AI67" s="302">
        <f t="shared" ref="AI67" si="468">P67*$D67</f>
        <v>0</v>
      </c>
      <c r="AJ67" s="302">
        <f t="shared" ref="AJ67" si="469">Q67*$D67</f>
        <v>0</v>
      </c>
      <c r="AK67" s="302">
        <f t="shared" ref="AK67" si="470">R67*$D67</f>
        <v>0</v>
      </c>
      <c r="AL67" s="302">
        <f t="shared" ref="AL67" si="471">S67*$D67</f>
        <v>0</v>
      </c>
      <c r="AM67" s="302">
        <f t="shared" ref="AM67" si="472">T67*$D67</f>
        <v>0</v>
      </c>
      <c r="AN67" s="302">
        <f t="shared" ref="AN67" si="473">U67*$D67</f>
        <v>0</v>
      </c>
      <c r="AO67" s="302">
        <f t="shared" si="273"/>
        <v>0</v>
      </c>
      <c r="AP67" s="302">
        <f t="shared" si="444"/>
        <v>0</v>
      </c>
      <c r="AQ67" s="302">
        <f t="shared" si="444"/>
        <v>0</v>
      </c>
      <c r="AR67" s="302">
        <f t="shared" si="444"/>
        <v>0</v>
      </c>
      <c r="AS67" s="302">
        <f t="shared" si="444"/>
        <v>0</v>
      </c>
      <c r="AT67" s="302">
        <f t="shared" si="444"/>
        <v>0</v>
      </c>
      <c r="AU67" s="302">
        <f t="shared" si="444"/>
        <v>739.99</v>
      </c>
      <c r="AV67" s="302">
        <f t="shared" si="444"/>
        <v>0</v>
      </c>
      <c r="AW67" s="302">
        <f t="shared" si="444"/>
        <v>0</v>
      </c>
      <c r="AX67" s="302">
        <f t="shared" si="444"/>
        <v>0</v>
      </c>
      <c r="AY67" s="302">
        <f t="shared" si="444"/>
        <v>0</v>
      </c>
      <c r="AZ67" s="302">
        <f t="shared" si="444"/>
        <v>0</v>
      </c>
      <c r="BA67" s="302">
        <f t="shared" si="444"/>
        <v>0</v>
      </c>
      <c r="BB67" s="302">
        <f t="shared" si="444"/>
        <v>0</v>
      </c>
      <c r="BC67" s="302">
        <f t="shared" si="444"/>
        <v>0</v>
      </c>
      <c r="BD67" s="302">
        <f t="shared" si="444"/>
        <v>0</v>
      </c>
      <c r="BE67" s="302">
        <f t="shared" si="345"/>
        <v>0</v>
      </c>
      <c r="BF67" s="301">
        <f t="shared" si="274"/>
        <v>0</v>
      </c>
    </row>
    <row r="68" spans="1:58" s="297" customFormat="1" ht="14.45" customHeight="1" x14ac:dyDescent="0.25">
      <c r="A68" s="297" t="s">
        <v>160</v>
      </c>
      <c r="B68" s="256"/>
      <c r="C68" s="247"/>
      <c r="D68" s="368">
        <v>505.16</v>
      </c>
      <c r="E68" s="247" t="s">
        <v>213</v>
      </c>
      <c r="F68" s="247"/>
      <c r="G68" s="354"/>
      <c r="H68" s="354">
        <v>0</v>
      </c>
      <c r="I68" s="354">
        <v>0</v>
      </c>
      <c r="J68" s="344">
        <v>1</v>
      </c>
      <c r="K68" s="335">
        <v>0</v>
      </c>
      <c r="L68" s="344">
        <v>0</v>
      </c>
      <c r="M68" s="344">
        <v>0</v>
      </c>
      <c r="N68" s="334"/>
      <c r="O68" s="334"/>
      <c r="P68" s="334"/>
      <c r="Q68" s="334"/>
      <c r="R68" s="334"/>
      <c r="S68" s="334"/>
      <c r="T68" s="334"/>
      <c r="U68" s="334"/>
      <c r="V68" s="334"/>
      <c r="W68" s="348">
        <f t="shared" ref="W68" si="474">SUM(G68:V68)</f>
        <v>1</v>
      </c>
      <c r="X68" s="247"/>
      <c r="Y68" s="247"/>
      <c r="Z68" s="302">
        <f t="shared" ref="Z68" si="475">G68*$D68</f>
        <v>0</v>
      </c>
      <c r="AA68" s="302">
        <f t="shared" ref="AA68" si="476">H68*$D68</f>
        <v>0</v>
      </c>
      <c r="AB68" s="302">
        <f t="shared" ref="AB68" si="477">I68*$D68</f>
        <v>0</v>
      </c>
      <c r="AC68" s="302">
        <f t="shared" ref="AC68" si="478">J68*$D68</f>
        <v>505.16</v>
      </c>
      <c r="AD68" s="302">
        <f t="shared" si="428"/>
        <v>0</v>
      </c>
      <c r="AE68" s="302">
        <f t="shared" ref="AE68" si="479">L68*$D68</f>
        <v>0</v>
      </c>
      <c r="AF68" s="302">
        <f t="shared" ref="AF68" si="480">M68*$D68</f>
        <v>0</v>
      </c>
      <c r="AG68" s="302">
        <f t="shared" ref="AG68" si="481">N68*$D68</f>
        <v>0</v>
      </c>
      <c r="AH68" s="341">
        <f t="shared" ref="AH68" si="482">O68*$D68</f>
        <v>0</v>
      </c>
      <c r="AI68" s="302">
        <f t="shared" ref="AI68" si="483">P68*$D68</f>
        <v>0</v>
      </c>
      <c r="AJ68" s="302">
        <f t="shared" ref="AJ68" si="484">Q68*$D68</f>
        <v>0</v>
      </c>
      <c r="AK68" s="302">
        <f t="shared" ref="AK68" si="485">R68*$D68</f>
        <v>0</v>
      </c>
      <c r="AL68" s="302">
        <f t="shared" ref="AL68" si="486">S68*$D68</f>
        <v>0</v>
      </c>
      <c r="AM68" s="302">
        <f t="shared" ref="AM68" si="487">T68*$D68</f>
        <v>0</v>
      </c>
      <c r="AN68" s="302">
        <f t="shared" ref="AN68" si="488">U68*$D68</f>
        <v>0</v>
      </c>
      <c r="AO68" s="302">
        <f t="shared" si="273"/>
        <v>0</v>
      </c>
      <c r="AP68" s="302">
        <f t="shared" si="444"/>
        <v>0</v>
      </c>
      <c r="AQ68" s="302">
        <f t="shared" si="444"/>
        <v>0</v>
      </c>
      <c r="AR68" s="302">
        <f t="shared" si="444"/>
        <v>0</v>
      </c>
      <c r="AS68" s="302">
        <f t="shared" si="444"/>
        <v>505.16</v>
      </c>
      <c r="AT68" s="302">
        <f t="shared" si="444"/>
        <v>0</v>
      </c>
      <c r="AU68" s="302">
        <f t="shared" si="444"/>
        <v>0</v>
      </c>
      <c r="AV68" s="302">
        <f t="shared" si="444"/>
        <v>0</v>
      </c>
      <c r="AW68" s="302">
        <f t="shared" si="444"/>
        <v>0</v>
      </c>
      <c r="AX68" s="302">
        <f t="shared" si="444"/>
        <v>0</v>
      </c>
      <c r="AY68" s="302">
        <f t="shared" si="444"/>
        <v>0</v>
      </c>
      <c r="AZ68" s="302">
        <f t="shared" si="444"/>
        <v>0</v>
      </c>
      <c r="BA68" s="302">
        <f t="shared" si="444"/>
        <v>0</v>
      </c>
      <c r="BB68" s="302">
        <f t="shared" si="444"/>
        <v>0</v>
      </c>
      <c r="BC68" s="302">
        <f t="shared" si="444"/>
        <v>0</v>
      </c>
      <c r="BD68" s="302">
        <f t="shared" si="444"/>
        <v>0</v>
      </c>
      <c r="BE68" s="302">
        <f t="shared" si="345"/>
        <v>0</v>
      </c>
      <c r="BF68" s="301">
        <f t="shared" si="274"/>
        <v>0</v>
      </c>
    </row>
    <row r="69" spans="1:58" s="297" customFormat="1" ht="14.45" customHeight="1" x14ac:dyDescent="0.25">
      <c r="A69" s="297" t="s">
        <v>160</v>
      </c>
      <c r="B69" s="256"/>
      <c r="C69" s="247"/>
      <c r="D69" s="368">
        <v>1232.1400000000001</v>
      </c>
      <c r="E69" s="247" t="s">
        <v>183</v>
      </c>
      <c r="F69" s="247"/>
      <c r="G69" s="354"/>
      <c r="H69" s="354">
        <v>0</v>
      </c>
      <c r="I69" s="354">
        <v>0</v>
      </c>
      <c r="J69" s="344">
        <v>0</v>
      </c>
      <c r="K69" s="335">
        <v>0</v>
      </c>
      <c r="L69" s="344">
        <v>1</v>
      </c>
      <c r="M69" s="344">
        <v>0</v>
      </c>
      <c r="N69" s="334"/>
      <c r="O69" s="334"/>
      <c r="P69" s="334"/>
      <c r="Q69" s="334"/>
      <c r="R69" s="334"/>
      <c r="S69" s="334"/>
      <c r="T69" s="334"/>
      <c r="U69" s="334"/>
      <c r="V69" s="334"/>
      <c r="W69" s="348">
        <f t="shared" ref="W69" si="489">SUM(G69:V69)</f>
        <v>1</v>
      </c>
      <c r="X69" s="247"/>
      <c r="Y69" s="247"/>
      <c r="Z69" s="302">
        <f t="shared" ref="Z69" si="490">G69*$D69</f>
        <v>0</v>
      </c>
      <c r="AA69" s="302">
        <f t="shared" ref="AA69" si="491">H69*$D69</f>
        <v>0</v>
      </c>
      <c r="AB69" s="302">
        <f t="shared" ref="AB69" si="492">I69*$D69</f>
        <v>0</v>
      </c>
      <c r="AC69" s="302">
        <f t="shared" ref="AC69" si="493">J69*$D69</f>
        <v>0</v>
      </c>
      <c r="AD69" s="302">
        <f t="shared" si="428"/>
        <v>0</v>
      </c>
      <c r="AE69" s="302">
        <f t="shared" ref="AE69" si="494">L69*$D69</f>
        <v>1232.1400000000001</v>
      </c>
      <c r="AF69" s="302">
        <f t="shared" ref="AF69" si="495">M69*$D69</f>
        <v>0</v>
      </c>
      <c r="AG69" s="302">
        <f t="shared" ref="AG69" si="496">N69*$D69</f>
        <v>0</v>
      </c>
      <c r="AH69" s="341">
        <f t="shared" ref="AH69" si="497">O69*$D69</f>
        <v>0</v>
      </c>
      <c r="AI69" s="302">
        <f t="shared" ref="AI69" si="498">P69*$D69</f>
        <v>0</v>
      </c>
      <c r="AJ69" s="302">
        <f t="shared" ref="AJ69" si="499">Q69*$D69</f>
        <v>0</v>
      </c>
      <c r="AK69" s="302">
        <f t="shared" ref="AK69" si="500">R69*$D69</f>
        <v>0</v>
      </c>
      <c r="AL69" s="302">
        <f t="shared" ref="AL69" si="501">S69*$D69</f>
        <v>0</v>
      </c>
      <c r="AM69" s="302">
        <f t="shared" ref="AM69" si="502">T69*$D69</f>
        <v>0</v>
      </c>
      <c r="AN69" s="302">
        <f t="shared" ref="AN69" si="503">U69*$D69</f>
        <v>0</v>
      </c>
      <c r="AO69" s="302">
        <f t="shared" si="273"/>
        <v>0</v>
      </c>
      <c r="AP69" s="302">
        <f t="shared" si="444"/>
        <v>0</v>
      </c>
      <c r="AQ69" s="302">
        <f t="shared" si="444"/>
        <v>0</v>
      </c>
      <c r="AR69" s="302">
        <f t="shared" si="444"/>
        <v>0</v>
      </c>
      <c r="AS69" s="302">
        <f t="shared" si="444"/>
        <v>0</v>
      </c>
      <c r="AT69" s="302">
        <f t="shared" si="444"/>
        <v>0</v>
      </c>
      <c r="AU69" s="302">
        <f t="shared" si="444"/>
        <v>1232.1400000000001</v>
      </c>
      <c r="AV69" s="302">
        <f t="shared" si="444"/>
        <v>0</v>
      </c>
      <c r="AW69" s="302">
        <f t="shared" si="444"/>
        <v>0</v>
      </c>
      <c r="AX69" s="302">
        <f t="shared" si="444"/>
        <v>0</v>
      </c>
      <c r="AY69" s="302">
        <f t="shared" si="444"/>
        <v>0</v>
      </c>
      <c r="AZ69" s="302">
        <f t="shared" si="444"/>
        <v>0</v>
      </c>
      <c r="BA69" s="302">
        <f t="shared" si="444"/>
        <v>0</v>
      </c>
      <c r="BB69" s="302">
        <f t="shared" si="444"/>
        <v>0</v>
      </c>
      <c r="BC69" s="302">
        <f t="shared" si="444"/>
        <v>0</v>
      </c>
      <c r="BD69" s="302">
        <f t="shared" si="444"/>
        <v>0</v>
      </c>
      <c r="BE69" s="302">
        <f t="shared" si="345"/>
        <v>0</v>
      </c>
      <c r="BF69" s="301">
        <f t="shared" si="274"/>
        <v>0</v>
      </c>
    </row>
    <row r="70" spans="1:58" s="297" customFormat="1" ht="14.45" customHeight="1" x14ac:dyDescent="0.25">
      <c r="A70" s="297" t="s">
        <v>160</v>
      </c>
      <c r="B70" s="256"/>
      <c r="C70" s="247"/>
      <c r="D70" s="368">
        <v>1071.43</v>
      </c>
      <c r="E70" s="247" t="s">
        <v>209</v>
      </c>
      <c r="F70" s="247"/>
      <c r="G70" s="354"/>
      <c r="H70" s="354">
        <v>0.25</v>
      </c>
      <c r="I70" s="354">
        <v>0.25</v>
      </c>
      <c r="J70" s="344">
        <v>0.25</v>
      </c>
      <c r="K70" s="344">
        <v>0.25</v>
      </c>
      <c r="L70" s="344">
        <v>0</v>
      </c>
      <c r="M70" s="334"/>
      <c r="N70" s="334"/>
      <c r="O70" s="334"/>
      <c r="P70" s="334"/>
      <c r="Q70" s="334"/>
      <c r="R70" s="334"/>
      <c r="S70" s="334"/>
      <c r="T70" s="334"/>
      <c r="U70" s="334"/>
      <c r="V70" s="334"/>
      <c r="W70" s="348">
        <f t="shared" ref="W70" si="504">SUM(G70:V70)</f>
        <v>1</v>
      </c>
      <c r="X70" s="247"/>
      <c r="Y70" s="247"/>
      <c r="Z70" s="302">
        <f t="shared" ref="Z70" si="505">G70*$D70</f>
        <v>0</v>
      </c>
      <c r="AA70" s="302">
        <f t="shared" ref="AA70" si="506">H70*$D70</f>
        <v>267.85750000000002</v>
      </c>
      <c r="AB70" s="302">
        <f t="shared" ref="AB70" si="507">I70*$D70</f>
        <v>267.85750000000002</v>
      </c>
      <c r="AC70" s="302">
        <f t="shared" ref="AC70" si="508">J70*$D70</f>
        <v>267.85750000000002</v>
      </c>
      <c r="AD70" s="302">
        <f t="shared" si="428"/>
        <v>267.85750000000002</v>
      </c>
      <c r="AE70" s="302">
        <f t="shared" ref="AE70" si="509">L70*$D70</f>
        <v>0</v>
      </c>
      <c r="AF70" s="302">
        <f t="shared" ref="AF70" si="510">M70*$D70</f>
        <v>0</v>
      </c>
      <c r="AG70" s="302">
        <f t="shared" ref="AG70" si="511">N70*$D70</f>
        <v>0</v>
      </c>
      <c r="AH70" s="341">
        <f t="shared" ref="AH70" si="512">O70*$D70</f>
        <v>0</v>
      </c>
      <c r="AI70" s="302">
        <f t="shared" ref="AI70" si="513">P70*$D70</f>
        <v>0</v>
      </c>
      <c r="AJ70" s="302">
        <f t="shared" ref="AJ70" si="514">Q70*$D70</f>
        <v>0</v>
      </c>
      <c r="AK70" s="302">
        <f t="shared" ref="AK70" si="515">R70*$D70</f>
        <v>0</v>
      </c>
      <c r="AL70" s="302">
        <f t="shared" ref="AL70" si="516">S70*$D70</f>
        <v>0</v>
      </c>
      <c r="AM70" s="302">
        <f t="shared" ref="AM70" si="517">T70*$D70</f>
        <v>0</v>
      </c>
      <c r="AN70" s="302">
        <f t="shared" ref="AN70" si="518">U70*$D70</f>
        <v>0</v>
      </c>
      <c r="AO70" s="302">
        <f t="shared" si="273"/>
        <v>0</v>
      </c>
      <c r="AP70" s="302">
        <f t="shared" ref="AP70:BD73" si="519">IF(AP$3=$E70,$D70,0)</f>
        <v>0</v>
      </c>
      <c r="AQ70" s="302">
        <f t="shared" si="519"/>
        <v>1071.43</v>
      </c>
      <c r="AR70" s="302">
        <f t="shared" si="519"/>
        <v>0</v>
      </c>
      <c r="AS70" s="302">
        <f t="shared" si="519"/>
        <v>0</v>
      </c>
      <c r="AT70" s="302">
        <f t="shared" si="519"/>
        <v>0</v>
      </c>
      <c r="AU70" s="302">
        <f t="shared" si="519"/>
        <v>0</v>
      </c>
      <c r="AV70" s="302">
        <f t="shared" si="519"/>
        <v>0</v>
      </c>
      <c r="AW70" s="302">
        <f t="shared" si="519"/>
        <v>0</v>
      </c>
      <c r="AX70" s="302">
        <f t="shared" si="519"/>
        <v>0</v>
      </c>
      <c r="AY70" s="302">
        <f t="shared" si="519"/>
        <v>0</v>
      </c>
      <c r="AZ70" s="302">
        <f t="shared" si="519"/>
        <v>0</v>
      </c>
      <c r="BA70" s="302">
        <f t="shared" si="519"/>
        <v>0</v>
      </c>
      <c r="BB70" s="302">
        <f t="shared" si="519"/>
        <v>0</v>
      </c>
      <c r="BC70" s="302">
        <f t="shared" si="519"/>
        <v>0</v>
      </c>
      <c r="BD70" s="302">
        <f t="shared" si="519"/>
        <v>0</v>
      </c>
      <c r="BE70" s="302">
        <f t="shared" si="345"/>
        <v>0</v>
      </c>
      <c r="BF70" s="301">
        <f t="shared" si="274"/>
        <v>0</v>
      </c>
    </row>
    <row r="71" spans="1:58" s="297" customFormat="1" ht="14.45" customHeight="1" x14ac:dyDescent="0.25">
      <c r="A71" s="297" t="s">
        <v>160</v>
      </c>
      <c r="B71" s="256"/>
      <c r="C71" s="247"/>
      <c r="D71" s="368">
        <v>982.1</v>
      </c>
      <c r="E71" s="247" t="s">
        <v>181</v>
      </c>
      <c r="F71" s="247"/>
      <c r="G71" s="354"/>
      <c r="H71" s="354">
        <v>0</v>
      </c>
      <c r="I71" s="354">
        <v>0.18181818181818182</v>
      </c>
      <c r="J71" s="344">
        <v>0.27272727272727271</v>
      </c>
      <c r="K71" s="394">
        <v>0.27272727272727271</v>
      </c>
      <c r="L71" s="394">
        <v>0.27272727272727271</v>
      </c>
      <c r="M71" s="334"/>
      <c r="N71" s="334"/>
      <c r="O71" s="334"/>
      <c r="P71" s="334"/>
      <c r="Q71" s="334"/>
      <c r="R71" s="334"/>
      <c r="S71" s="334"/>
      <c r="T71" s="334"/>
      <c r="U71" s="334"/>
      <c r="V71" s="334"/>
      <c r="W71" s="348">
        <f t="shared" ref="W71:W73" si="520">SUM(G71:V71)</f>
        <v>1</v>
      </c>
      <c r="X71" s="247"/>
      <c r="Y71" s="247"/>
      <c r="Z71" s="302">
        <f t="shared" ref="Z71:Z73" si="521">G71*$D71</f>
        <v>0</v>
      </c>
      <c r="AA71" s="302">
        <f t="shared" ref="AA71:AA73" si="522">H71*$D71</f>
        <v>0</v>
      </c>
      <c r="AB71" s="302">
        <f t="shared" ref="AB71:AB73" si="523">I71*$D71</f>
        <v>178.56363636363636</v>
      </c>
      <c r="AC71" s="302">
        <f t="shared" ref="AC71:AC73" si="524">J71*$D71</f>
        <v>267.84545454545452</v>
      </c>
      <c r="AD71" s="302">
        <f t="shared" ref="AD71:AD73" si="525">K71*$D71</f>
        <v>267.84545454545452</v>
      </c>
      <c r="AE71" s="302">
        <f t="shared" ref="AE71:AE73" si="526">L71*$D71</f>
        <v>267.84545454545452</v>
      </c>
      <c r="AF71" s="302">
        <f t="shared" ref="AF71:AF73" si="527">M71*$D71</f>
        <v>0</v>
      </c>
      <c r="AG71" s="302">
        <f t="shared" ref="AG71:AG73" si="528">N71*$D71</f>
        <v>0</v>
      </c>
      <c r="AH71" s="341">
        <f t="shared" ref="AH71:AH73" si="529">O71*$D71</f>
        <v>0</v>
      </c>
      <c r="AI71" s="302">
        <f t="shared" ref="AI71:AI73" si="530">P71*$D71</f>
        <v>0</v>
      </c>
      <c r="AJ71" s="302">
        <f t="shared" ref="AJ71:AJ73" si="531">Q71*$D71</f>
        <v>0</v>
      </c>
      <c r="AK71" s="302">
        <f t="shared" ref="AK71:AK73" si="532">R71*$D71</f>
        <v>0</v>
      </c>
      <c r="AL71" s="302">
        <f t="shared" ref="AL71:AL73" si="533">S71*$D71</f>
        <v>0</v>
      </c>
      <c r="AM71" s="302">
        <f t="shared" ref="AM71:AM73" si="534">T71*$D71</f>
        <v>0</v>
      </c>
      <c r="AN71" s="302">
        <f t="shared" ref="AN71:AN73" si="535">U71*$D71</f>
        <v>0</v>
      </c>
      <c r="AO71" s="302">
        <f t="shared" si="273"/>
        <v>0</v>
      </c>
      <c r="AP71" s="302">
        <f t="shared" si="519"/>
        <v>0</v>
      </c>
      <c r="AQ71" s="302">
        <f t="shared" si="519"/>
        <v>0</v>
      </c>
      <c r="AR71" s="302">
        <f t="shared" si="519"/>
        <v>982.1</v>
      </c>
      <c r="AS71" s="302">
        <f t="shared" si="519"/>
        <v>0</v>
      </c>
      <c r="AT71" s="302">
        <f t="shared" si="519"/>
        <v>0</v>
      </c>
      <c r="AU71" s="302">
        <f t="shared" si="519"/>
        <v>0</v>
      </c>
      <c r="AV71" s="302">
        <f t="shared" si="519"/>
        <v>0</v>
      </c>
      <c r="AW71" s="302">
        <f t="shared" si="519"/>
        <v>0</v>
      </c>
      <c r="AX71" s="302">
        <f t="shared" si="519"/>
        <v>0</v>
      </c>
      <c r="AY71" s="302">
        <f t="shared" si="519"/>
        <v>0</v>
      </c>
      <c r="AZ71" s="302">
        <f t="shared" si="519"/>
        <v>0</v>
      </c>
      <c r="BA71" s="302">
        <f t="shared" si="519"/>
        <v>0</v>
      </c>
      <c r="BB71" s="302">
        <f t="shared" si="519"/>
        <v>0</v>
      </c>
      <c r="BC71" s="302">
        <f t="shared" si="519"/>
        <v>0</v>
      </c>
      <c r="BD71" s="302">
        <f t="shared" si="519"/>
        <v>0</v>
      </c>
      <c r="BE71" s="302">
        <f t="shared" si="345"/>
        <v>0</v>
      </c>
      <c r="BF71" s="301">
        <f t="shared" si="274"/>
        <v>0</v>
      </c>
    </row>
    <row r="72" spans="1:58" s="297" customFormat="1" ht="14.45" customHeight="1" x14ac:dyDescent="0.25">
      <c r="A72" s="297" t="s">
        <v>160</v>
      </c>
      <c r="B72" s="256"/>
      <c r="C72" s="247"/>
      <c r="D72" s="368">
        <v>1200</v>
      </c>
      <c r="E72" s="247" t="s">
        <v>183</v>
      </c>
      <c r="F72" s="247"/>
      <c r="G72" s="354"/>
      <c r="H72" s="354">
        <v>0</v>
      </c>
      <c r="I72" s="354">
        <v>0</v>
      </c>
      <c r="J72" s="334"/>
      <c r="K72" s="334"/>
      <c r="L72" s="394">
        <v>0.22320833000000001</v>
      </c>
      <c r="M72" s="394">
        <v>0.22320833000000001</v>
      </c>
      <c r="N72" s="394">
        <v>0.22320833000000001</v>
      </c>
      <c r="O72" s="394">
        <f>1-(N72+M72+L72)</f>
        <v>0.33037501000000002</v>
      </c>
      <c r="P72" s="334"/>
      <c r="Q72" s="334"/>
      <c r="R72" s="334"/>
      <c r="S72" s="334"/>
      <c r="T72" s="334"/>
      <c r="U72" s="334"/>
      <c r="V72" s="334"/>
      <c r="W72" s="348">
        <f t="shared" si="520"/>
        <v>1</v>
      </c>
      <c r="X72" s="247"/>
      <c r="Y72" s="247"/>
      <c r="Z72" s="302">
        <f t="shared" si="521"/>
        <v>0</v>
      </c>
      <c r="AA72" s="302">
        <f t="shared" si="522"/>
        <v>0</v>
      </c>
      <c r="AB72" s="302">
        <f t="shared" si="523"/>
        <v>0</v>
      </c>
      <c r="AC72" s="302">
        <f t="shared" si="524"/>
        <v>0</v>
      </c>
      <c r="AD72" s="302">
        <f t="shared" si="525"/>
        <v>0</v>
      </c>
      <c r="AE72" s="302">
        <f t="shared" si="526"/>
        <v>267.84999600000003</v>
      </c>
      <c r="AF72" s="302">
        <f t="shared" si="527"/>
        <v>267.84999600000003</v>
      </c>
      <c r="AG72" s="302">
        <f t="shared" si="528"/>
        <v>267.84999600000003</v>
      </c>
      <c r="AH72" s="341">
        <f t="shared" si="529"/>
        <v>396.45001200000002</v>
      </c>
      <c r="AI72" s="302">
        <f t="shared" si="530"/>
        <v>0</v>
      </c>
      <c r="AJ72" s="302">
        <f t="shared" si="531"/>
        <v>0</v>
      </c>
      <c r="AK72" s="302">
        <f t="shared" si="532"/>
        <v>0</v>
      </c>
      <c r="AL72" s="302">
        <f t="shared" si="533"/>
        <v>0</v>
      </c>
      <c r="AM72" s="302">
        <f t="shared" si="534"/>
        <v>0</v>
      </c>
      <c r="AN72" s="302">
        <f t="shared" si="535"/>
        <v>0</v>
      </c>
      <c r="AO72" s="302">
        <f t="shared" si="273"/>
        <v>0</v>
      </c>
      <c r="AP72" s="302">
        <f t="shared" si="519"/>
        <v>0</v>
      </c>
      <c r="AQ72" s="302">
        <f t="shared" si="519"/>
        <v>0</v>
      </c>
      <c r="AR72" s="302">
        <f t="shared" si="519"/>
        <v>0</v>
      </c>
      <c r="AS72" s="302">
        <f t="shared" si="519"/>
        <v>0</v>
      </c>
      <c r="AT72" s="302">
        <f t="shared" si="519"/>
        <v>0</v>
      </c>
      <c r="AU72" s="302">
        <f t="shared" si="519"/>
        <v>1200</v>
      </c>
      <c r="AV72" s="302">
        <f t="shared" si="519"/>
        <v>0</v>
      </c>
      <c r="AW72" s="302">
        <f t="shared" si="519"/>
        <v>0</v>
      </c>
      <c r="AX72" s="302">
        <f t="shared" si="519"/>
        <v>0</v>
      </c>
      <c r="AY72" s="302">
        <f t="shared" si="519"/>
        <v>0</v>
      </c>
      <c r="AZ72" s="302">
        <f t="shared" si="519"/>
        <v>0</v>
      </c>
      <c r="BA72" s="302">
        <f t="shared" si="519"/>
        <v>0</v>
      </c>
      <c r="BB72" s="302">
        <f t="shared" si="519"/>
        <v>0</v>
      </c>
      <c r="BC72" s="302">
        <f t="shared" si="519"/>
        <v>0</v>
      </c>
      <c r="BD72" s="302">
        <f t="shared" si="519"/>
        <v>0</v>
      </c>
      <c r="BE72" s="302">
        <f t="shared" si="345"/>
        <v>0</v>
      </c>
      <c r="BF72" s="301">
        <f t="shared" ref="BF72:BF76" si="536">SUM(Z72:AO72)-SUM(AP72:BE72)</f>
        <v>0</v>
      </c>
    </row>
    <row r="73" spans="1:58" s="297" customFormat="1" ht="14.45" customHeight="1" x14ac:dyDescent="0.25">
      <c r="A73" s="297" t="s">
        <v>160</v>
      </c>
      <c r="B73" s="256"/>
      <c r="C73" s="247"/>
      <c r="D73" s="368">
        <v>1071.3599999999999</v>
      </c>
      <c r="E73" s="247" t="s">
        <v>195</v>
      </c>
      <c r="F73" s="247"/>
      <c r="G73" s="354"/>
      <c r="H73" s="354">
        <v>0</v>
      </c>
      <c r="I73" s="354">
        <v>0</v>
      </c>
      <c r="J73" s="334"/>
      <c r="K73" s="334"/>
      <c r="L73" s="334"/>
      <c r="M73" s="344">
        <v>0.25</v>
      </c>
      <c r="N73" s="344">
        <v>0.25</v>
      </c>
      <c r="O73" s="344">
        <v>0.25</v>
      </c>
      <c r="P73" s="344">
        <v>0.25</v>
      </c>
      <c r="Q73" s="334"/>
      <c r="R73" s="334"/>
      <c r="S73" s="334"/>
      <c r="T73" s="334"/>
      <c r="U73" s="334"/>
      <c r="V73" s="334"/>
      <c r="W73" s="348">
        <f t="shared" si="520"/>
        <v>1</v>
      </c>
      <c r="X73" s="247"/>
      <c r="Y73" s="247"/>
      <c r="Z73" s="302">
        <f t="shared" si="521"/>
        <v>0</v>
      </c>
      <c r="AA73" s="302">
        <f t="shared" si="522"/>
        <v>0</v>
      </c>
      <c r="AB73" s="302">
        <f t="shared" si="523"/>
        <v>0</v>
      </c>
      <c r="AC73" s="302">
        <f t="shared" si="524"/>
        <v>0</v>
      </c>
      <c r="AD73" s="302">
        <f t="shared" si="525"/>
        <v>0</v>
      </c>
      <c r="AE73" s="302">
        <f t="shared" si="526"/>
        <v>0</v>
      </c>
      <c r="AF73" s="302">
        <f t="shared" si="527"/>
        <v>267.83999999999997</v>
      </c>
      <c r="AG73" s="302">
        <f t="shared" si="528"/>
        <v>267.83999999999997</v>
      </c>
      <c r="AH73" s="341">
        <f t="shared" si="529"/>
        <v>267.83999999999997</v>
      </c>
      <c r="AI73" s="341">
        <f t="shared" si="530"/>
        <v>267.83999999999997</v>
      </c>
      <c r="AJ73" s="302">
        <f t="shared" si="531"/>
        <v>0</v>
      </c>
      <c r="AK73" s="302">
        <f t="shared" si="532"/>
        <v>0</v>
      </c>
      <c r="AL73" s="302">
        <f t="shared" si="533"/>
        <v>0</v>
      </c>
      <c r="AM73" s="302">
        <f t="shared" si="534"/>
        <v>0</v>
      </c>
      <c r="AN73" s="302">
        <f t="shared" si="535"/>
        <v>0</v>
      </c>
      <c r="AO73" s="302">
        <f t="shared" si="273"/>
        <v>0</v>
      </c>
      <c r="AP73" s="302">
        <f t="shared" si="519"/>
        <v>0</v>
      </c>
      <c r="AQ73" s="302">
        <f t="shared" si="519"/>
        <v>0</v>
      </c>
      <c r="AR73" s="302">
        <f t="shared" si="519"/>
        <v>0</v>
      </c>
      <c r="AS73" s="302">
        <f t="shared" si="519"/>
        <v>0</v>
      </c>
      <c r="AT73" s="302">
        <f t="shared" si="519"/>
        <v>0</v>
      </c>
      <c r="AU73" s="302">
        <f t="shared" si="519"/>
        <v>0</v>
      </c>
      <c r="AV73" s="302">
        <f t="shared" si="519"/>
        <v>1071.3599999999999</v>
      </c>
      <c r="AW73" s="302">
        <f t="shared" si="519"/>
        <v>0</v>
      </c>
      <c r="AX73" s="302">
        <f t="shared" si="519"/>
        <v>0</v>
      </c>
      <c r="AY73" s="302">
        <f t="shared" si="519"/>
        <v>0</v>
      </c>
      <c r="AZ73" s="302">
        <f t="shared" si="519"/>
        <v>0</v>
      </c>
      <c r="BA73" s="302">
        <f t="shared" si="519"/>
        <v>0</v>
      </c>
      <c r="BB73" s="302">
        <f t="shared" si="519"/>
        <v>0</v>
      </c>
      <c r="BC73" s="302">
        <f t="shared" si="519"/>
        <v>0</v>
      </c>
      <c r="BD73" s="302">
        <f t="shared" si="519"/>
        <v>0</v>
      </c>
      <c r="BE73" s="302">
        <f t="shared" si="345"/>
        <v>0</v>
      </c>
      <c r="BF73" s="301">
        <f t="shared" si="536"/>
        <v>0</v>
      </c>
    </row>
    <row r="74" spans="1:58" ht="14.45" customHeight="1" x14ac:dyDescent="0.25">
      <c r="B74" s="237"/>
      <c r="D74" s="339"/>
      <c r="E74" s="247"/>
      <c r="F74" s="247"/>
      <c r="G74" s="247"/>
      <c r="H74" s="247"/>
      <c r="I74" s="320"/>
      <c r="J74" s="247"/>
      <c r="K74" s="247"/>
      <c r="L74" s="247"/>
      <c r="M74" s="247"/>
      <c r="N74" s="247"/>
      <c r="O74" s="247"/>
      <c r="P74" s="247"/>
      <c r="Q74" s="247"/>
      <c r="R74" s="247"/>
      <c r="S74" s="247"/>
      <c r="T74" s="247"/>
      <c r="U74" s="247"/>
      <c r="V74" s="247"/>
      <c r="W74" s="247"/>
      <c r="X74" s="247"/>
      <c r="Y74" s="247"/>
      <c r="Z74" s="302">
        <f t="shared" ref="Z74" si="537">G74*$D74</f>
        <v>0</v>
      </c>
      <c r="AA74" s="302">
        <f t="shared" ref="AA74" si="538">H74*$D74</f>
        <v>0</v>
      </c>
      <c r="AB74" s="302">
        <f t="shared" ref="AB74" si="539">I74*$D74</f>
        <v>0</v>
      </c>
      <c r="AC74" s="302">
        <f t="shared" ref="AC74" si="540">J74*$D74</f>
        <v>0</v>
      </c>
      <c r="AD74" s="302">
        <f t="shared" ref="AD74" si="541">K74*$D74</f>
        <v>0</v>
      </c>
      <c r="AE74" s="302">
        <f t="shared" ref="AE74" si="542">L74*$D74</f>
        <v>0</v>
      </c>
      <c r="AF74" s="302">
        <f t="shared" ref="AF74" si="543">M74*$D74</f>
        <v>0</v>
      </c>
      <c r="AG74" s="302">
        <f t="shared" ref="AG74" si="544">N74*$D74</f>
        <v>0</v>
      </c>
      <c r="AH74" s="302">
        <f t="shared" ref="AH74" si="545">O74*$D74</f>
        <v>0</v>
      </c>
      <c r="AI74" s="302">
        <f t="shared" ref="AI74" si="546">P74*$D74</f>
        <v>0</v>
      </c>
      <c r="AJ74" s="302">
        <f t="shared" ref="AJ74" si="547">Q74*$D74</f>
        <v>0</v>
      </c>
      <c r="AK74" s="302">
        <f t="shared" ref="AK74" si="548">R74*$D74</f>
        <v>0</v>
      </c>
      <c r="AL74" s="302">
        <f t="shared" ref="AL74" si="549">S74*$D74</f>
        <v>0</v>
      </c>
      <c r="AM74" s="302">
        <f t="shared" ref="AM74" si="550">T74*$D74</f>
        <v>0</v>
      </c>
      <c r="AN74" s="302">
        <f t="shared" ref="AN74" si="551">U74*$D74</f>
        <v>0</v>
      </c>
      <c r="AO74" s="302">
        <f t="shared" si="273"/>
        <v>0</v>
      </c>
      <c r="AP74" s="302">
        <f t="shared" ref="AP74:BE74" si="552">IF(AP$3=$E74,$D74,0)</f>
        <v>0</v>
      </c>
      <c r="AQ74" s="302">
        <f t="shared" si="552"/>
        <v>0</v>
      </c>
      <c r="AR74" s="302">
        <f t="shared" si="552"/>
        <v>0</v>
      </c>
      <c r="AS74" s="302">
        <f t="shared" si="552"/>
        <v>0</v>
      </c>
      <c r="AT74" s="302">
        <f t="shared" si="552"/>
        <v>0</v>
      </c>
      <c r="AU74" s="302">
        <f t="shared" si="552"/>
        <v>0</v>
      </c>
      <c r="AV74" s="302">
        <f t="shared" si="552"/>
        <v>0</v>
      </c>
      <c r="AW74" s="302">
        <f t="shared" si="552"/>
        <v>0</v>
      </c>
      <c r="AX74" s="302">
        <f t="shared" si="552"/>
        <v>0</v>
      </c>
      <c r="AY74" s="302">
        <f t="shared" si="552"/>
        <v>0</v>
      </c>
      <c r="AZ74" s="302">
        <f t="shared" si="552"/>
        <v>0</v>
      </c>
      <c r="BA74" s="302">
        <f t="shared" si="552"/>
        <v>0</v>
      </c>
      <c r="BB74" s="302">
        <f t="shared" si="552"/>
        <v>0</v>
      </c>
      <c r="BC74" s="302">
        <f t="shared" si="552"/>
        <v>0</v>
      </c>
      <c r="BD74" s="302">
        <f t="shared" si="552"/>
        <v>0</v>
      </c>
      <c r="BE74" s="302">
        <f t="shared" si="552"/>
        <v>0</v>
      </c>
      <c r="BF74" s="301">
        <f t="shared" si="536"/>
        <v>0</v>
      </c>
    </row>
    <row r="75" spans="1:58" ht="14.45" customHeight="1" x14ac:dyDescent="0.25">
      <c r="D75" s="247" t="s">
        <v>179</v>
      </c>
      <c r="E75" s="247"/>
      <c r="F75" s="247"/>
      <c r="G75" s="247" t="s">
        <v>162</v>
      </c>
      <c r="H75" s="247" t="s">
        <v>166</v>
      </c>
      <c r="I75" s="320" t="s">
        <v>167</v>
      </c>
      <c r="J75" s="247" t="s">
        <v>168</v>
      </c>
      <c r="K75" s="247" t="s">
        <v>169</v>
      </c>
      <c r="L75" s="247" t="s">
        <v>170</v>
      </c>
      <c r="M75" s="247" t="s">
        <v>171</v>
      </c>
      <c r="N75" s="247" t="s">
        <v>172</v>
      </c>
      <c r="O75" s="247" t="s">
        <v>173</v>
      </c>
      <c r="P75" s="247" t="s">
        <v>174</v>
      </c>
      <c r="Q75" s="247" t="s">
        <v>175</v>
      </c>
      <c r="R75" s="247" t="s">
        <v>176</v>
      </c>
      <c r="S75" s="247" t="s">
        <v>177</v>
      </c>
      <c r="T75" s="247" t="s">
        <v>178</v>
      </c>
      <c r="U75" s="247" t="s">
        <v>180</v>
      </c>
      <c r="V75" s="360" t="s">
        <v>266</v>
      </c>
      <c r="W75" s="247" t="s">
        <v>179</v>
      </c>
      <c r="X75" s="247"/>
      <c r="Y75" s="247"/>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240"/>
      <c r="AY75" s="240"/>
      <c r="AZ75" s="240"/>
      <c r="BA75" s="240"/>
      <c r="BB75" s="240"/>
      <c r="BC75" s="240"/>
      <c r="BD75" s="240"/>
      <c r="BE75" s="240"/>
      <c r="BF75" s="301">
        <f t="shared" si="536"/>
        <v>0</v>
      </c>
    </row>
    <row r="76" spans="1:58" ht="14.45" customHeight="1" x14ac:dyDescent="0.25">
      <c r="A76" s="236" t="s">
        <v>206</v>
      </c>
      <c r="B76" s="236"/>
      <c r="D76" s="339"/>
      <c r="E76" s="247"/>
      <c r="F76" s="247"/>
      <c r="G76" s="247"/>
      <c r="H76" s="247"/>
      <c r="I76" s="320"/>
      <c r="J76" s="247"/>
      <c r="K76" s="247"/>
      <c r="L76" s="247"/>
      <c r="M76" s="247"/>
      <c r="N76" s="247"/>
      <c r="O76" s="247"/>
      <c r="P76" s="247"/>
      <c r="Q76" s="247"/>
      <c r="R76" s="247"/>
      <c r="S76" s="247"/>
      <c r="T76" s="247"/>
      <c r="U76" s="247"/>
      <c r="V76" s="247"/>
      <c r="W76" s="247"/>
      <c r="X76" s="247"/>
      <c r="Y76" s="247"/>
      <c r="Z76" s="302"/>
      <c r="AA76" s="302"/>
      <c r="AB76" s="302"/>
      <c r="AC76" s="302"/>
      <c r="AD76" s="302"/>
      <c r="AE76" s="302"/>
      <c r="AF76" s="302"/>
      <c r="AG76" s="302"/>
      <c r="AH76" s="302"/>
      <c r="AI76" s="302"/>
      <c r="AJ76" s="302"/>
      <c r="AK76" s="302"/>
      <c r="AL76" s="302"/>
      <c r="AM76" s="302"/>
      <c r="AN76" s="302"/>
      <c r="AO76" s="302"/>
      <c r="AP76" s="302" t="s">
        <v>162</v>
      </c>
      <c r="AQ76" s="302" t="s">
        <v>166</v>
      </c>
      <c r="AR76" s="302" t="s">
        <v>167</v>
      </c>
      <c r="AS76" s="302" t="s">
        <v>168</v>
      </c>
      <c r="AT76" s="302" t="s">
        <v>162</v>
      </c>
      <c r="AU76" s="302" t="s">
        <v>166</v>
      </c>
      <c r="AV76" s="302" t="s">
        <v>167</v>
      </c>
      <c r="AW76" s="302" t="s">
        <v>168</v>
      </c>
      <c r="AX76" s="239" t="s">
        <v>162</v>
      </c>
      <c r="AY76" s="239" t="s">
        <v>166</v>
      </c>
      <c r="AZ76" s="239" t="s">
        <v>167</v>
      </c>
      <c r="BA76" s="239" t="s">
        <v>168</v>
      </c>
      <c r="BB76" s="239" t="s">
        <v>162</v>
      </c>
      <c r="BC76" s="239" t="s">
        <v>166</v>
      </c>
      <c r="BD76" s="239" t="s">
        <v>167</v>
      </c>
      <c r="BE76" s="239" t="s">
        <v>168</v>
      </c>
      <c r="BF76" s="301">
        <f t="shared" si="536"/>
        <v>0</v>
      </c>
    </row>
    <row r="77" spans="1:58" s="297" customFormat="1" ht="14.45" customHeight="1" x14ac:dyDescent="0.25">
      <c r="A77" s="297" t="s">
        <v>148</v>
      </c>
      <c r="B77" s="245"/>
      <c r="D77" s="385">
        <v>529.46</v>
      </c>
      <c r="E77" s="247" t="s">
        <v>195</v>
      </c>
      <c r="F77" s="247"/>
      <c r="G77" s="350"/>
      <c r="H77" s="350"/>
      <c r="I77" s="350"/>
      <c r="J77" s="351"/>
      <c r="K77" s="351">
        <v>0</v>
      </c>
      <c r="L77" s="351">
        <v>0</v>
      </c>
      <c r="M77" s="351">
        <v>0</v>
      </c>
      <c r="N77" s="351">
        <v>1</v>
      </c>
      <c r="O77" s="351"/>
      <c r="P77" s="351"/>
      <c r="Q77" s="351"/>
      <c r="R77" s="351"/>
      <c r="S77" s="351"/>
      <c r="T77" s="351"/>
      <c r="U77" s="335"/>
      <c r="V77" s="335"/>
      <c r="W77" s="348">
        <f t="shared" ref="W77:W78" si="553">SUM(G77:V77)</f>
        <v>1</v>
      </c>
      <c r="X77" s="247"/>
      <c r="Y77" s="247"/>
      <c r="Z77" s="302">
        <f t="shared" ref="Z77:Z78" si="554">G77*$D77</f>
        <v>0</v>
      </c>
      <c r="AA77" s="341">
        <f t="shared" ref="AA77:AA78" si="555">H77*$D77</f>
        <v>0</v>
      </c>
      <c r="AB77" s="341">
        <f t="shared" ref="AB77:AB78" si="556">I77*$D77</f>
        <v>0</v>
      </c>
      <c r="AC77" s="341">
        <f t="shared" ref="AC77:AC78" si="557">J77*$D77</f>
        <v>0</v>
      </c>
      <c r="AD77" s="341">
        <f t="shared" ref="AD77:AD78" si="558">K77*$D77</f>
        <v>0</v>
      </c>
      <c r="AE77" s="341">
        <f t="shared" ref="AE77:AE78" si="559">L77*$D77</f>
        <v>0</v>
      </c>
      <c r="AF77" s="341">
        <f t="shared" ref="AF77:AF78" si="560">M77*$D77</f>
        <v>0</v>
      </c>
      <c r="AG77" s="341">
        <f t="shared" ref="AG77:AG78" si="561">N77*$D77</f>
        <v>529.46</v>
      </c>
      <c r="AH77" s="341">
        <f t="shared" ref="AH77:AH78" si="562">O77*$D77</f>
        <v>0</v>
      </c>
      <c r="AI77" s="302">
        <f t="shared" ref="AI77:AI78" si="563">P77*$D77</f>
        <v>0</v>
      </c>
      <c r="AJ77" s="302">
        <f t="shared" ref="AJ77:AJ78" si="564">Q77*$D77</f>
        <v>0</v>
      </c>
      <c r="AK77" s="302">
        <f t="shared" ref="AK77:AK78" si="565">R77*$D77</f>
        <v>0</v>
      </c>
      <c r="AL77" s="302">
        <f t="shared" ref="AL77:AL78" si="566">S77*$D77</f>
        <v>0</v>
      </c>
      <c r="AM77" s="302">
        <f t="shared" ref="AM77:AM78" si="567">T77*$D77</f>
        <v>0</v>
      </c>
      <c r="AN77" s="302">
        <f t="shared" ref="AN77:AN78" si="568">U77*$D77</f>
        <v>0</v>
      </c>
      <c r="AO77" s="302">
        <f t="shared" ref="AO77:AO78" si="569">V77*$D77</f>
        <v>0</v>
      </c>
      <c r="AP77" s="302">
        <f t="shared" ref="AP77:BE78" si="570">IF(AP$3=$E77,$D77,0)</f>
        <v>0</v>
      </c>
      <c r="AQ77" s="302">
        <f t="shared" si="570"/>
        <v>0</v>
      </c>
      <c r="AR77" s="302">
        <f t="shared" si="570"/>
        <v>0</v>
      </c>
      <c r="AS77" s="302">
        <f t="shared" si="570"/>
        <v>0</v>
      </c>
      <c r="AT77" s="302">
        <v>0</v>
      </c>
      <c r="AU77" s="302">
        <v>0</v>
      </c>
      <c r="AV77" s="302">
        <f t="shared" si="570"/>
        <v>529.46</v>
      </c>
      <c r="AW77" s="341">
        <f t="shared" si="570"/>
        <v>0</v>
      </c>
      <c r="AX77" s="302">
        <f t="shared" si="570"/>
        <v>0</v>
      </c>
      <c r="AY77" s="302">
        <f t="shared" si="570"/>
        <v>0</v>
      </c>
      <c r="AZ77" s="302">
        <f t="shared" si="570"/>
        <v>0</v>
      </c>
      <c r="BA77" s="302">
        <f t="shared" si="570"/>
        <v>0</v>
      </c>
      <c r="BB77" s="302">
        <f t="shared" si="570"/>
        <v>0</v>
      </c>
      <c r="BC77" s="302">
        <f t="shared" si="570"/>
        <v>0</v>
      </c>
      <c r="BD77" s="302">
        <f t="shared" si="570"/>
        <v>0</v>
      </c>
      <c r="BE77" s="302">
        <f t="shared" si="570"/>
        <v>0</v>
      </c>
      <c r="BF77" s="301">
        <f t="shared" ref="BF77:BF78" si="571">SUM(Z77:AO77)-SUM(AP77:BE77)</f>
        <v>0</v>
      </c>
    </row>
    <row r="78" spans="1:58" s="297" customFormat="1" ht="14.45" customHeight="1" x14ac:dyDescent="0.25">
      <c r="A78" s="297" t="s">
        <v>148</v>
      </c>
      <c r="B78" s="245"/>
      <c r="D78" s="385">
        <v>198.71</v>
      </c>
      <c r="E78" s="247" t="s">
        <v>235</v>
      </c>
      <c r="F78" s="247"/>
      <c r="G78" s="350"/>
      <c r="H78" s="350"/>
      <c r="I78" s="350"/>
      <c r="J78" s="351"/>
      <c r="K78" s="351">
        <v>0</v>
      </c>
      <c r="L78" s="351">
        <v>0</v>
      </c>
      <c r="M78" s="351">
        <v>0</v>
      </c>
      <c r="N78" s="351">
        <v>1</v>
      </c>
      <c r="O78" s="351"/>
      <c r="P78" s="351"/>
      <c r="Q78" s="351"/>
      <c r="R78" s="351"/>
      <c r="S78" s="351"/>
      <c r="T78" s="351"/>
      <c r="U78" s="335"/>
      <c r="V78" s="335"/>
      <c r="W78" s="348">
        <f t="shared" si="553"/>
        <v>1</v>
      </c>
      <c r="X78" s="247"/>
      <c r="Y78" s="247"/>
      <c r="Z78" s="302">
        <f t="shared" si="554"/>
        <v>0</v>
      </c>
      <c r="AA78" s="341">
        <f t="shared" si="555"/>
        <v>0</v>
      </c>
      <c r="AB78" s="341">
        <f t="shared" si="556"/>
        <v>0</v>
      </c>
      <c r="AC78" s="341">
        <f t="shared" si="557"/>
        <v>0</v>
      </c>
      <c r="AD78" s="341">
        <f t="shared" si="558"/>
        <v>0</v>
      </c>
      <c r="AE78" s="341">
        <f t="shared" si="559"/>
        <v>0</v>
      </c>
      <c r="AF78" s="341">
        <f t="shared" si="560"/>
        <v>0</v>
      </c>
      <c r="AG78" s="341">
        <f t="shared" si="561"/>
        <v>198.71</v>
      </c>
      <c r="AH78" s="341">
        <f t="shared" si="562"/>
        <v>0</v>
      </c>
      <c r="AI78" s="302">
        <f t="shared" si="563"/>
        <v>0</v>
      </c>
      <c r="AJ78" s="302">
        <f t="shared" si="564"/>
        <v>0</v>
      </c>
      <c r="AK78" s="302">
        <f t="shared" si="565"/>
        <v>0</v>
      </c>
      <c r="AL78" s="302">
        <f t="shared" si="566"/>
        <v>0</v>
      </c>
      <c r="AM78" s="302">
        <f t="shared" si="567"/>
        <v>0</v>
      </c>
      <c r="AN78" s="302">
        <f t="shared" si="568"/>
        <v>0</v>
      </c>
      <c r="AO78" s="302">
        <f t="shared" si="569"/>
        <v>0</v>
      </c>
      <c r="AP78" s="302">
        <f t="shared" si="570"/>
        <v>0</v>
      </c>
      <c r="AQ78" s="302">
        <f t="shared" si="570"/>
        <v>0</v>
      </c>
      <c r="AR78" s="302">
        <f t="shared" si="570"/>
        <v>0</v>
      </c>
      <c r="AS78" s="302">
        <f t="shared" si="570"/>
        <v>0</v>
      </c>
      <c r="AT78" s="302">
        <v>0</v>
      </c>
      <c r="AU78" s="302">
        <v>0</v>
      </c>
      <c r="AV78" s="302">
        <f t="shared" si="570"/>
        <v>0</v>
      </c>
      <c r="AW78" s="341">
        <f t="shared" si="570"/>
        <v>198.71</v>
      </c>
      <c r="AX78" s="302">
        <f t="shared" si="570"/>
        <v>0</v>
      </c>
      <c r="AY78" s="302">
        <f t="shared" si="570"/>
        <v>0</v>
      </c>
      <c r="AZ78" s="302">
        <f t="shared" si="570"/>
        <v>0</v>
      </c>
      <c r="BA78" s="302">
        <f t="shared" si="570"/>
        <v>0</v>
      </c>
      <c r="BB78" s="302">
        <f t="shared" si="570"/>
        <v>0</v>
      </c>
      <c r="BC78" s="302">
        <f t="shared" si="570"/>
        <v>0</v>
      </c>
      <c r="BD78" s="302">
        <f t="shared" si="570"/>
        <v>0</v>
      </c>
      <c r="BE78" s="302">
        <f t="shared" si="570"/>
        <v>0</v>
      </c>
      <c r="BF78" s="301">
        <f t="shared" si="571"/>
        <v>0</v>
      </c>
    </row>
    <row r="79" spans="1:58" ht="14.45" customHeight="1" x14ac:dyDescent="0.25">
      <c r="A79" t="s">
        <v>147</v>
      </c>
      <c r="B79" s="245"/>
      <c r="D79" s="380">
        <f>SUM(G79:V79)</f>
        <v>147034.08000000002</v>
      </c>
      <c r="E79" s="334" t="s">
        <v>209</v>
      </c>
      <c r="F79" s="334"/>
      <c r="G79" s="334"/>
      <c r="H79" s="386">
        <v>1400</v>
      </c>
      <c r="I79" s="387">
        <v>9000</v>
      </c>
      <c r="J79" s="386">
        <v>9000</v>
      </c>
      <c r="K79" s="386">
        <v>10232.64</v>
      </c>
      <c r="L79" s="386">
        <v>11130.24</v>
      </c>
      <c r="M79" s="386">
        <f>10771.2-403.92</f>
        <v>10367.280000000001</v>
      </c>
      <c r="N79" s="386">
        <f>11500+403.92-751.24</f>
        <v>11152.68</v>
      </c>
      <c r="O79" s="386">
        <f>10500+751.24</f>
        <v>11251.24</v>
      </c>
      <c r="P79" s="386">
        <v>10500</v>
      </c>
      <c r="Q79" s="386">
        <v>10500</v>
      </c>
      <c r="R79" s="386">
        <v>10500</v>
      </c>
      <c r="S79" s="386">
        <v>10500</v>
      </c>
      <c r="T79" s="338">
        <v>10500</v>
      </c>
      <c r="U79" s="338">
        <v>10500</v>
      </c>
      <c r="V79" s="338">
        <v>10500</v>
      </c>
      <c r="W79" s="346">
        <f>SUM(G79:V79)</f>
        <v>147034.08000000002</v>
      </c>
      <c r="X79" s="247"/>
      <c r="Y79" s="247"/>
      <c r="Z79" s="302">
        <f t="shared" ref="Z79:Z93" si="572">G79</f>
        <v>0</v>
      </c>
      <c r="AA79" s="341">
        <f t="shared" ref="AA79:AN82" si="573">H79</f>
        <v>1400</v>
      </c>
      <c r="AB79" s="341">
        <f t="shared" si="573"/>
        <v>9000</v>
      </c>
      <c r="AC79" s="341">
        <f t="shared" si="573"/>
        <v>9000</v>
      </c>
      <c r="AD79" s="341">
        <f t="shared" si="573"/>
        <v>10232.64</v>
      </c>
      <c r="AE79" s="341">
        <f t="shared" si="573"/>
        <v>11130.24</v>
      </c>
      <c r="AF79" s="341">
        <f t="shared" si="573"/>
        <v>10367.280000000001</v>
      </c>
      <c r="AG79" s="341">
        <f t="shared" si="573"/>
        <v>11152.68</v>
      </c>
      <c r="AH79" s="341">
        <f t="shared" si="573"/>
        <v>11251.24</v>
      </c>
      <c r="AI79" s="302">
        <f t="shared" si="573"/>
        <v>10500</v>
      </c>
      <c r="AJ79" s="302">
        <f t="shared" si="573"/>
        <v>10500</v>
      </c>
      <c r="AK79" s="302">
        <f t="shared" si="573"/>
        <v>10500</v>
      </c>
      <c r="AL79" s="302">
        <f t="shared" si="573"/>
        <v>10500</v>
      </c>
      <c r="AM79" s="302">
        <f t="shared" si="573"/>
        <v>10500</v>
      </c>
      <c r="AN79" s="302">
        <f t="shared" si="573"/>
        <v>10500</v>
      </c>
      <c r="AO79" s="302">
        <f>V79</f>
        <v>10500</v>
      </c>
      <c r="AP79" s="302">
        <f>IF(AP$76=$E79,SUM(Z79:AC79),0)</f>
        <v>0</v>
      </c>
      <c r="AQ79" s="302">
        <v>43635.199999999997</v>
      </c>
      <c r="AR79" s="302">
        <f>IF(AR$76=$E79,SUM(AB79:AE79),0)</f>
        <v>0</v>
      </c>
      <c r="AS79" s="302">
        <f>IF(AS$76=$E79,SUM(AC79:AF79),0)</f>
        <v>0</v>
      </c>
      <c r="AT79" s="302">
        <f>IF(AT$76=$E79,SUM(AD79:AG79),0)</f>
        <v>0</v>
      </c>
      <c r="AU79" s="302">
        <v>0</v>
      </c>
      <c r="AV79" s="302">
        <v>43758</v>
      </c>
      <c r="AW79" s="341">
        <f>IF(AW$76=$E79,SUM(AG79:AJ79),0)</f>
        <v>0</v>
      </c>
      <c r="AX79" s="302">
        <f>IF(AX$76=$E79,SUM(AH79:AK79),0)</f>
        <v>0</v>
      </c>
      <c r="AY79" s="302">
        <v>0</v>
      </c>
      <c r="AZ79" s="302">
        <v>42000</v>
      </c>
      <c r="BA79" s="302">
        <f>IF(BA$76=$E79,SUM(AK79:AN79),0)</f>
        <v>0</v>
      </c>
      <c r="BB79" s="302">
        <f>IF(BB$76=$E79,SUM(AL79:$AN79),0)</f>
        <v>0</v>
      </c>
      <c r="BC79" s="302">
        <v>0</v>
      </c>
      <c r="BD79" s="302">
        <f>17755.2-114.32</f>
        <v>17640.88</v>
      </c>
      <c r="BE79" s="302">
        <v>0</v>
      </c>
      <c r="BF79" s="363">
        <f t="shared" ref="BF79:BF97" si="574">SUM(Z79:AO79)-SUM(AP79:BE79)</f>
        <v>0</v>
      </c>
    </row>
    <row r="80" spans="1:58" ht="14.45" customHeight="1" x14ac:dyDescent="0.25">
      <c r="A80" t="s">
        <v>147</v>
      </c>
      <c r="B80" s="245"/>
      <c r="D80" s="380">
        <f>SUM(G80:V80)</f>
        <v>63320.160000000003</v>
      </c>
      <c r="E80" s="334" t="s">
        <v>183</v>
      </c>
      <c r="F80" s="334"/>
      <c r="G80" s="334"/>
      <c r="H80" s="382"/>
      <c r="I80" s="387"/>
      <c r="J80" s="386" t="s">
        <v>118</v>
      </c>
      <c r="K80" s="386">
        <v>0</v>
      </c>
      <c r="L80" s="386">
        <v>2358.88</v>
      </c>
      <c r="M80" s="386">
        <f>6461.28-205.12</f>
        <v>6256.16</v>
      </c>
      <c r="N80" s="386">
        <f>6500+205.12-346.4</f>
        <v>6358.72</v>
      </c>
      <c r="O80" s="386">
        <f>6000+346.4</f>
        <v>6346.4</v>
      </c>
      <c r="P80" s="386">
        <v>6000</v>
      </c>
      <c r="Q80" s="386">
        <v>6000</v>
      </c>
      <c r="R80" s="386">
        <v>6000</v>
      </c>
      <c r="S80" s="386">
        <v>6000</v>
      </c>
      <c r="T80" s="338">
        <v>6000</v>
      </c>
      <c r="U80" s="338">
        <v>6000</v>
      </c>
      <c r="V80" s="338">
        <v>6000</v>
      </c>
      <c r="W80" s="346">
        <f t="shared" ref="W80:W90" si="575">SUM(G80:V80)</f>
        <v>63320.160000000003</v>
      </c>
      <c r="X80" s="247"/>
      <c r="Y80" s="247"/>
      <c r="Z80" s="302">
        <f t="shared" si="572"/>
        <v>0</v>
      </c>
      <c r="AA80" s="341">
        <f t="shared" si="573"/>
        <v>0</v>
      </c>
      <c r="AB80" s="341">
        <f t="shared" si="573"/>
        <v>0</v>
      </c>
      <c r="AC80" s="341" t="str">
        <f t="shared" si="573"/>
        <v xml:space="preserve"> </v>
      </c>
      <c r="AD80" s="341">
        <f t="shared" si="573"/>
        <v>0</v>
      </c>
      <c r="AE80" s="341">
        <f t="shared" si="573"/>
        <v>2358.88</v>
      </c>
      <c r="AF80" s="341">
        <f t="shared" si="573"/>
        <v>6256.16</v>
      </c>
      <c r="AG80" s="341">
        <f t="shared" si="573"/>
        <v>6358.72</v>
      </c>
      <c r="AH80" s="341">
        <f t="shared" si="573"/>
        <v>6346.4</v>
      </c>
      <c r="AI80" s="302">
        <f t="shared" si="573"/>
        <v>6000</v>
      </c>
      <c r="AJ80" s="302">
        <f t="shared" si="573"/>
        <v>6000</v>
      </c>
      <c r="AK80" s="302">
        <f t="shared" si="573"/>
        <v>6000</v>
      </c>
      <c r="AL80" s="302">
        <f t="shared" si="573"/>
        <v>6000</v>
      </c>
      <c r="AM80" s="302">
        <f t="shared" si="573"/>
        <v>6000</v>
      </c>
      <c r="AN80" s="302">
        <f t="shared" si="573"/>
        <v>6000</v>
      </c>
      <c r="AO80" s="302">
        <f>V80</f>
        <v>6000</v>
      </c>
      <c r="AP80" s="302">
        <f>IF(AP$76=$E80,SUM(Z80:AC80),0)</f>
        <v>0</v>
      </c>
      <c r="AQ80" s="302">
        <f>IF(AQ$76=$E80,SUM(AA80:AD80),0)</f>
        <v>0</v>
      </c>
      <c r="AR80" s="302">
        <f>IF(AR$76=$E80,SUM(AB80:AE80),0)</f>
        <v>0</v>
      </c>
      <c r="AS80" s="302">
        <f>IF(AS$76=$E80,SUM(AC80:AF80),0)</f>
        <v>0</v>
      </c>
      <c r="AT80" s="302">
        <f t="shared" ref="AT80" si="576">IF(AT$3=$E80,$D80,0)</f>
        <v>0</v>
      </c>
      <c r="AU80" s="302">
        <v>25000</v>
      </c>
      <c r="AV80" s="302">
        <f>IF(AV$76=$E80,SUM(AF80:AI80),0)</f>
        <v>0</v>
      </c>
      <c r="AW80" s="302">
        <f>IF(AW$76=$E80,SUM(AG80:AJ80),0)</f>
        <v>0</v>
      </c>
      <c r="AX80" s="302">
        <f>IF(AX$76=$E80,SUM(AH80:AK80),0)</f>
        <v>0</v>
      </c>
      <c r="AY80" s="302">
        <v>24000</v>
      </c>
      <c r="AZ80" s="302">
        <f>IF(AZ$76=$E80,SUM(AJ80:AM80),0)</f>
        <v>0</v>
      </c>
      <c r="BA80" s="302">
        <f>IF(BA$76=$E80,SUM(AK80:AN80),0)</f>
        <v>0</v>
      </c>
      <c r="BB80" s="302">
        <f>IF(BB$76=$E80,SUM(AL80:$AN80),0)</f>
        <v>0</v>
      </c>
      <c r="BC80" s="302">
        <v>14320.16</v>
      </c>
      <c r="BD80" s="302">
        <f>IF(BD$76=$E80,SUM(AN80:$AN80),0)</f>
        <v>0</v>
      </c>
      <c r="BE80" s="302">
        <v>0</v>
      </c>
      <c r="BF80" s="363">
        <f t="shared" si="574"/>
        <v>0</v>
      </c>
    </row>
    <row r="81" spans="1:59" s="297" customFormat="1" ht="14.45" customHeight="1" x14ac:dyDescent="0.25">
      <c r="A81" s="297" t="s">
        <v>158</v>
      </c>
      <c r="B81" s="256"/>
      <c r="D81" s="368">
        <v>2619.65</v>
      </c>
      <c r="E81" s="247" t="s">
        <v>195</v>
      </c>
      <c r="F81" s="247"/>
      <c r="G81" s="354"/>
      <c r="H81" s="354">
        <v>0</v>
      </c>
      <c r="I81" s="354">
        <v>0</v>
      </c>
      <c r="J81" s="334"/>
      <c r="K81" s="334"/>
      <c r="L81" s="334"/>
      <c r="M81" s="344">
        <v>0</v>
      </c>
      <c r="N81" s="344">
        <v>1</v>
      </c>
      <c r="O81" s="344">
        <v>0</v>
      </c>
      <c r="P81" s="344">
        <v>0</v>
      </c>
      <c r="Q81" s="334"/>
      <c r="R81" s="334"/>
      <c r="S81" s="334"/>
      <c r="T81" s="334"/>
      <c r="U81" s="334"/>
      <c r="V81" s="334"/>
      <c r="W81" s="348">
        <f t="shared" si="575"/>
        <v>1</v>
      </c>
      <c r="X81" s="247"/>
      <c r="Y81" s="247"/>
      <c r="Z81" s="302">
        <f t="shared" ref="Z81" si="577">G81*$D81</f>
        <v>0</v>
      </c>
      <c r="AA81" s="302">
        <f t="shared" ref="AA81" si="578">H81*$D81</f>
        <v>0</v>
      </c>
      <c r="AB81" s="302">
        <f t="shared" ref="AB81" si="579">I81*$D81</f>
        <v>0</v>
      </c>
      <c r="AC81" s="302">
        <f t="shared" ref="AC81" si="580">J81*$D81</f>
        <v>0</v>
      </c>
      <c r="AD81" s="302">
        <f t="shared" ref="AD81" si="581">K81*$D81</f>
        <v>0</v>
      </c>
      <c r="AE81" s="302">
        <f t="shared" ref="AE81" si="582">L81*$D81</f>
        <v>0</v>
      </c>
      <c r="AF81" s="302">
        <f t="shared" ref="AF81" si="583">M81*$D81</f>
        <v>0</v>
      </c>
      <c r="AG81" s="302">
        <f t="shared" ref="AG81" si="584">N81*$D81</f>
        <v>2619.65</v>
      </c>
      <c r="AH81" s="341">
        <f t="shared" ref="AH81" si="585">O81*$D81</f>
        <v>0</v>
      </c>
      <c r="AI81" s="302">
        <f t="shared" ref="AI81" si="586">P81*$D81</f>
        <v>0</v>
      </c>
      <c r="AJ81" s="302">
        <f t="shared" ref="AJ81" si="587">Q81*$D81</f>
        <v>0</v>
      </c>
      <c r="AK81" s="302">
        <f t="shared" ref="AK81" si="588">R81*$D81</f>
        <v>0</v>
      </c>
      <c r="AL81" s="302">
        <f t="shared" ref="AL81" si="589">S81*$D81</f>
        <v>0</v>
      </c>
      <c r="AM81" s="302">
        <f t="shared" ref="AM81" si="590">T81*$D81</f>
        <v>0</v>
      </c>
      <c r="AN81" s="302">
        <f t="shared" ref="AN81" si="591">U81*$D81</f>
        <v>0</v>
      </c>
      <c r="AO81" s="302">
        <f>V81*$D81</f>
        <v>0</v>
      </c>
      <c r="AP81" s="302">
        <f t="shared" ref="AP81:BE81" si="592">IF(AP$3=$E81,$D81,0)</f>
        <v>0</v>
      </c>
      <c r="AQ81" s="302">
        <f t="shared" si="592"/>
        <v>0</v>
      </c>
      <c r="AR81" s="302">
        <f t="shared" si="592"/>
        <v>0</v>
      </c>
      <c r="AS81" s="302">
        <f t="shared" si="592"/>
        <v>0</v>
      </c>
      <c r="AT81" s="302">
        <f t="shared" si="592"/>
        <v>0</v>
      </c>
      <c r="AU81" s="302">
        <f t="shared" si="592"/>
        <v>0</v>
      </c>
      <c r="AV81" s="302">
        <f t="shared" si="592"/>
        <v>2619.65</v>
      </c>
      <c r="AW81" s="302">
        <f t="shared" si="592"/>
        <v>0</v>
      </c>
      <c r="AX81" s="302">
        <f t="shared" si="592"/>
        <v>0</v>
      </c>
      <c r="AY81" s="302">
        <f t="shared" si="592"/>
        <v>0</v>
      </c>
      <c r="AZ81" s="302">
        <f t="shared" si="592"/>
        <v>0</v>
      </c>
      <c r="BA81" s="302">
        <f t="shared" si="592"/>
        <v>0</v>
      </c>
      <c r="BB81" s="302">
        <f t="shared" si="592"/>
        <v>0</v>
      </c>
      <c r="BC81" s="302">
        <f t="shared" si="592"/>
        <v>0</v>
      </c>
      <c r="BD81" s="302">
        <f t="shared" si="592"/>
        <v>0</v>
      </c>
      <c r="BE81" s="302">
        <f t="shared" si="592"/>
        <v>0</v>
      </c>
      <c r="BF81" s="301">
        <f t="shared" si="574"/>
        <v>0</v>
      </c>
    </row>
    <row r="82" spans="1:59" ht="14.45" customHeight="1" x14ac:dyDescent="0.25">
      <c r="A82" t="s">
        <v>157</v>
      </c>
      <c r="B82" s="256"/>
      <c r="D82" s="339">
        <f>SUM(G82:V82)</f>
        <v>99000</v>
      </c>
      <c r="E82" s="334" t="s">
        <v>211</v>
      </c>
      <c r="F82" s="334"/>
      <c r="G82" s="386">
        <v>10000</v>
      </c>
      <c r="H82" s="386">
        <v>12000</v>
      </c>
      <c r="I82" s="387">
        <v>11000</v>
      </c>
      <c r="J82" s="386">
        <v>12000</v>
      </c>
      <c r="K82" s="386">
        <v>4000</v>
      </c>
      <c r="L82" s="386">
        <v>0</v>
      </c>
      <c r="M82" s="386">
        <v>0</v>
      </c>
      <c r="N82" s="386">
        <v>0</v>
      </c>
      <c r="O82" s="386">
        <v>14000</v>
      </c>
      <c r="P82" s="386">
        <v>12000</v>
      </c>
      <c r="Q82" s="386">
        <v>12000</v>
      </c>
      <c r="R82" s="386">
        <v>12000</v>
      </c>
      <c r="S82" s="386">
        <v>0</v>
      </c>
      <c r="T82" s="386">
        <v>0</v>
      </c>
      <c r="U82" s="338">
        <v>0</v>
      </c>
      <c r="V82" s="338"/>
      <c r="W82" s="346">
        <f t="shared" si="575"/>
        <v>99000</v>
      </c>
      <c r="X82" s="247"/>
      <c r="Y82" s="247"/>
      <c r="Z82" s="302">
        <f t="shared" si="572"/>
        <v>10000</v>
      </c>
      <c r="AA82" s="302">
        <f t="shared" si="573"/>
        <v>12000</v>
      </c>
      <c r="AB82" s="302">
        <f t="shared" si="573"/>
        <v>11000</v>
      </c>
      <c r="AC82" s="302">
        <f t="shared" si="573"/>
        <v>12000</v>
      </c>
      <c r="AD82" s="302">
        <f>K82</f>
        <v>4000</v>
      </c>
      <c r="AE82" s="302">
        <f t="shared" si="573"/>
        <v>0</v>
      </c>
      <c r="AF82" s="302">
        <f t="shared" si="573"/>
        <v>0</v>
      </c>
      <c r="AG82" s="302">
        <f t="shared" si="573"/>
        <v>0</v>
      </c>
      <c r="AH82" s="341">
        <f t="shared" si="573"/>
        <v>14000</v>
      </c>
      <c r="AI82" s="302">
        <f t="shared" si="573"/>
        <v>12000</v>
      </c>
      <c r="AJ82" s="302">
        <f t="shared" si="573"/>
        <v>12000</v>
      </c>
      <c r="AK82" s="302">
        <f t="shared" si="573"/>
        <v>12000</v>
      </c>
      <c r="AL82" s="302">
        <f t="shared" si="573"/>
        <v>0</v>
      </c>
      <c r="AM82" s="302">
        <f t="shared" si="573"/>
        <v>0</v>
      </c>
      <c r="AN82" s="302">
        <f t="shared" si="573"/>
        <v>0</v>
      </c>
      <c r="AO82" s="302">
        <f t="shared" ref="AO82:AO89" si="593">V82</f>
        <v>0</v>
      </c>
      <c r="AP82" s="302">
        <v>49000</v>
      </c>
      <c r="AQ82" s="302">
        <f t="shared" ref="AQ82:AS83" si="594">IF(AQ$76=$E82,SUM(AA82:AD82),0)</f>
        <v>0</v>
      </c>
      <c r="AR82" s="302">
        <f t="shared" si="594"/>
        <v>0</v>
      </c>
      <c r="AS82" s="302">
        <f t="shared" si="594"/>
        <v>0</v>
      </c>
      <c r="AT82" s="302">
        <v>0</v>
      </c>
      <c r="AU82" s="302">
        <f t="shared" ref="AU82:BA82" si="595">IF(AU$76=$E82,SUM(AE82:AH82),0)</f>
        <v>0</v>
      </c>
      <c r="AV82" s="302">
        <f t="shared" si="595"/>
        <v>0</v>
      </c>
      <c r="AW82" s="341">
        <f t="shared" si="595"/>
        <v>0</v>
      </c>
      <c r="AX82" s="302">
        <f t="shared" si="595"/>
        <v>50000</v>
      </c>
      <c r="AY82" s="302">
        <f t="shared" si="595"/>
        <v>0</v>
      </c>
      <c r="AZ82" s="302">
        <f t="shared" si="595"/>
        <v>0</v>
      </c>
      <c r="BA82" s="302">
        <f t="shared" si="595"/>
        <v>0</v>
      </c>
      <c r="BB82" s="302">
        <f>IF(BB$76=$E82,SUM(AL82:$AN82),0)</f>
        <v>0</v>
      </c>
      <c r="BC82" s="302">
        <f>IF(BC$76=$E82,SUM(AM82:$AN82),0)</f>
        <v>0</v>
      </c>
      <c r="BD82" s="302">
        <f>IF(BD$76=$E82,SUM(AN82:$AN82),0)</f>
        <v>0</v>
      </c>
      <c r="BE82" s="302">
        <v>0</v>
      </c>
      <c r="BF82" s="363">
        <f t="shared" si="574"/>
        <v>0</v>
      </c>
    </row>
    <row r="83" spans="1:59" s="297" customFormat="1" ht="14.45" customHeight="1" x14ac:dyDescent="0.25">
      <c r="A83" s="297" t="s">
        <v>157</v>
      </c>
      <c r="B83" s="256"/>
      <c r="D83" s="339">
        <f t="shared" ref="D83:D93" si="596">SUM(G83:V83)</f>
        <v>75135.360000000001</v>
      </c>
      <c r="E83" s="334" t="s">
        <v>183</v>
      </c>
      <c r="F83" s="334"/>
      <c r="G83" s="386">
        <v>0</v>
      </c>
      <c r="H83" s="386">
        <v>0</v>
      </c>
      <c r="I83" s="387">
        <v>0</v>
      </c>
      <c r="J83" s="386">
        <v>0</v>
      </c>
      <c r="K83" s="386">
        <v>0</v>
      </c>
      <c r="L83" s="386">
        <v>2706.88</v>
      </c>
      <c r="M83" s="386">
        <v>7628.48</v>
      </c>
      <c r="N83" s="386">
        <v>7505.44</v>
      </c>
      <c r="O83" s="386">
        <v>7200</v>
      </c>
      <c r="P83" s="386">
        <v>7200</v>
      </c>
      <c r="Q83" s="386">
        <v>7200</v>
      </c>
      <c r="R83" s="386">
        <v>7200</v>
      </c>
      <c r="S83" s="386">
        <v>7200</v>
      </c>
      <c r="T83" s="386">
        <v>7200</v>
      </c>
      <c r="U83" s="338">
        <v>7200</v>
      </c>
      <c r="V83" s="338">
        <f>7200-305.44</f>
        <v>6894.56</v>
      </c>
      <c r="W83" s="346">
        <f t="shared" si="575"/>
        <v>75135.360000000001</v>
      </c>
      <c r="X83" s="247"/>
      <c r="Y83" s="247"/>
      <c r="Z83" s="302">
        <f t="shared" ref="Z83" si="597">G83</f>
        <v>0</v>
      </c>
      <c r="AA83" s="302">
        <f t="shared" ref="AA83" si="598">H83</f>
        <v>0</v>
      </c>
      <c r="AB83" s="302">
        <f t="shared" ref="AB83" si="599">I83</f>
        <v>0</v>
      </c>
      <c r="AC83" s="302">
        <f t="shared" ref="AC83" si="600">J83</f>
        <v>0</v>
      </c>
      <c r="AD83" s="302">
        <f t="shared" ref="AD83" si="601">K83</f>
        <v>0</v>
      </c>
      <c r="AE83" s="302">
        <f t="shared" ref="AE83" si="602">L83</f>
        <v>2706.88</v>
      </c>
      <c r="AF83" s="302">
        <f t="shared" ref="AF83" si="603">M83</f>
        <v>7628.48</v>
      </c>
      <c r="AG83" s="302">
        <f t="shared" ref="AG83" si="604">N83</f>
        <v>7505.44</v>
      </c>
      <c r="AH83" s="341">
        <f t="shared" ref="AH83" si="605">O83</f>
        <v>7200</v>
      </c>
      <c r="AI83" s="302">
        <f t="shared" ref="AI83" si="606">P83</f>
        <v>7200</v>
      </c>
      <c r="AJ83" s="302">
        <f t="shared" ref="AJ83" si="607">Q83</f>
        <v>7200</v>
      </c>
      <c r="AK83" s="302">
        <f t="shared" ref="AK83" si="608">R83</f>
        <v>7200</v>
      </c>
      <c r="AL83" s="302">
        <f t="shared" ref="AL83" si="609">S83</f>
        <v>7200</v>
      </c>
      <c r="AM83" s="302">
        <f t="shared" ref="AM83" si="610">T83</f>
        <v>7200</v>
      </c>
      <c r="AN83" s="302">
        <f t="shared" ref="AN83" si="611">U83</f>
        <v>7200</v>
      </c>
      <c r="AO83" s="302">
        <f t="shared" si="593"/>
        <v>6894.56</v>
      </c>
      <c r="AP83" s="302">
        <f t="shared" ref="AP83:AP93" si="612">IF(AP$76=$E83,SUM(Z83:AC83),0)</f>
        <v>0</v>
      </c>
      <c r="AQ83" s="302">
        <f t="shared" si="594"/>
        <v>0</v>
      </c>
      <c r="AR83" s="302">
        <f t="shared" si="594"/>
        <v>0</v>
      </c>
      <c r="AS83" s="302">
        <f t="shared" si="594"/>
        <v>0</v>
      </c>
      <c r="AT83" s="302">
        <f>IF(AT$76=$E83,SUM(AD83:AG83),0)</f>
        <v>0</v>
      </c>
      <c r="AU83" s="302">
        <v>29991</v>
      </c>
      <c r="AV83" s="302">
        <f>IF(AV$76=$E83,SUM(AF83:AI83),0)</f>
        <v>0</v>
      </c>
      <c r="AW83" s="341">
        <f>IF(AW$76=$E83,SUM(AG83:AJ83),0)</f>
        <v>0</v>
      </c>
      <c r="AX83" s="302">
        <f>IF(AX$76=$E83,SUM(AH83:AK83),0)</f>
        <v>0</v>
      </c>
      <c r="AY83" s="302">
        <v>28800</v>
      </c>
      <c r="AZ83" s="302">
        <f>IF(AZ$76=$E83,SUM(AJ83:AM83),0)</f>
        <v>0</v>
      </c>
      <c r="BA83" s="302">
        <f>IF(BA$76=$E83,SUM(AK83:AN83),0)</f>
        <v>0</v>
      </c>
      <c r="BB83" s="302">
        <f>IF(BB$76=$E83,SUM(AL83:$AN83),0)</f>
        <v>0</v>
      </c>
      <c r="BC83" s="302">
        <v>16344.36</v>
      </c>
      <c r="BD83" s="302">
        <f>IF(BD$76=$E83,SUM(AN83:$AN83),0)</f>
        <v>0</v>
      </c>
      <c r="BE83" s="302">
        <v>0</v>
      </c>
      <c r="BF83" s="363">
        <f t="shared" si="574"/>
        <v>0</v>
      </c>
    </row>
    <row r="84" spans="1:59" ht="14.45" customHeight="1" x14ac:dyDescent="0.25">
      <c r="A84" t="s">
        <v>157</v>
      </c>
      <c r="B84" s="256"/>
      <c r="D84" s="339">
        <f t="shared" si="596"/>
        <v>15389.66</v>
      </c>
      <c r="E84" s="334" t="s">
        <v>181</v>
      </c>
      <c r="F84" s="334"/>
      <c r="G84" s="382"/>
      <c r="H84" s="386">
        <v>0</v>
      </c>
      <c r="I84" s="387">
        <v>375</v>
      </c>
      <c r="J84" s="386">
        <v>4500</v>
      </c>
      <c r="K84" s="386">
        <v>4848.4799999999996</v>
      </c>
      <c r="L84" s="386">
        <v>4771.5200000000004</v>
      </c>
      <c r="M84" s="386">
        <v>894.66</v>
      </c>
      <c r="N84" s="386">
        <v>0</v>
      </c>
      <c r="O84" s="386">
        <v>0</v>
      </c>
      <c r="P84" s="386">
        <v>0</v>
      </c>
      <c r="Q84" s="386">
        <v>0</v>
      </c>
      <c r="R84" s="386">
        <v>0</v>
      </c>
      <c r="S84" s="386">
        <v>0</v>
      </c>
      <c r="T84" s="386">
        <v>0</v>
      </c>
      <c r="U84" s="338">
        <v>0</v>
      </c>
      <c r="V84" s="338"/>
      <c r="W84" s="346">
        <f t="shared" si="575"/>
        <v>15389.66</v>
      </c>
      <c r="X84" s="247"/>
      <c r="Y84" s="247"/>
      <c r="Z84" s="302">
        <f t="shared" si="572"/>
        <v>0</v>
      </c>
      <c r="AA84" s="302">
        <f t="shared" ref="AA84:AN87" si="613">H84</f>
        <v>0</v>
      </c>
      <c r="AB84" s="302">
        <f t="shared" si="613"/>
        <v>375</v>
      </c>
      <c r="AC84" s="302">
        <f t="shared" si="613"/>
        <v>4500</v>
      </c>
      <c r="AD84" s="302">
        <f t="shared" si="613"/>
        <v>4848.4799999999996</v>
      </c>
      <c r="AE84" s="302">
        <f t="shared" si="613"/>
        <v>4771.5200000000004</v>
      </c>
      <c r="AF84" s="302">
        <f t="shared" si="613"/>
        <v>894.66</v>
      </c>
      <c r="AG84" s="302">
        <f t="shared" si="613"/>
        <v>0</v>
      </c>
      <c r="AH84" s="341">
        <f t="shared" si="613"/>
        <v>0</v>
      </c>
      <c r="AI84" s="302">
        <f t="shared" si="613"/>
        <v>0</v>
      </c>
      <c r="AJ84" s="302">
        <f t="shared" si="613"/>
        <v>0</v>
      </c>
      <c r="AK84" s="302">
        <f t="shared" si="613"/>
        <v>0</v>
      </c>
      <c r="AL84" s="302">
        <f t="shared" si="613"/>
        <v>0</v>
      </c>
      <c r="AM84" s="302">
        <f t="shared" si="613"/>
        <v>0</v>
      </c>
      <c r="AN84" s="302">
        <f t="shared" si="613"/>
        <v>0</v>
      </c>
      <c r="AO84" s="302">
        <f t="shared" si="593"/>
        <v>0</v>
      </c>
      <c r="AP84" s="302">
        <f t="shared" si="612"/>
        <v>0</v>
      </c>
      <c r="AQ84" s="302">
        <f>IF(AQ$76=$E84,SUM(AA84:AD84),0)</f>
        <v>0</v>
      </c>
      <c r="AR84" s="302">
        <f>IF(AR$76=$E84,SUM(AB84:AE84),0)</f>
        <v>14495</v>
      </c>
      <c r="AS84" s="302">
        <v>894.66</v>
      </c>
      <c r="AT84" s="302">
        <v>0</v>
      </c>
      <c r="AU84" s="302">
        <f>IF(AU$76=$E84,SUM(AE84:AH84),0)</f>
        <v>0</v>
      </c>
      <c r="AV84" s="302">
        <v>0</v>
      </c>
      <c r="AW84" s="341">
        <f>IF(AW$76=$E84,SUM(AG84:AJ84),0)</f>
        <v>0</v>
      </c>
      <c r="AX84" s="302">
        <f>IF(AX$76=$E84,SUM(AH84:AK84),0)</f>
        <v>0</v>
      </c>
      <c r="AY84" s="302">
        <f>IF(AY$76=$E84,SUM(AI84:AL84),0)</f>
        <v>0</v>
      </c>
      <c r="AZ84" s="302">
        <v>0</v>
      </c>
      <c r="BA84" s="302">
        <f>IF(BA$76=$E84,SUM(AK84:AN84),0)</f>
        <v>0</v>
      </c>
      <c r="BB84" s="302">
        <f>IF(BB$76=$E84,SUM(AL84:$AN84),0)</f>
        <v>0</v>
      </c>
      <c r="BC84" s="302">
        <f>IF(BC$76=$E84,SUM(AM84:$AN84),0)</f>
        <v>0</v>
      </c>
      <c r="BD84" s="302">
        <v>0</v>
      </c>
      <c r="BE84" s="302">
        <v>0</v>
      </c>
      <c r="BF84" s="363">
        <f t="shared" si="574"/>
        <v>0</v>
      </c>
    </row>
    <row r="85" spans="1:59" ht="14.45" customHeight="1" x14ac:dyDescent="0.25">
      <c r="A85" t="s">
        <v>157</v>
      </c>
      <c r="B85" s="256"/>
      <c r="D85" s="339">
        <f t="shared" si="596"/>
        <v>140389.87</v>
      </c>
      <c r="E85" s="334" t="s">
        <v>209</v>
      </c>
      <c r="F85" s="334"/>
      <c r="G85" s="382"/>
      <c r="H85" s="386">
        <v>6666.67</v>
      </c>
      <c r="I85" s="387">
        <v>10500</v>
      </c>
      <c r="J85" s="386">
        <v>10500</v>
      </c>
      <c r="K85" s="386">
        <v>11489.28</v>
      </c>
      <c r="L85" s="386">
        <v>11130.24</v>
      </c>
      <c r="M85" s="386">
        <v>6103.68</v>
      </c>
      <c r="N85" s="386">
        <v>0</v>
      </c>
      <c r="O85" s="386">
        <f>10500+3500</f>
        <v>14000</v>
      </c>
      <c r="P85" s="386">
        <v>10500</v>
      </c>
      <c r="Q85" s="386">
        <v>10500</v>
      </c>
      <c r="R85" s="386">
        <v>10500</v>
      </c>
      <c r="S85" s="386">
        <v>10500</v>
      </c>
      <c r="T85" s="386">
        <v>10500</v>
      </c>
      <c r="U85" s="338">
        <v>10500</v>
      </c>
      <c r="V85" s="338">
        <f>10500-3500</f>
        <v>7000</v>
      </c>
      <c r="W85" s="346">
        <f t="shared" si="575"/>
        <v>140389.87</v>
      </c>
      <c r="X85" s="247"/>
      <c r="Y85" s="247"/>
      <c r="Z85" s="302">
        <f t="shared" si="572"/>
        <v>0</v>
      </c>
      <c r="AA85" s="302">
        <f t="shared" si="613"/>
        <v>6666.67</v>
      </c>
      <c r="AB85" s="302">
        <f t="shared" si="613"/>
        <v>10500</v>
      </c>
      <c r="AC85" s="302">
        <f t="shared" si="613"/>
        <v>10500</v>
      </c>
      <c r="AD85" s="302">
        <f t="shared" si="613"/>
        <v>11489.28</v>
      </c>
      <c r="AE85" s="302">
        <f t="shared" si="613"/>
        <v>11130.24</v>
      </c>
      <c r="AF85" s="302">
        <f t="shared" si="613"/>
        <v>6103.68</v>
      </c>
      <c r="AG85" s="302">
        <f t="shared" si="613"/>
        <v>0</v>
      </c>
      <c r="AH85" s="341">
        <f t="shared" si="613"/>
        <v>14000</v>
      </c>
      <c r="AI85" s="302">
        <f t="shared" si="613"/>
        <v>10500</v>
      </c>
      <c r="AJ85" s="302">
        <f t="shared" si="613"/>
        <v>10500</v>
      </c>
      <c r="AK85" s="302">
        <f t="shared" si="613"/>
        <v>10500</v>
      </c>
      <c r="AL85" s="302">
        <f t="shared" si="613"/>
        <v>10500</v>
      </c>
      <c r="AM85" s="302">
        <f t="shared" si="613"/>
        <v>10500</v>
      </c>
      <c r="AN85" s="302">
        <f t="shared" si="613"/>
        <v>10500</v>
      </c>
      <c r="AO85" s="302">
        <f t="shared" si="593"/>
        <v>7000</v>
      </c>
      <c r="AP85" s="302">
        <f t="shared" si="612"/>
        <v>0</v>
      </c>
      <c r="AQ85" s="302">
        <v>42000</v>
      </c>
      <c r="AR85" s="302">
        <f>IF(AR$76=$E85,SUM(AB85:AE85),0)</f>
        <v>0</v>
      </c>
      <c r="AS85" s="302">
        <v>7000</v>
      </c>
      <c r="AT85" s="302">
        <f>IF(AT$76=$E85,SUM(AD85:AG85),0)</f>
        <v>0</v>
      </c>
      <c r="AU85" s="302">
        <v>3440.43</v>
      </c>
      <c r="AV85" s="302">
        <v>3949.44</v>
      </c>
      <c r="AW85" s="341">
        <v>42000</v>
      </c>
      <c r="AX85" s="302">
        <f>IF(AX$76=$E85,SUM(AH85:AK85),0)</f>
        <v>0</v>
      </c>
      <c r="AY85" s="302">
        <v>0</v>
      </c>
      <c r="AZ85" s="302">
        <v>0</v>
      </c>
      <c r="BA85" s="302">
        <v>42000</v>
      </c>
      <c r="BB85" s="302">
        <f>IF(BB$76=$E85,SUM(AL85:$AN85),0)</f>
        <v>0</v>
      </c>
      <c r="BC85" s="302">
        <v>0</v>
      </c>
      <c r="BD85" s="302">
        <v>0</v>
      </c>
      <c r="BE85" s="302">
        <v>0</v>
      </c>
      <c r="BF85" s="363">
        <f t="shared" si="574"/>
        <v>0</v>
      </c>
    </row>
    <row r="86" spans="1:59" ht="14.45" customHeight="1" x14ac:dyDescent="0.25">
      <c r="A86" t="s">
        <v>157</v>
      </c>
      <c r="B86" s="256"/>
      <c r="D86" s="339">
        <f t="shared" si="596"/>
        <v>94645.920000000013</v>
      </c>
      <c r="E86" s="334" t="s">
        <v>209</v>
      </c>
      <c r="F86" s="334"/>
      <c r="G86" s="382"/>
      <c r="H86" s="386">
        <v>1760</v>
      </c>
      <c r="I86" s="387">
        <v>4400</v>
      </c>
      <c r="J86" s="386">
        <v>0</v>
      </c>
      <c r="K86" s="386">
        <v>8981.92</v>
      </c>
      <c r="L86" s="386">
        <v>7628.48</v>
      </c>
      <c r="M86" s="386">
        <v>7136.32</v>
      </c>
      <c r="N86" s="386">
        <v>7520.82</v>
      </c>
      <c r="O86" s="386">
        <v>7200</v>
      </c>
      <c r="P86" s="386">
        <v>7200</v>
      </c>
      <c r="Q86" s="386">
        <v>7200</v>
      </c>
      <c r="R86" s="386">
        <v>7200</v>
      </c>
      <c r="S86" s="386">
        <v>7200</v>
      </c>
      <c r="T86" s="386">
        <v>7200</v>
      </c>
      <c r="U86" s="338">
        <v>7200</v>
      </c>
      <c r="V86" s="338">
        <f>7200-381.62</f>
        <v>6818.38</v>
      </c>
      <c r="W86" s="346">
        <f t="shared" si="575"/>
        <v>94645.920000000013</v>
      </c>
      <c r="X86" s="247"/>
      <c r="Y86" s="247"/>
      <c r="Z86" s="302">
        <f t="shared" si="572"/>
        <v>0</v>
      </c>
      <c r="AA86" s="302">
        <f t="shared" si="613"/>
        <v>1760</v>
      </c>
      <c r="AB86" s="302">
        <f t="shared" si="613"/>
        <v>4400</v>
      </c>
      <c r="AC86" s="302">
        <f t="shared" si="613"/>
        <v>0</v>
      </c>
      <c r="AD86" s="302">
        <f t="shared" si="613"/>
        <v>8981.92</v>
      </c>
      <c r="AE86" s="302">
        <f t="shared" si="613"/>
        <v>7628.48</v>
      </c>
      <c r="AF86" s="302">
        <f t="shared" si="613"/>
        <v>7136.32</v>
      </c>
      <c r="AG86" s="302">
        <f t="shared" si="613"/>
        <v>7520.82</v>
      </c>
      <c r="AH86" s="341">
        <f t="shared" si="613"/>
        <v>7200</v>
      </c>
      <c r="AI86" s="302">
        <f t="shared" si="613"/>
        <v>7200</v>
      </c>
      <c r="AJ86" s="302">
        <f t="shared" si="613"/>
        <v>7200</v>
      </c>
      <c r="AK86" s="302">
        <f t="shared" si="613"/>
        <v>7200</v>
      </c>
      <c r="AL86" s="302">
        <f t="shared" si="613"/>
        <v>7200</v>
      </c>
      <c r="AM86" s="302">
        <f t="shared" si="613"/>
        <v>7200</v>
      </c>
      <c r="AN86" s="302">
        <f t="shared" si="613"/>
        <v>7200</v>
      </c>
      <c r="AO86" s="302">
        <f t="shared" si="593"/>
        <v>6818.38</v>
      </c>
      <c r="AP86" s="302">
        <f t="shared" si="612"/>
        <v>0</v>
      </c>
      <c r="AQ86" s="302">
        <v>6160</v>
      </c>
      <c r="AR86" s="302">
        <f>IF(AR$76=$E86,SUM(AB86:AE86),0)</f>
        <v>0</v>
      </c>
      <c r="AS86" s="302">
        <v>29991</v>
      </c>
      <c r="AT86" s="302">
        <f>IF(AT$76=$E86,SUM(AD86:AG86),0)</f>
        <v>0</v>
      </c>
      <c r="AU86" s="302">
        <v>0</v>
      </c>
      <c r="AV86" s="302">
        <f>IF(AV$76=$E86,SUM(AF86:AI86),0)</f>
        <v>0</v>
      </c>
      <c r="AW86" s="341">
        <v>29991</v>
      </c>
      <c r="AX86" s="302">
        <f>IF(AX$76=$E86,SUM(AH86:AK86),0)</f>
        <v>0</v>
      </c>
      <c r="AY86" s="302">
        <v>0</v>
      </c>
      <c r="AZ86" s="302">
        <f>IF(AZ$76=$E86,SUM(AJ86:AM86),0)</f>
        <v>0</v>
      </c>
      <c r="BA86" s="302">
        <f>28800-1191</f>
        <v>27609</v>
      </c>
      <c r="BB86" s="302">
        <v>0</v>
      </c>
      <c r="BC86" s="302">
        <v>0</v>
      </c>
      <c r="BD86" s="302">
        <v>0</v>
      </c>
      <c r="BE86" s="302">
        <v>894.92</v>
      </c>
      <c r="BF86" s="363">
        <f t="shared" si="574"/>
        <v>0</v>
      </c>
    </row>
    <row r="87" spans="1:59" ht="14.45" customHeight="1" x14ac:dyDescent="0.25">
      <c r="A87" t="s">
        <v>157</v>
      </c>
      <c r="B87" s="256"/>
      <c r="D87" s="339">
        <f t="shared" si="596"/>
        <v>101969.44</v>
      </c>
      <c r="E87" s="334" t="s">
        <v>209</v>
      </c>
      <c r="F87" s="334"/>
      <c r="G87" s="382"/>
      <c r="H87" s="386">
        <v>1760</v>
      </c>
      <c r="I87" s="387">
        <f>2200*3</f>
        <v>6600</v>
      </c>
      <c r="J87" s="386">
        <f t="shared" ref="J87" si="614">2200*3</f>
        <v>6600</v>
      </c>
      <c r="K87" s="386">
        <v>7874.56</v>
      </c>
      <c r="L87" s="386">
        <v>7628.48</v>
      </c>
      <c r="M87" s="386">
        <v>6767.2</v>
      </c>
      <c r="N87" s="386">
        <v>7520.82</v>
      </c>
      <c r="O87" s="386">
        <f>7200-0.29</f>
        <v>7199.71</v>
      </c>
      <c r="P87" s="386">
        <f>7200+0.29</f>
        <v>7200.29</v>
      </c>
      <c r="Q87" s="386">
        <v>7200</v>
      </c>
      <c r="R87" s="386">
        <v>7200</v>
      </c>
      <c r="S87" s="386">
        <v>7200</v>
      </c>
      <c r="T87" s="386">
        <v>7200</v>
      </c>
      <c r="U87" s="338">
        <v>7200</v>
      </c>
      <c r="V87" s="338">
        <f>7200-381.62</f>
        <v>6818.38</v>
      </c>
      <c r="W87" s="346">
        <f t="shared" si="575"/>
        <v>101969.44</v>
      </c>
      <c r="X87" s="247"/>
      <c r="Y87" s="247"/>
      <c r="Z87" s="302">
        <f t="shared" si="572"/>
        <v>0</v>
      </c>
      <c r="AA87" s="302">
        <f t="shared" si="613"/>
        <v>1760</v>
      </c>
      <c r="AB87" s="302">
        <f t="shared" si="613"/>
        <v>6600</v>
      </c>
      <c r="AC87" s="302">
        <f t="shared" si="613"/>
        <v>6600</v>
      </c>
      <c r="AD87" s="302">
        <f t="shared" si="613"/>
        <v>7874.56</v>
      </c>
      <c r="AE87" s="302">
        <f t="shared" si="613"/>
        <v>7628.48</v>
      </c>
      <c r="AF87" s="302">
        <f t="shared" si="613"/>
        <v>6767.2</v>
      </c>
      <c r="AG87" s="302">
        <f t="shared" si="613"/>
        <v>7520.82</v>
      </c>
      <c r="AH87" s="341">
        <f t="shared" si="613"/>
        <v>7199.71</v>
      </c>
      <c r="AI87" s="302">
        <f t="shared" ref="AI87:AO88" si="615">P87</f>
        <v>7200.29</v>
      </c>
      <c r="AJ87" s="302">
        <f t="shared" si="615"/>
        <v>7200</v>
      </c>
      <c r="AK87" s="302">
        <f t="shared" si="615"/>
        <v>7200</v>
      </c>
      <c r="AL87" s="302">
        <f t="shared" si="615"/>
        <v>7200</v>
      </c>
      <c r="AM87" s="302">
        <f t="shared" si="615"/>
        <v>7200</v>
      </c>
      <c r="AN87" s="302">
        <f t="shared" si="615"/>
        <v>7200</v>
      </c>
      <c r="AO87" s="302">
        <f t="shared" si="615"/>
        <v>6818.38</v>
      </c>
      <c r="AP87" s="302">
        <f t="shared" si="612"/>
        <v>0</v>
      </c>
      <c r="AQ87" s="302">
        <v>32185.599999999999</v>
      </c>
      <c r="AR87" s="302">
        <f>IF(AR$76=$E87,SUM(AB87:AE87),0)</f>
        <v>0</v>
      </c>
      <c r="AS87" s="302">
        <f>IF(AS$76=$E87,SUM(AC87:AF87),0)</f>
        <v>0</v>
      </c>
      <c r="AT87" s="302">
        <f>IF(AT$76=$E87,SUM(AD87:AG87),0)</f>
        <v>0</v>
      </c>
      <c r="AU87" s="302">
        <v>0</v>
      </c>
      <c r="AV87" s="302">
        <v>29991</v>
      </c>
      <c r="AW87" s="341">
        <f>IF(AW$76=$E87,SUM(AG87:AJ87),0)</f>
        <v>0</v>
      </c>
      <c r="AX87" s="302">
        <f>IF(AX$76=$E87,SUM(AH87:AK87),0)</f>
        <v>0</v>
      </c>
      <c r="AY87" s="302">
        <v>0</v>
      </c>
      <c r="AZ87" s="302">
        <v>28800</v>
      </c>
      <c r="BA87" s="302">
        <f>IF(BA$76=$E87,SUM(AK87:AN87),0)</f>
        <v>0</v>
      </c>
      <c r="BB87" s="302">
        <f>IF(BB$76=$E87,SUM(AL87:$AN87),0)</f>
        <v>0</v>
      </c>
      <c r="BC87" s="302">
        <v>0</v>
      </c>
      <c r="BD87" s="302">
        <v>10992.84</v>
      </c>
      <c r="BE87" s="302">
        <v>0</v>
      </c>
      <c r="BF87" s="363">
        <f t="shared" si="574"/>
        <v>0</v>
      </c>
    </row>
    <row r="88" spans="1:59" s="297" customFormat="1" ht="14.45" customHeight="1" x14ac:dyDescent="0.25">
      <c r="A88" s="297" t="s">
        <v>157</v>
      </c>
      <c r="B88" s="256"/>
      <c r="D88" s="339">
        <f>SUM(G88:V88)</f>
        <v>81222.790000000008</v>
      </c>
      <c r="E88" s="334" t="s">
        <v>213</v>
      </c>
      <c r="F88" s="334"/>
      <c r="G88" s="382"/>
      <c r="H88" s="386"/>
      <c r="I88" s="387"/>
      <c r="J88" s="386">
        <v>2666.56</v>
      </c>
      <c r="K88" s="386">
        <v>4615.2</v>
      </c>
      <c r="L88" s="386">
        <v>6230.52</v>
      </c>
      <c r="M88" s="386">
        <v>5435.68</v>
      </c>
      <c r="N88" s="386">
        <v>6256.1600000000008</v>
      </c>
      <c r="O88" s="386">
        <v>6000</v>
      </c>
      <c r="P88" s="386">
        <v>7200.29</v>
      </c>
      <c r="Q88" s="386">
        <v>7200</v>
      </c>
      <c r="R88" s="386">
        <v>7200</v>
      </c>
      <c r="S88" s="386">
        <v>7200</v>
      </c>
      <c r="T88" s="386">
        <v>7200</v>
      </c>
      <c r="U88" s="338">
        <v>7200</v>
      </c>
      <c r="V88" s="338">
        <v>6818.38</v>
      </c>
      <c r="W88" s="346">
        <f>SUM(G88:V88)</f>
        <v>81222.790000000008</v>
      </c>
      <c r="X88" s="247"/>
      <c r="Y88" s="247"/>
      <c r="Z88" s="302">
        <f t="shared" ref="Z88:Z89" si="616">G88</f>
        <v>0</v>
      </c>
      <c r="AA88" s="302">
        <f t="shared" ref="AA88:AA89" si="617">H88</f>
        <v>0</v>
      </c>
      <c r="AB88" s="302">
        <f t="shared" ref="AB88:AB89" si="618">I88</f>
        <v>0</v>
      </c>
      <c r="AC88" s="302">
        <f t="shared" ref="AC88:AC89" si="619">J88</f>
        <v>2666.56</v>
      </c>
      <c r="AD88" s="302">
        <f t="shared" ref="AD88:AD89" si="620">K88</f>
        <v>4615.2</v>
      </c>
      <c r="AE88" s="302">
        <f t="shared" ref="AE88:AE89" si="621">L88</f>
        <v>6230.52</v>
      </c>
      <c r="AF88" s="302">
        <f t="shared" ref="AF88:AF89" si="622">M88</f>
        <v>5435.68</v>
      </c>
      <c r="AG88" s="302">
        <f t="shared" ref="AG88:AG89" si="623">N88</f>
        <v>6256.1600000000008</v>
      </c>
      <c r="AH88" s="341">
        <f t="shared" ref="AH88:AH89" si="624">O88</f>
        <v>6000</v>
      </c>
      <c r="AI88" s="302">
        <f t="shared" si="615"/>
        <v>7200.29</v>
      </c>
      <c r="AJ88" s="302">
        <f t="shared" si="615"/>
        <v>7200</v>
      </c>
      <c r="AK88" s="302">
        <f t="shared" si="615"/>
        <v>7200</v>
      </c>
      <c r="AL88" s="302">
        <f t="shared" si="615"/>
        <v>7200</v>
      </c>
      <c r="AM88" s="302">
        <f t="shared" si="615"/>
        <v>7200</v>
      </c>
      <c r="AN88" s="302">
        <f t="shared" si="615"/>
        <v>7200</v>
      </c>
      <c r="AO88" s="302">
        <f t="shared" si="615"/>
        <v>6818.38</v>
      </c>
      <c r="AP88" s="302">
        <f t="shared" si="612"/>
        <v>0</v>
      </c>
      <c r="AQ88" s="302">
        <f t="shared" ref="AQ88:AQ93" si="625">IF(AQ$76=$E88,SUM(AA88:AD88),0)</f>
        <v>0</v>
      </c>
      <c r="AR88" s="302">
        <f>IF(AR$76=$E88,SUM(AB88:AE88),0)</f>
        <v>0</v>
      </c>
      <c r="AS88" s="302">
        <v>3384.48</v>
      </c>
      <c r="AT88" s="302">
        <v>24999</v>
      </c>
      <c r="AU88" s="302">
        <f>IF(AU$76=$E88,SUM(AE88:AH88),0)</f>
        <v>0</v>
      </c>
      <c r="AV88" s="302">
        <f>IF(AV$76=$E88,SUM(AF88:AI88),0)</f>
        <v>0</v>
      </c>
      <c r="AW88" s="341">
        <v>0</v>
      </c>
      <c r="AX88" s="302">
        <v>29991</v>
      </c>
      <c r="AY88" s="302">
        <f>IF(AY$76=$E88,SUM(AI88:AL88),0)</f>
        <v>0</v>
      </c>
      <c r="AZ88" s="302">
        <f>IF(AZ$76=$E88,SUM(AJ88:AM88),0)</f>
        <v>0</v>
      </c>
      <c r="BA88" s="302">
        <v>0</v>
      </c>
      <c r="BB88" s="302">
        <v>22848.310000000012</v>
      </c>
      <c r="BC88" s="302">
        <f>IF(BC$76=$E88,SUM(AM88:$AN88),0)</f>
        <v>0</v>
      </c>
      <c r="BD88" s="302">
        <f>IF(BD$76=$E88,SUM(AN88:$AN88),0)</f>
        <v>0</v>
      </c>
      <c r="BE88" s="302">
        <v>0</v>
      </c>
      <c r="BF88" s="363">
        <f t="shared" si="574"/>
        <v>0</v>
      </c>
      <c r="BG88" s="253"/>
    </row>
    <row r="89" spans="1:59" s="297" customFormat="1" ht="14.45" customHeight="1" x14ac:dyDescent="0.25">
      <c r="A89" s="297" t="s">
        <v>160</v>
      </c>
      <c r="B89" s="256"/>
      <c r="D89" s="339">
        <f t="shared" si="596"/>
        <v>9999</v>
      </c>
      <c r="E89" s="334" t="s">
        <v>181</v>
      </c>
      <c r="F89" s="334"/>
      <c r="G89" s="382"/>
      <c r="H89" s="386"/>
      <c r="I89" s="387"/>
      <c r="J89" s="386" t="s">
        <v>118</v>
      </c>
      <c r="K89" s="386"/>
      <c r="L89" s="386">
        <v>0</v>
      </c>
      <c r="M89" s="386">
        <v>0</v>
      </c>
      <c r="N89" s="386">
        <v>0</v>
      </c>
      <c r="O89" s="386">
        <v>9999</v>
      </c>
      <c r="P89" s="386"/>
      <c r="Q89" s="386"/>
      <c r="R89" s="386"/>
      <c r="S89" s="386"/>
      <c r="T89" s="386"/>
      <c r="U89" s="338"/>
      <c r="V89" s="338"/>
      <c r="W89" s="346">
        <f t="shared" si="575"/>
        <v>9999</v>
      </c>
      <c r="X89" s="247"/>
      <c r="Y89" s="247"/>
      <c r="Z89" s="302">
        <f t="shared" si="616"/>
        <v>0</v>
      </c>
      <c r="AA89" s="302">
        <f t="shared" si="617"/>
        <v>0</v>
      </c>
      <c r="AB89" s="302">
        <f t="shared" si="618"/>
        <v>0</v>
      </c>
      <c r="AC89" s="302" t="str">
        <f t="shared" si="619"/>
        <v xml:space="preserve"> </v>
      </c>
      <c r="AD89" s="302">
        <f t="shared" si="620"/>
        <v>0</v>
      </c>
      <c r="AE89" s="302">
        <f t="shared" si="621"/>
        <v>0</v>
      </c>
      <c r="AF89" s="302">
        <f t="shared" si="622"/>
        <v>0</v>
      </c>
      <c r="AG89" s="302">
        <f t="shared" si="623"/>
        <v>0</v>
      </c>
      <c r="AH89" s="341">
        <f t="shared" si="624"/>
        <v>9999</v>
      </c>
      <c r="AI89" s="302">
        <f t="shared" ref="AI89" si="626">P89</f>
        <v>0</v>
      </c>
      <c r="AJ89" s="302">
        <f t="shared" ref="AJ89" si="627">Q89</f>
        <v>0</v>
      </c>
      <c r="AK89" s="302">
        <f t="shared" ref="AK89" si="628">R89</f>
        <v>0</v>
      </c>
      <c r="AL89" s="302">
        <f t="shared" ref="AL89" si="629">S89</f>
        <v>0</v>
      </c>
      <c r="AM89" s="302">
        <f t="shared" ref="AM89" si="630">T89</f>
        <v>0</v>
      </c>
      <c r="AN89" s="302">
        <f t="shared" ref="AN89" si="631">U89</f>
        <v>0</v>
      </c>
      <c r="AO89" s="302">
        <f t="shared" si="593"/>
        <v>0</v>
      </c>
      <c r="AP89" s="302">
        <f t="shared" si="612"/>
        <v>0</v>
      </c>
      <c r="AQ89" s="302">
        <f t="shared" si="625"/>
        <v>0</v>
      </c>
      <c r="AR89" s="302">
        <v>9999</v>
      </c>
      <c r="AS89" s="302">
        <f>IF(AS$76=$E89,SUM(AC89:AF89),0)</f>
        <v>0</v>
      </c>
      <c r="AT89" s="302">
        <f>IF(AT$76=$E89,SUM(AD89:AG89),0)</f>
        <v>0</v>
      </c>
      <c r="AU89" s="302">
        <f>IF(AU$76=$E89,SUM(AE89:AH89),0)</f>
        <v>0</v>
      </c>
      <c r="AV89" s="302">
        <v>0</v>
      </c>
      <c r="AW89" s="341">
        <f>IF(AW$76=$E89,SUM(AG89:AJ89),0)</f>
        <v>0</v>
      </c>
      <c r="AX89" s="302">
        <f>IF(AX$76=$E89,SUM(AH89:AK89),0)</f>
        <v>0</v>
      </c>
      <c r="AY89" s="302">
        <f>IF(AY$76=$E89,SUM(AI89:AL89),0)</f>
        <v>0</v>
      </c>
      <c r="AZ89" s="302">
        <f>IF(AZ$76=$E89,SUM(AJ89:AM89),0)</f>
        <v>0</v>
      </c>
      <c r="BA89" s="302">
        <f>IF(BA$76=$E89,SUM(AK89:AN89),0)</f>
        <v>0</v>
      </c>
      <c r="BB89" s="302">
        <f>IF(BB$76=$E89,SUM(AL89:$AN89),0)</f>
        <v>0</v>
      </c>
      <c r="BC89" s="302">
        <f>IF(BC$76=$E89,SUM(AM89:$AN89),0)</f>
        <v>0</v>
      </c>
      <c r="BD89" s="302">
        <f>IF(BD$76=$E89,SUM(AN89:$AN89),0)</f>
        <v>0</v>
      </c>
      <c r="BE89" s="302">
        <f>IF(BE$76=$E89,SUM($AN89:AO89),0)</f>
        <v>0</v>
      </c>
      <c r="BF89" s="363">
        <f t="shared" si="574"/>
        <v>0</v>
      </c>
    </row>
    <row r="90" spans="1:59" s="297" customFormat="1" ht="14.45" customHeight="1" x14ac:dyDescent="0.25">
      <c r="A90" s="297" t="s">
        <v>145</v>
      </c>
      <c r="B90" s="245"/>
      <c r="C90" s="247"/>
      <c r="D90" s="385">
        <v>318.43</v>
      </c>
      <c r="E90" s="247" t="s">
        <v>235</v>
      </c>
      <c r="F90" s="247"/>
      <c r="G90" s="352"/>
      <c r="H90" s="352"/>
      <c r="I90" s="352"/>
      <c r="J90" s="334"/>
      <c r="K90" s="334"/>
      <c r="L90" s="335">
        <v>0</v>
      </c>
      <c r="M90" s="335">
        <v>0</v>
      </c>
      <c r="N90" s="335">
        <v>1</v>
      </c>
      <c r="O90" s="335">
        <v>0</v>
      </c>
      <c r="P90" s="335">
        <v>0</v>
      </c>
      <c r="Q90" s="335">
        <v>0</v>
      </c>
      <c r="R90" s="335">
        <v>0</v>
      </c>
      <c r="S90" s="335">
        <v>0</v>
      </c>
      <c r="T90" s="335">
        <v>0</v>
      </c>
      <c r="U90" s="335">
        <v>0</v>
      </c>
      <c r="V90" s="335">
        <v>0</v>
      </c>
      <c r="W90" s="364">
        <f t="shared" si="575"/>
        <v>1</v>
      </c>
      <c r="X90" s="247"/>
      <c r="Y90" s="247"/>
      <c r="Z90" s="302">
        <f t="shared" ref="Z90" si="632">G90*$D90</f>
        <v>0</v>
      </c>
      <c r="AA90" s="302">
        <f t="shared" ref="AA90" si="633">H90*$D90</f>
        <v>0</v>
      </c>
      <c r="AB90" s="302">
        <f t="shared" ref="AB90" si="634">I90*$D90</f>
        <v>0</v>
      </c>
      <c r="AC90" s="302">
        <f t="shared" ref="AC90" si="635">J90*$D90</f>
        <v>0</v>
      </c>
      <c r="AD90" s="302">
        <f t="shared" ref="AD90:AE90" si="636">K90*$D90</f>
        <v>0</v>
      </c>
      <c r="AE90" s="341">
        <f t="shared" si="636"/>
        <v>0</v>
      </c>
      <c r="AF90" s="341">
        <f t="shared" ref="AF90" si="637">M90*$D90</f>
        <v>0</v>
      </c>
      <c r="AG90" s="341">
        <f t="shared" ref="AG90" si="638">N90*$D90</f>
        <v>318.43</v>
      </c>
      <c r="AH90" s="341">
        <f t="shared" ref="AH90" si="639">O90*$D90</f>
        <v>0</v>
      </c>
      <c r="AI90" s="341">
        <f t="shared" ref="AI90" si="640">P90*$D90</f>
        <v>0</v>
      </c>
      <c r="AJ90" s="341">
        <f t="shared" ref="AJ90" si="641">Q90*$D90</f>
        <v>0</v>
      </c>
      <c r="AK90" s="341">
        <f t="shared" ref="AK90" si="642">R90*$D90</f>
        <v>0</v>
      </c>
      <c r="AL90" s="341">
        <f t="shared" ref="AL90" si="643">S90*$D90</f>
        <v>0</v>
      </c>
      <c r="AM90" s="341">
        <f t="shared" ref="AM90" si="644">T90*$D90</f>
        <v>0</v>
      </c>
      <c r="AN90" s="341">
        <f t="shared" ref="AN90" si="645">U90*$D90</f>
        <v>0</v>
      </c>
      <c r="AO90" s="302">
        <f>V90*$D90</f>
        <v>0</v>
      </c>
      <c r="AP90" s="302">
        <f t="shared" si="612"/>
        <v>0</v>
      </c>
      <c r="AQ90" s="302">
        <f t="shared" si="625"/>
        <v>0</v>
      </c>
      <c r="AR90" s="302">
        <f t="shared" ref="AR90:BE92" si="646">IF(AR$3=$E90,$D90,0)</f>
        <v>0</v>
      </c>
      <c r="AS90" s="302">
        <f t="shared" si="646"/>
        <v>0</v>
      </c>
      <c r="AT90" s="302">
        <f t="shared" si="646"/>
        <v>0</v>
      </c>
      <c r="AU90" s="302">
        <f t="shared" si="646"/>
        <v>0</v>
      </c>
      <c r="AV90" s="302">
        <f t="shared" si="646"/>
        <v>0</v>
      </c>
      <c r="AW90" s="302">
        <f t="shared" si="646"/>
        <v>318.43</v>
      </c>
      <c r="AX90" s="302">
        <f t="shared" si="646"/>
        <v>0</v>
      </c>
      <c r="AY90" s="302">
        <f t="shared" si="646"/>
        <v>0</v>
      </c>
      <c r="AZ90" s="302">
        <f t="shared" si="646"/>
        <v>0</v>
      </c>
      <c r="BA90" s="302">
        <f t="shared" si="646"/>
        <v>0</v>
      </c>
      <c r="BB90" s="302">
        <f t="shared" si="646"/>
        <v>0</v>
      </c>
      <c r="BC90" s="302">
        <f t="shared" si="646"/>
        <v>0</v>
      </c>
      <c r="BD90" s="302">
        <f t="shared" si="646"/>
        <v>0</v>
      </c>
      <c r="BE90" s="302">
        <f t="shared" si="646"/>
        <v>0</v>
      </c>
      <c r="BF90" s="363">
        <f t="shared" si="574"/>
        <v>0</v>
      </c>
    </row>
    <row r="91" spans="1:59" s="297" customFormat="1" ht="14.45" customHeight="1" x14ac:dyDescent="0.25">
      <c r="A91" s="297" t="s">
        <v>145</v>
      </c>
      <c r="B91" s="245"/>
      <c r="C91" s="247"/>
      <c r="D91" s="385">
        <v>884.24</v>
      </c>
      <c r="E91" s="247" t="s">
        <v>235</v>
      </c>
      <c r="F91" s="247"/>
      <c r="G91" s="352"/>
      <c r="H91" s="352"/>
      <c r="I91" s="352"/>
      <c r="J91" s="334"/>
      <c r="K91" s="334"/>
      <c r="L91" s="335">
        <v>0</v>
      </c>
      <c r="M91" s="335">
        <v>0</v>
      </c>
      <c r="N91" s="335">
        <v>1</v>
      </c>
      <c r="O91" s="335">
        <v>0</v>
      </c>
      <c r="P91" s="335">
        <v>0</v>
      </c>
      <c r="Q91" s="335">
        <v>0</v>
      </c>
      <c r="R91" s="335">
        <v>0</v>
      </c>
      <c r="S91" s="335">
        <v>0</v>
      </c>
      <c r="T91" s="335">
        <v>0</v>
      </c>
      <c r="U91" s="335">
        <v>0</v>
      </c>
      <c r="V91" s="335">
        <v>0</v>
      </c>
      <c r="W91" s="364">
        <f t="shared" ref="W91" si="647">SUM(G91:V91)</f>
        <v>1</v>
      </c>
      <c r="X91" s="247"/>
      <c r="Y91" s="247"/>
      <c r="Z91" s="302">
        <f t="shared" ref="Z91" si="648">G91*$D91</f>
        <v>0</v>
      </c>
      <c r="AA91" s="302">
        <f t="shared" ref="AA91" si="649">H91*$D91</f>
        <v>0</v>
      </c>
      <c r="AB91" s="302">
        <f t="shared" ref="AB91" si="650">I91*$D91</f>
        <v>0</v>
      </c>
      <c r="AC91" s="302">
        <f t="shared" ref="AC91" si="651">J91*$D91</f>
        <v>0</v>
      </c>
      <c r="AD91" s="302">
        <f t="shared" ref="AD91" si="652">K91*$D91</f>
        <v>0</v>
      </c>
      <c r="AE91" s="341">
        <f t="shared" ref="AE91" si="653">L91*$D91</f>
        <v>0</v>
      </c>
      <c r="AF91" s="341">
        <f t="shared" ref="AF91" si="654">M91*$D91</f>
        <v>0</v>
      </c>
      <c r="AG91" s="341">
        <f t="shared" ref="AG91" si="655">N91*$D91</f>
        <v>884.24</v>
      </c>
      <c r="AH91" s="341">
        <f t="shared" ref="AH91" si="656">O91*$D91</f>
        <v>0</v>
      </c>
      <c r="AI91" s="341">
        <f t="shared" ref="AI91" si="657">P91*$D91</f>
        <v>0</v>
      </c>
      <c r="AJ91" s="341">
        <f t="shared" ref="AJ91" si="658">Q91*$D91</f>
        <v>0</v>
      </c>
      <c r="AK91" s="341">
        <f t="shared" ref="AK91" si="659">R91*$D91</f>
        <v>0</v>
      </c>
      <c r="AL91" s="341">
        <f t="shared" ref="AL91" si="660">S91*$D91</f>
        <v>0</v>
      </c>
      <c r="AM91" s="341">
        <f t="shared" ref="AM91" si="661">T91*$D91</f>
        <v>0</v>
      </c>
      <c r="AN91" s="341">
        <f t="shared" ref="AN91" si="662">U91*$D91</f>
        <v>0</v>
      </c>
      <c r="AO91" s="302">
        <f>V91*$D91</f>
        <v>0</v>
      </c>
      <c r="AP91" s="302">
        <f t="shared" ref="AP91" si="663">IF(AP$76=$E91,SUM(Z91:AC91),0)</f>
        <v>0</v>
      </c>
      <c r="AQ91" s="302">
        <f t="shared" si="625"/>
        <v>0</v>
      </c>
      <c r="AR91" s="302">
        <f t="shared" si="646"/>
        <v>0</v>
      </c>
      <c r="AS91" s="302">
        <f t="shared" si="646"/>
        <v>0</v>
      </c>
      <c r="AT91" s="302">
        <f t="shared" si="646"/>
        <v>0</v>
      </c>
      <c r="AU91" s="302">
        <f t="shared" si="646"/>
        <v>0</v>
      </c>
      <c r="AV91" s="302">
        <f t="shared" si="646"/>
        <v>0</v>
      </c>
      <c r="AW91" s="341">
        <f t="shared" si="646"/>
        <v>884.24</v>
      </c>
      <c r="AX91" s="302">
        <f t="shared" si="646"/>
        <v>0</v>
      </c>
      <c r="AY91" s="302">
        <f t="shared" si="646"/>
        <v>0</v>
      </c>
      <c r="AZ91" s="302">
        <f t="shared" si="646"/>
        <v>0</v>
      </c>
      <c r="BA91" s="302">
        <f t="shared" si="646"/>
        <v>0</v>
      </c>
      <c r="BB91" s="302">
        <f t="shared" si="646"/>
        <v>0</v>
      </c>
      <c r="BC91" s="302">
        <f t="shared" si="646"/>
        <v>0</v>
      </c>
      <c r="BD91" s="302">
        <f t="shared" si="646"/>
        <v>0</v>
      </c>
      <c r="BE91" s="302">
        <f t="shared" si="646"/>
        <v>0</v>
      </c>
      <c r="BF91" s="301">
        <f t="shared" ref="BF91" si="664">SUM(Z91:AO91)-SUM(AP91:BE91)</f>
        <v>0</v>
      </c>
    </row>
    <row r="92" spans="1:59" s="297" customFormat="1" ht="14.45" customHeight="1" x14ac:dyDescent="0.25">
      <c r="A92" s="297" t="s">
        <v>145</v>
      </c>
      <c r="B92" s="245"/>
      <c r="C92" s="247"/>
      <c r="D92" s="385">
        <v>6000</v>
      </c>
      <c r="E92" s="247" t="s">
        <v>263</v>
      </c>
      <c r="F92" s="247"/>
      <c r="G92" s="352"/>
      <c r="H92" s="352"/>
      <c r="I92" s="352"/>
      <c r="J92" s="334"/>
      <c r="K92" s="334"/>
      <c r="L92" s="335">
        <v>0</v>
      </c>
      <c r="M92" s="335">
        <v>0</v>
      </c>
      <c r="N92" s="335">
        <v>0</v>
      </c>
      <c r="O92" s="335">
        <v>1</v>
      </c>
      <c r="P92" s="335">
        <v>0</v>
      </c>
      <c r="Q92" s="335">
        <v>0</v>
      </c>
      <c r="R92" s="335">
        <v>0</v>
      </c>
      <c r="S92" s="335">
        <v>0</v>
      </c>
      <c r="T92" s="335">
        <v>0</v>
      </c>
      <c r="U92" s="335">
        <v>0</v>
      </c>
      <c r="V92" s="335">
        <v>0</v>
      </c>
      <c r="W92" s="364">
        <f t="shared" ref="W92" si="665">SUM(G92:V92)</f>
        <v>1</v>
      </c>
      <c r="X92" s="247"/>
      <c r="Y92" s="247"/>
      <c r="Z92" s="302">
        <f t="shared" ref="Z92" si="666">G92*$D92</f>
        <v>0</v>
      </c>
      <c r="AA92" s="302">
        <f t="shared" ref="AA92" si="667">H92*$D92</f>
        <v>0</v>
      </c>
      <c r="AB92" s="302">
        <f t="shared" ref="AB92" si="668">I92*$D92</f>
        <v>0</v>
      </c>
      <c r="AC92" s="302">
        <f t="shared" ref="AC92" si="669">J92*$D92</f>
        <v>0</v>
      </c>
      <c r="AD92" s="302">
        <f t="shared" ref="AD92" si="670">K92*$D92</f>
        <v>0</v>
      </c>
      <c r="AE92" s="341">
        <f t="shared" ref="AE92" si="671">L92*$D92</f>
        <v>0</v>
      </c>
      <c r="AF92" s="341">
        <f t="shared" ref="AF92" si="672">M92*$D92</f>
        <v>0</v>
      </c>
      <c r="AG92" s="341">
        <f t="shared" ref="AG92" si="673">N92*$D92</f>
        <v>0</v>
      </c>
      <c r="AH92" s="341">
        <f t="shared" ref="AH92" si="674">O92*$D92</f>
        <v>6000</v>
      </c>
      <c r="AI92" s="341">
        <f t="shared" ref="AI92" si="675">P92*$D92</f>
        <v>0</v>
      </c>
      <c r="AJ92" s="341">
        <f t="shared" ref="AJ92" si="676">Q92*$D92</f>
        <v>0</v>
      </c>
      <c r="AK92" s="341">
        <f t="shared" ref="AK92" si="677">R92*$D92</f>
        <v>0</v>
      </c>
      <c r="AL92" s="341">
        <f t="shared" ref="AL92" si="678">S92*$D92</f>
        <v>0</v>
      </c>
      <c r="AM92" s="341">
        <f t="shared" ref="AM92" si="679">T92*$D92</f>
        <v>0</v>
      </c>
      <c r="AN92" s="341">
        <f t="shared" ref="AN92" si="680">U92*$D92</f>
        <v>0</v>
      </c>
      <c r="AO92" s="302">
        <f>V92*$D92</f>
        <v>0</v>
      </c>
      <c r="AP92" s="302">
        <f t="shared" si="612"/>
        <v>0</v>
      </c>
      <c r="AQ92" s="302">
        <f t="shared" si="625"/>
        <v>0</v>
      </c>
      <c r="AR92" s="302">
        <f t="shared" si="646"/>
        <v>0</v>
      </c>
      <c r="AS92" s="302">
        <f t="shared" si="646"/>
        <v>0</v>
      </c>
      <c r="AT92" s="302">
        <f t="shared" si="646"/>
        <v>0</v>
      </c>
      <c r="AU92" s="302">
        <f t="shared" si="646"/>
        <v>0</v>
      </c>
      <c r="AV92" s="302">
        <f t="shared" si="646"/>
        <v>0</v>
      </c>
      <c r="AW92" s="302">
        <f t="shared" si="646"/>
        <v>0</v>
      </c>
      <c r="AX92" s="302">
        <f t="shared" si="646"/>
        <v>6000</v>
      </c>
      <c r="AY92" s="302">
        <f t="shared" si="646"/>
        <v>0</v>
      </c>
      <c r="AZ92" s="302">
        <f t="shared" si="646"/>
        <v>0</v>
      </c>
      <c r="BA92" s="302">
        <f t="shared" si="646"/>
        <v>0</v>
      </c>
      <c r="BB92" s="302">
        <f t="shared" si="646"/>
        <v>0</v>
      </c>
      <c r="BC92" s="302">
        <f t="shared" si="646"/>
        <v>0</v>
      </c>
      <c r="BD92" s="302">
        <f t="shared" si="646"/>
        <v>0</v>
      </c>
      <c r="BE92" s="302">
        <f t="shared" si="646"/>
        <v>0</v>
      </c>
      <c r="BF92" s="301">
        <f t="shared" si="574"/>
        <v>0</v>
      </c>
    </row>
    <row r="93" spans="1:59" ht="14.45" customHeight="1" x14ac:dyDescent="0.25">
      <c r="A93" t="s">
        <v>145</v>
      </c>
      <c r="B93" s="245"/>
      <c r="D93" s="380">
        <f t="shared" si="596"/>
        <v>100658</v>
      </c>
      <c r="E93" s="334" t="s">
        <v>213</v>
      </c>
      <c r="F93" s="334"/>
      <c r="G93" s="247"/>
      <c r="H93" s="346"/>
      <c r="I93" s="367"/>
      <c r="J93" s="346">
        <v>0</v>
      </c>
      <c r="K93" s="346">
        <v>8041.6</v>
      </c>
      <c r="L93" s="346">
        <v>8903.2000000000007</v>
      </c>
      <c r="M93" s="346">
        <v>8185.2</v>
      </c>
      <c r="N93" s="346">
        <v>8616</v>
      </c>
      <c r="O93" s="346">
        <v>8800</v>
      </c>
      <c r="P93" s="346">
        <v>8400</v>
      </c>
      <c r="Q93" s="346">
        <v>8400</v>
      </c>
      <c r="R93" s="346">
        <v>8400</v>
      </c>
      <c r="S93" s="346">
        <v>8400</v>
      </c>
      <c r="T93" s="346">
        <v>8000</v>
      </c>
      <c r="U93" s="346">
        <v>8112</v>
      </c>
      <c r="V93" s="346">
        <v>8400</v>
      </c>
      <c r="W93" s="346">
        <f>SUM(G93:V93)</f>
        <v>100658</v>
      </c>
      <c r="X93" s="247"/>
      <c r="Y93" s="247"/>
      <c r="Z93" s="302">
        <f t="shared" si="572"/>
        <v>0</v>
      </c>
      <c r="AA93" s="302">
        <f t="shared" ref="AA93:AN93" si="681">H93</f>
        <v>0</v>
      </c>
      <c r="AB93" s="302">
        <f t="shared" si="681"/>
        <v>0</v>
      </c>
      <c r="AC93" s="302">
        <f t="shared" si="681"/>
        <v>0</v>
      </c>
      <c r="AD93" s="302">
        <f t="shared" si="681"/>
        <v>8041.6</v>
      </c>
      <c r="AE93" s="341">
        <f t="shared" si="681"/>
        <v>8903.2000000000007</v>
      </c>
      <c r="AF93" s="341">
        <f t="shared" si="681"/>
        <v>8185.2</v>
      </c>
      <c r="AG93" s="341">
        <f t="shared" si="681"/>
        <v>8616</v>
      </c>
      <c r="AH93" s="341">
        <f t="shared" si="681"/>
        <v>8800</v>
      </c>
      <c r="AI93" s="341">
        <f t="shared" si="681"/>
        <v>8400</v>
      </c>
      <c r="AJ93" s="341">
        <f t="shared" si="681"/>
        <v>8400</v>
      </c>
      <c r="AK93" s="341">
        <f t="shared" si="681"/>
        <v>8400</v>
      </c>
      <c r="AL93" s="341">
        <f t="shared" si="681"/>
        <v>8400</v>
      </c>
      <c r="AM93" s="341">
        <f t="shared" si="681"/>
        <v>8000</v>
      </c>
      <c r="AN93" s="341">
        <f t="shared" si="681"/>
        <v>8112</v>
      </c>
      <c r="AO93" s="302">
        <v>0</v>
      </c>
      <c r="AP93" s="302">
        <f t="shared" si="612"/>
        <v>0</v>
      </c>
      <c r="AQ93" s="302">
        <f t="shared" si="625"/>
        <v>0</v>
      </c>
      <c r="AR93" s="302">
        <f>IF(AR$76=$E93,SUM(AB93:AE93),0)</f>
        <v>0</v>
      </c>
      <c r="AS93" s="302">
        <v>35002.5</v>
      </c>
      <c r="AT93" s="302">
        <f>IF(AT$76=$E93,SUM(AD93:AG93),0)</f>
        <v>0</v>
      </c>
      <c r="AU93" s="302">
        <f>IF(AU$76=$E93,SUM(AE93:AH93),0)</f>
        <v>0</v>
      </c>
      <c r="AV93" s="302">
        <f>IF(AV$76=$E93,SUM(AF93:AI93),0)</f>
        <v>0</v>
      </c>
      <c r="AW93" s="302">
        <v>35002.5</v>
      </c>
      <c r="AX93" s="302">
        <f>IF(AX$76=$E93,SUM(AH93:AK93),0)</f>
        <v>0</v>
      </c>
      <c r="AY93" s="302">
        <f>IF(AY$76=$E93,SUM(AI93:AL93),0)</f>
        <v>0</v>
      </c>
      <c r="AZ93" s="302">
        <f>IF(AZ$76=$E93,SUM(AJ93:AM93),0)</f>
        <v>0</v>
      </c>
      <c r="BA93" s="302">
        <v>22253</v>
      </c>
      <c r="BB93" s="302">
        <f>IF(BB$76=$E93,SUM(AL93:$AN93),0)</f>
        <v>0</v>
      </c>
      <c r="BC93" s="302">
        <f>IF(BC$76=$E93,SUM(AM93:$AN93),0)</f>
        <v>0</v>
      </c>
      <c r="BD93" s="302">
        <f>IF(BD$76=$E93,SUM(AN93:$AN93),0)</f>
        <v>0</v>
      </c>
      <c r="BE93" s="302">
        <v>0</v>
      </c>
      <c r="BF93" s="362">
        <f t="shared" si="574"/>
        <v>0</v>
      </c>
    </row>
    <row r="94" spans="1:59" ht="14.45" customHeight="1" x14ac:dyDescent="0.25">
      <c r="E94" s="247"/>
      <c r="F94" s="247"/>
      <c r="G94" s="247"/>
      <c r="H94" s="346"/>
      <c r="I94" s="367"/>
      <c r="J94" s="346"/>
      <c r="K94" s="346"/>
      <c r="L94" s="346"/>
      <c r="M94" s="346"/>
      <c r="N94" s="346"/>
      <c r="O94" s="346"/>
      <c r="P94" s="346"/>
      <c r="Q94" s="346"/>
      <c r="R94" s="346"/>
      <c r="S94" s="346"/>
      <c r="T94" s="346"/>
      <c r="U94" s="346"/>
      <c r="V94" s="346"/>
      <c r="W94" s="346"/>
      <c r="X94" s="247"/>
      <c r="Y94" s="247"/>
      <c r="Z94" s="302"/>
      <c r="AA94" s="302"/>
      <c r="AB94" s="302"/>
      <c r="AC94" s="302"/>
      <c r="AD94" s="302"/>
      <c r="AE94" s="302"/>
      <c r="AF94" s="302"/>
      <c r="AG94" s="240"/>
      <c r="AH94" s="240"/>
      <c r="AI94" s="240"/>
      <c r="AJ94" s="240"/>
      <c r="AK94" s="240"/>
      <c r="AL94" s="240"/>
      <c r="AM94" s="240"/>
      <c r="AN94" s="240"/>
      <c r="AO94" s="240"/>
      <c r="AP94" s="302"/>
      <c r="AQ94" s="302"/>
      <c r="AR94" s="302"/>
      <c r="AS94" s="302"/>
      <c r="AT94" s="302"/>
      <c r="AU94" s="302"/>
      <c r="AV94" s="302"/>
      <c r="AW94" s="302"/>
      <c r="AX94" s="240"/>
      <c r="AY94" s="240"/>
      <c r="AZ94" s="240"/>
      <c r="BA94" s="240"/>
      <c r="BB94" s="240"/>
      <c r="BC94" s="240"/>
      <c r="BD94" s="240"/>
      <c r="BE94" s="240"/>
      <c r="BF94" s="362">
        <f t="shared" si="574"/>
        <v>0</v>
      </c>
    </row>
    <row r="95" spans="1:59" ht="14.45" customHeight="1" x14ac:dyDescent="0.25">
      <c r="A95" s="236" t="s">
        <v>205</v>
      </c>
      <c r="B95" s="236"/>
      <c r="C95" s="236"/>
      <c r="D95" s="236"/>
      <c r="E95" s="247"/>
      <c r="F95" s="247"/>
      <c r="G95" s="247"/>
      <c r="H95" s="346"/>
      <c r="I95" s="367"/>
      <c r="J95" s="346"/>
      <c r="K95" s="346"/>
      <c r="L95" s="346"/>
      <c r="M95" s="346"/>
      <c r="N95" s="346"/>
      <c r="O95" s="346"/>
      <c r="P95" s="346"/>
      <c r="Q95" s="346"/>
      <c r="R95" s="346"/>
      <c r="S95" s="346"/>
      <c r="T95" s="346"/>
      <c r="U95" s="346"/>
      <c r="V95" s="346"/>
      <c r="W95" s="346"/>
      <c r="X95" s="247"/>
      <c r="Y95" s="247"/>
      <c r="Z95" s="302"/>
      <c r="AA95" s="302"/>
      <c r="AB95" s="302"/>
      <c r="AC95" s="302"/>
      <c r="AD95" s="302"/>
      <c r="AE95" s="302"/>
      <c r="AF95" s="302"/>
      <c r="AG95" s="240"/>
      <c r="AH95" s="240"/>
      <c r="AI95" s="240"/>
      <c r="AJ95" s="240"/>
      <c r="AK95" s="240"/>
      <c r="AL95" s="240"/>
      <c r="AM95" s="240"/>
      <c r="AN95" s="240"/>
      <c r="AO95" s="240"/>
      <c r="AP95" s="302"/>
      <c r="AQ95" s="302"/>
      <c r="AR95" s="302"/>
      <c r="AS95" s="302"/>
      <c r="AT95" s="302"/>
      <c r="AU95" s="302"/>
      <c r="AV95" s="302"/>
      <c r="AW95" s="302"/>
      <c r="AX95" s="240"/>
      <c r="AY95" s="240"/>
      <c r="AZ95" s="240"/>
      <c r="BA95" s="240"/>
      <c r="BB95" s="240"/>
      <c r="BC95" s="240"/>
      <c r="BD95" s="240"/>
      <c r="BE95" s="240"/>
      <c r="BF95" s="362">
        <f t="shared" si="574"/>
        <v>0</v>
      </c>
    </row>
    <row r="96" spans="1:59" ht="14.45" customHeight="1" x14ac:dyDescent="0.25">
      <c r="A96" t="s">
        <v>160</v>
      </c>
      <c r="B96" s="256"/>
      <c r="D96" s="234">
        <v>15000</v>
      </c>
      <c r="E96" s="247"/>
      <c r="F96" s="247"/>
      <c r="G96" s="380"/>
      <c r="H96" s="372">
        <v>1000</v>
      </c>
      <c r="I96" s="373">
        <v>0</v>
      </c>
      <c r="J96" s="372">
        <v>1672.1</v>
      </c>
      <c r="K96" s="372">
        <v>0</v>
      </c>
      <c r="L96" s="372">
        <v>0</v>
      </c>
      <c r="M96" s="372">
        <v>0</v>
      </c>
      <c r="N96" s="372">
        <v>0</v>
      </c>
      <c r="O96" s="372">
        <v>0</v>
      </c>
      <c r="P96" s="372">
        <v>0</v>
      </c>
      <c r="Q96" s="372">
        <v>0</v>
      </c>
      <c r="R96" s="372">
        <v>5000</v>
      </c>
      <c r="S96" s="372">
        <v>2000</v>
      </c>
      <c r="T96" s="372">
        <v>2000</v>
      </c>
      <c r="U96" s="372">
        <f>2000</f>
        <v>2000</v>
      </c>
      <c r="V96" s="372">
        <f>3000-1672.1</f>
        <v>1327.9</v>
      </c>
      <c r="W96" s="372">
        <f>SUM(G96:V96)</f>
        <v>15000</v>
      </c>
      <c r="X96" s="247"/>
      <c r="Y96" s="247"/>
      <c r="Z96" s="302">
        <f t="shared" ref="Z96:Z97" si="682">G96</f>
        <v>0</v>
      </c>
      <c r="AA96" s="302">
        <f t="shared" ref="AA96:AA97" si="683">H96</f>
        <v>1000</v>
      </c>
      <c r="AB96" s="302">
        <f t="shared" ref="AB96:AB97" si="684">I96</f>
        <v>0</v>
      </c>
      <c r="AC96" s="302">
        <f t="shared" ref="AC96:AC97" si="685">J96</f>
        <v>1672.1</v>
      </c>
      <c r="AD96" s="302">
        <f t="shared" ref="AD96:AD97" si="686">K96</f>
        <v>0</v>
      </c>
      <c r="AE96" s="302">
        <f t="shared" ref="AE96:AE97" si="687">L96</f>
        <v>0</v>
      </c>
      <c r="AF96" s="302">
        <f t="shared" ref="AF96:AF97" si="688">M96</f>
        <v>0</v>
      </c>
      <c r="AG96" s="302">
        <f t="shared" ref="AG96:AG97" si="689">N96</f>
        <v>0</v>
      </c>
      <c r="AH96" s="341">
        <f t="shared" ref="AH96:AH97" si="690">O96</f>
        <v>0</v>
      </c>
      <c r="AI96" s="302">
        <f t="shared" ref="AI96:AI97" si="691">P96</f>
        <v>0</v>
      </c>
      <c r="AJ96" s="302">
        <f t="shared" ref="AJ96:AJ97" si="692">Q96</f>
        <v>0</v>
      </c>
      <c r="AK96" s="302">
        <f t="shared" ref="AK96:AK97" si="693">R96</f>
        <v>5000</v>
      </c>
      <c r="AL96" s="302">
        <f t="shared" ref="AL96:AL97" si="694">S96</f>
        <v>2000</v>
      </c>
      <c r="AM96" s="302">
        <f t="shared" ref="AM96:AM97" si="695">T96</f>
        <v>2000</v>
      </c>
      <c r="AN96" s="302">
        <f t="shared" ref="AN96:AN97" si="696">U96</f>
        <v>2000</v>
      </c>
      <c r="AO96" s="302">
        <f>V96</f>
        <v>1327.9</v>
      </c>
      <c r="AP96" s="302">
        <f t="shared" ref="AP96:BD97" si="697">Z96</f>
        <v>0</v>
      </c>
      <c r="AQ96" s="302">
        <f t="shared" si="697"/>
        <v>1000</v>
      </c>
      <c r="AR96" s="302">
        <f t="shared" si="697"/>
        <v>0</v>
      </c>
      <c r="AS96" s="302">
        <f t="shared" si="697"/>
        <v>1672.1</v>
      </c>
      <c r="AT96" s="302">
        <f t="shared" si="697"/>
        <v>0</v>
      </c>
      <c r="AU96" s="302">
        <f t="shared" si="697"/>
        <v>0</v>
      </c>
      <c r="AV96" s="302">
        <f t="shared" si="697"/>
        <v>0</v>
      </c>
      <c r="AW96" s="341">
        <f t="shared" si="697"/>
        <v>0</v>
      </c>
      <c r="AX96" s="302">
        <f t="shared" si="697"/>
        <v>0</v>
      </c>
      <c r="AY96" s="302">
        <f t="shared" si="697"/>
        <v>0</v>
      </c>
      <c r="AZ96" s="302">
        <f t="shared" si="697"/>
        <v>0</v>
      </c>
      <c r="BA96" s="302">
        <f t="shared" si="697"/>
        <v>5000</v>
      </c>
      <c r="BB96" s="302">
        <f t="shared" si="697"/>
        <v>2000</v>
      </c>
      <c r="BC96" s="302">
        <f t="shared" si="697"/>
        <v>2000</v>
      </c>
      <c r="BD96" s="302">
        <f t="shared" si="697"/>
        <v>2000</v>
      </c>
      <c r="BE96" s="302">
        <f t="shared" ref="BE96:BE97" si="698">AO96</f>
        <v>1327.9</v>
      </c>
      <c r="BF96" s="362">
        <f t="shared" si="574"/>
        <v>0</v>
      </c>
    </row>
    <row r="97" spans="1:58" ht="14.45" customHeight="1" x14ac:dyDescent="0.25">
      <c r="A97" t="s">
        <v>158</v>
      </c>
      <c r="B97" s="256"/>
      <c r="D97" s="234">
        <v>30000</v>
      </c>
      <c r="E97" s="247"/>
      <c r="F97" s="247"/>
      <c r="G97" s="380"/>
      <c r="H97" s="372">
        <v>0</v>
      </c>
      <c r="I97" s="372">
        <v>0</v>
      </c>
      <c r="J97" s="372">
        <f>3399.77+118.74</f>
        <v>3518.5099999999998</v>
      </c>
      <c r="K97" s="372">
        <v>0</v>
      </c>
      <c r="L97" s="372">
        <v>276.14</v>
      </c>
      <c r="M97" s="372">
        <v>0</v>
      </c>
      <c r="N97" s="372">
        <f>15956.99-2619.65</f>
        <v>13337.34</v>
      </c>
      <c r="O97" s="372">
        <v>5000</v>
      </c>
      <c r="P97" s="372">
        <v>500</v>
      </c>
      <c r="Q97" s="372">
        <v>3000</v>
      </c>
      <c r="R97" s="372">
        <v>1000</v>
      </c>
      <c r="S97" s="372">
        <f>8205.35-1000-1500-3000</f>
        <v>2705.3500000000004</v>
      </c>
      <c r="T97" s="372">
        <v>1000</v>
      </c>
      <c r="U97" s="346">
        <v>1000</v>
      </c>
      <c r="V97" s="346">
        <v>0</v>
      </c>
      <c r="W97" s="346">
        <f>SUM(G97:V97)</f>
        <v>31337.339999999997</v>
      </c>
      <c r="X97" s="247"/>
      <c r="Y97" s="247"/>
      <c r="Z97" s="302">
        <f t="shared" si="682"/>
        <v>0</v>
      </c>
      <c r="AA97" s="302">
        <f t="shared" si="683"/>
        <v>0</v>
      </c>
      <c r="AB97" s="302">
        <f t="shared" si="684"/>
        <v>0</v>
      </c>
      <c r="AC97" s="302">
        <f t="shared" si="685"/>
        <v>3518.5099999999998</v>
      </c>
      <c r="AD97" s="302">
        <f t="shared" si="686"/>
        <v>0</v>
      </c>
      <c r="AE97" s="302">
        <f t="shared" si="687"/>
        <v>276.14</v>
      </c>
      <c r="AF97" s="302">
        <f t="shared" si="688"/>
        <v>0</v>
      </c>
      <c r="AG97" s="302">
        <f t="shared" si="689"/>
        <v>13337.34</v>
      </c>
      <c r="AH97" s="341">
        <f t="shared" si="690"/>
        <v>5000</v>
      </c>
      <c r="AI97" s="302">
        <f t="shared" si="691"/>
        <v>500</v>
      </c>
      <c r="AJ97" s="302">
        <f t="shared" si="692"/>
        <v>3000</v>
      </c>
      <c r="AK97" s="302">
        <f t="shared" si="693"/>
        <v>1000</v>
      </c>
      <c r="AL97" s="302">
        <f t="shared" si="694"/>
        <v>2705.3500000000004</v>
      </c>
      <c r="AM97" s="302">
        <f t="shared" si="695"/>
        <v>1000</v>
      </c>
      <c r="AN97" s="302">
        <f t="shared" si="696"/>
        <v>1000</v>
      </c>
      <c r="AO97" s="302">
        <f>V97</f>
        <v>0</v>
      </c>
      <c r="AP97" s="302">
        <f t="shared" si="697"/>
        <v>0</v>
      </c>
      <c r="AQ97" s="302">
        <f t="shared" si="697"/>
        <v>0</v>
      </c>
      <c r="AR97" s="302">
        <f t="shared" si="697"/>
        <v>0</v>
      </c>
      <c r="AS97" s="302">
        <f t="shared" si="697"/>
        <v>3518.5099999999998</v>
      </c>
      <c r="AT97" s="302">
        <f t="shared" si="697"/>
        <v>0</v>
      </c>
      <c r="AU97" s="302">
        <f t="shared" si="697"/>
        <v>276.14</v>
      </c>
      <c r="AV97" s="302">
        <f t="shared" si="697"/>
        <v>0</v>
      </c>
      <c r="AW97" s="341">
        <f t="shared" si="697"/>
        <v>13337.34</v>
      </c>
      <c r="AX97" s="302">
        <f t="shared" si="697"/>
        <v>5000</v>
      </c>
      <c r="AY97" s="302">
        <f t="shared" si="697"/>
        <v>500</v>
      </c>
      <c r="AZ97" s="302">
        <f t="shared" si="697"/>
        <v>3000</v>
      </c>
      <c r="BA97" s="302">
        <f t="shared" si="697"/>
        <v>1000</v>
      </c>
      <c r="BB97" s="302">
        <f t="shared" si="697"/>
        <v>2705.3500000000004</v>
      </c>
      <c r="BC97" s="302">
        <f t="shared" si="697"/>
        <v>1000</v>
      </c>
      <c r="BD97" s="302">
        <f t="shared" si="697"/>
        <v>1000</v>
      </c>
      <c r="BE97" s="302">
        <f t="shared" si="698"/>
        <v>0</v>
      </c>
      <c r="BF97" s="362">
        <f t="shared" si="574"/>
        <v>0</v>
      </c>
    </row>
    <row r="98" spans="1:58" s="247" customFormat="1" ht="14.45" customHeight="1" x14ac:dyDescent="0.25">
      <c r="A98" s="248"/>
      <c r="D98" s="249"/>
      <c r="I98" s="320"/>
      <c r="W98" s="250"/>
      <c r="X98" s="297"/>
      <c r="Y98" s="297"/>
      <c r="Z98" s="244"/>
      <c r="AA98" s="244"/>
      <c r="AB98" s="244"/>
      <c r="AC98" s="244"/>
      <c r="AD98" s="244"/>
      <c r="AE98" s="244"/>
      <c r="AF98" s="244"/>
      <c r="AG98" s="244"/>
      <c r="AH98" s="244"/>
      <c r="AI98" s="244"/>
      <c r="AJ98" s="244"/>
      <c r="AK98" s="244"/>
      <c r="AL98" s="244"/>
      <c r="AM98" s="244"/>
      <c r="AN98" s="244"/>
    </row>
    <row r="99" spans="1:58" ht="14.45" customHeight="1" x14ac:dyDescent="0.25">
      <c r="B99" s="239"/>
      <c r="D99" s="251">
        <f>SUM(D4:D97)</f>
        <v>24785928.710000001</v>
      </c>
      <c r="E99" s="255"/>
      <c r="F99" s="255"/>
      <c r="G99" s="255"/>
      <c r="H99" s="255"/>
      <c r="I99" s="320"/>
      <c r="J99" s="255"/>
      <c r="K99" s="255"/>
      <c r="L99" s="255"/>
      <c r="M99" s="255"/>
      <c r="N99" s="255"/>
      <c r="O99" s="255"/>
      <c r="P99" s="255"/>
      <c r="Q99" s="255"/>
      <c r="R99" s="255"/>
      <c r="S99" s="255"/>
      <c r="T99" s="247"/>
      <c r="U99" s="255"/>
      <c r="V99" s="361"/>
      <c r="W99" s="255"/>
      <c r="X99" s="297"/>
      <c r="Y99" s="297"/>
      <c r="Z99" s="235" t="s">
        <v>118</v>
      </c>
    </row>
    <row r="100" spans="1:58" ht="14.45" customHeight="1" x14ac:dyDescent="0.25">
      <c r="D100" s="254"/>
      <c r="E100" s="255"/>
      <c r="F100" s="255"/>
      <c r="G100" s="255"/>
      <c r="H100" s="255"/>
      <c r="I100" s="320"/>
      <c r="J100" s="255"/>
      <c r="K100" s="255"/>
      <c r="L100" s="255"/>
      <c r="M100" s="255"/>
      <c r="N100" s="255"/>
      <c r="O100" s="255"/>
      <c r="P100" s="255"/>
      <c r="Q100" s="255"/>
      <c r="R100" s="255"/>
      <c r="S100" s="255"/>
      <c r="T100" s="255"/>
      <c r="U100" s="255"/>
      <c r="V100" s="255"/>
      <c r="W100" s="255"/>
      <c r="X100" s="297"/>
      <c r="Y100" s="297"/>
      <c r="Z100" s="235"/>
    </row>
    <row r="101" spans="1:58" ht="14.45" customHeight="1" x14ac:dyDescent="0.25">
      <c r="A101" s="297" t="s">
        <v>142</v>
      </c>
      <c r="B101" s="428"/>
      <c r="C101" s="428"/>
      <c r="D101" s="383">
        <f>SUMIF($A$4:$A$98,"="&amp;A101,$D$4:$D$98)</f>
        <v>7993016.0899999999</v>
      </c>
      <c r="E101" s="247"/>
      <c r="F101" s="247"/>
      <c r="G101" s="247"/>
      <c r="H101" s="247"/>
      <c r="I101" s="320"/>
      <c r="J101" s="247"/>
      <c r="K101" s="247"/>
      <c r="L101" s="247"/>
      <c r="M101" s="247"/>
      <c r="T101" s="301"/>
    </row>
    <row r="102" spans="1:58" ht="14.45" customHeight="1" x14ac:dyDescent="0.25">
      <c r="A102" s="297" t="s">
        <v>143</v>
      </c>
      <c r="B102" s="428"/>
      <c r="C102" s="428"/>
      <c r="D102" s="234">
        <f>SUMIF($A$4:$A$98,"="&amp;A102,$D$4:$D$98)</f>
        <v>4023997.83</v>
      </c>
      <c r="E102" s="247"/>
      <c r="F102" s="247"/>
      <c r="G102" s="247"/>
      <c r="H102" s="247"/>
      <c r="I102" s="320"/>
      <c r="J102" s="247"/>
      <c r="K102" s="247"/>
      <c r="L102" s="247"/>
      <c r="M102" s="247"/>
    </row>
    <row r="103" spans="1:58" ht="14.45" customHeight="1" x14ac:dyDescent="0.25">
      <c r="A103" s="297" t="s">
        <v>145</v>
      </c>
      <c r="B103" s="428"/>
      <c r="C103" s="428"/>
      <c r="D103" s="383">
        <f>SUMIF($A$4:$A$98,"="&amp;A103,$D$4:$D$98)</f>
        <v>4127367.5100000002</v>
      </c>
      <c r="E103" s="247"/>
      <c r="F103" s="247"/>
      <c r="G103" s="247"/>
      <c r="H103" s="247"/>
      <c r="I103" s="320"/>
      <c r="J103" s="247"/>
      <c r="K103" s="247"/>
      <c r="L103" s="247"/>
      <c r="M103" s="247"/>
      <c r="U103" s="301"/>
    </row>
    <row r="104" spans="1:58" ht="14.45" customHeight="1" x14ac:dyDescent="0.25">
      <c r="A104" s="297" t="s">
        <v>146</v>
      </c>
      <c r="B104" s="428"/>
      <c r="C104" s="428"/>
      <c r="D104" s="383">
        <f>SUMIF($A$4:$A$98,"="&amp;A104,$D$4:$D$98)</f>
        <v>2772876.18</v>
      </c>
      <c r="E104" s="247"/>
      <c r="F104" s="247"/>
      <c r="G104" s="247"/>
      <c r="H104" s="247"/>
      <c r="I104" s="320"/>
      <c r="J104" s="247"/>
      <c r="K104" s="247"/>
      <c r="L104" s="247"/>
      <c r="M104" s="247"/>
      <c r="U104" s="301"/>
    </row>
    <row r="105" spans="1:58" ht="14.45" customHeight="1" x14ac:dyDescent="0.25">
      <c r="A105" s="297" t="s">
        <v>147</v>
      </c>
      <c r="B105" s="428"/>
      <c r="C105" s="428"/>
      <c r="D105" s="383">
        <f>SUMIF($A$4:$A$98,"="&amp;A105,$D$4:$D$98)</f>
        <v>210354.24000000002</v>
      </c>
      <c r="E105" s="247"/>
      <c r="F105" s="247"/>
      <c r="G105" s="247"/>
      <c r="H105" s="247"/>
      <c r="I105" s="320"/>
      <c r="J105" s="247"/>
      <c r="K105" s="247"/>
      <c r="L105" s="247"/>
      <c r="M105" s="247"/>
    </row>
    <row r="106" spans="1:58" s="297" customFormat="1" ht="14.45" customHeight="1" x14ac:dyDescent="0.25">
      <c r="B106" s="306"/>
      <c r="C106" s="306"/>
      <c r="D106" s="307">
        <f>SUM(D101:D105)</f>
        <v>19127611.849999998</v>
      </c>
      <c r="E106" s="347">
        <f>'QFR - B'!G14</f>
        <v>19300000</v>
      </c>
      <c r="F106" s="347"/>
      <c r="G106" s="244">
        <f>E106-D106</f>
        <v>172388.15000000224</v>
      </c>
      <c r="H106" s="247"/>
      <c r="I106" s="320"/>
      <c r="J106" s="247"/>
      <c r="K106" s="247"/>
      <c r="L106" s="247"/>
      <c r="M106" s="247"/>
    </row>
    <row r="107" spans="1:58" x14ac:dyDescent="0.25">
      <c r="A107" s="297" t="s">
        <v>149</v>
      </c>
      <c r="B107" s="428"/>
      <c r="C107" s="428"/>
      <c r="D107" s="234">
        <f>SUMIF($A$4:$A$98,"="&amp;A107,$D$4:$D$98)</f>
        <v>777589.09</v>
      </c>
      <c r="E107" s="247"/>
      <c r="F107" s="247"/>
      <c r="G107" s="247"/>
      <c r="H107" s="247"/>
      <c r="I107" s="320"/>
      <c r="J107" s="247"/>
      <c r="K107" s="247"/>
      <c r="L107" s="247"/>
      <c r="M107" s="247"/>
    </row>
    <row r="108" spans="1:58" s="297" customFormat="1" ht="14.45" customHeight="1" x14ac:dyDescent="0.25">
      <c r="B108" s="306"/>
      <c r="C108" s="306"/>
      <c r="D108" s="308">
        <f>D107</f>
        <v>777589.09</v>
      </c>
      <c r="E108" s="347">
        <f>'QFR - B'!G20</f>
        <v>800000</v>
      </c>
      <c r="F108" s="347"/>
      <c r="G108" s="244">
        <f>E108-D108</f>
        <v>22410.910000000033</v>
      </c>
      <c r="H108" s="247"/>
      <c r="I108" s="320"/>
      <c r="J108" s="247"/>
      <c r="K108" s="247"/>
      <c r="L108" s="247"/>
      <c r="M108" s="247"/>
    </row>
    <row r="109" spans="1:58" ht="14.45" customHeight="1" x14ac:dyDescent="0.25">
      <c r="A109" s="297" t="s">
        <v>150</v>
      </c>
      <c r="B109" s="428"/>
      <c r="C109" s="428"/>
      <c r="D109" s="234">
        <f>SUMIF($A$4:$A$98,"="&amp;A109,$D$4:$D$98)</f>
        <v>807782.07</v>
      </c>
      <c r="E109" s="247"/>
      <c r="F109" s="247"/>
      <c r="G109" s="247"/>
      <c r="H109" s="247"/>
      <c r="I109" s="320"/>
      <c r="J109" s="247"/>
      <c r="K109" s="247"/>
      <c r="L109" s="247"/>
      <c r="M109" s="247"/>
    </row>
    <row r="110" spans="1:58" ht="14.45" customHeight="1" x14ac:dyDescent="0.25">
      <c r="A110" s="297" t="s">
        <v>151</v>
      </c>
      <c r="B110" s="428"/>
      <c r="C110" s="428"/>
      <c r="D110" s="234">
        <f>SUMIF($A$4:$A$98,"="&amp;A110,$D$4:$D$98)</f>
        <v>2700229</v>
      </c>
      <c r="E110" s="247"/>
      <c r="F110" s="247"/>
      <c r="G110" s="247"/>
      <c r="H110" s="247"/>
      <c r="I110" s="320"/>
      <c r="J110" s="247"/>
      <c r="K110" s="247"/>
      <c r="L110" s="247"/>
      <c r="M110" s="247"/>
    </row>
    <row r="111" spans="1:58" s="297" customFormat="1" ht="14.45" customHeight="1" x14ac:dyDescent="0.25">
      <c r="B111" s="306"/>
      <c r="C111" s="306"/>
      <c r="D111" s="308">
        <f>SUM(D109:D110)</f>
        <v>3508011.07</v>
      </c>
      <c r="E111" s="347">
        <f>'QFR - B'!G21</f>
        <v>3600000</v>
      </c>
      <c r="F111" s="347"/>
      <c r="G111" s="244">
        <f>E111-D111</f>
        <v>91988.930000000168</v>
      </c>
      <c r="H111" s="247"/>
      <c r="I111" s="320"/>
      <c r="J111" s="247"/>
      <c r="K111" s="247"/>
      <c r="L111" s="247"/>
      <c r="M111" s="247"/>
    </row>
    <row r="112" spans="1:58" ht="14.45" customHeight="1" x14ac:dyDescent="0.25">
      <c r="A112" s="297" t="s">
        <v>153</v>
      </c>
      <c r="B112" s="428"/>
      <c r="C112" s="428"/>
      <c r="D112" s="234">
        <f>SUMIF($A$4:$A$98,"="&amp;A112,$D$4:$D$98)</f>
        <v>296987.31</v>
      </c>
      <c r="E112" s="247"/>
      <c r="F112" s="247"/>
      <c r="G112" s="247"/>
      <c r="H112" s="247"/>
      <c r="I112" s="320"/>
      <c r="J112" s="247"/>
      <c r="K112" s="247"/>
      <c r="L112" s="247"/>
      <c r="M112" s="247"/>
    </row>
    <row r="113" spans="1:58" ht="14.45" customHeight="1" x14ac:dyDescent="0.25">
      <c r="A113" s="297" t="s">
        <v>154</v>
      </c>
      <c r="B113" s="428"/>
      <c r="C113" s="428"/>
      <c r="D113" s="234">
        <f>SUMIF($A$4:$A$98,"="&amp;A113,$D$4:$D$98)</f>
        <v>0</v>
      </c>
      <c r="E113" s="247"/>
      <c r="F113" s="247"/>
      <c r="G113" s="247"/>
      <c r="H113" s="247"/>
      <c r="I113" s="320"/>
      <c r="J113" s="247"/>
      <c r="K113" s="247"/>
      <c r="L113" s="247"/>
      <c r="M113" s="247"/>
    </row>
    <row r="114" spans="1:58" ht="14.45" customHeight="1" x14ac:dyDescent="0.25">
      <c r="A114" s="297" t="s">
        <v>155</v>
      </c>
      <c r="B114" s="428"/>
      <c r="C114" s="428"/>
      <c r="D114" s="234">
        <f>SUMIF($A$4:$A$98,"="&amp;A114,$D$4:$D$98)</f>
        <v>160000</v>
      </c>
      <c r="E114" s="247"/>
      <c r="F114" s="247"/>
      <c r="G114" s="247"/>
      <c r="H114" s="247"/>
      <c r="I114" s="320"/>
      <c r="J114" s="247"/>
      <c r="K114" s="247"/>
      <c r="L114" s="247"/>
      <c r="M114" s="247"/>
    </row>
    <row r="115" spans="1:58" ht="14.45" customHeight="1" x14ac:dyDescent="0.25">
      <c r="A115" s="297" t="s">
        <v>156</v>
      </c>
      <c r="B115" s="428"/>
      <c r="C115" s="428"/>
      <c r="D115" s="383">
        <f>SUMIF($A$4:$A$98,"="&amp;A115,$D$4:$D$98)</f>
        <v>25363.46</v>
      </c>
      <c r="E115" s="247"/>
      <c r="F115" s="247"/>
      <c r="G115" s="247"/>
      <c r="H115" s="247"/>
      <c r="I115" s="320"/>
      <c r="J115" s="247"/>
      <c r="K115" s="247"/>
      <c r="L115" s="247"/>
      <c r="M115" s="247"/>
    </row>
    <row r="116" spans="1:58" s="297" customFormat="1" ht="14.45" customHeight="1" x14ac:dyDescent="0.25">
      <c r="B116" s="306"/>
      <c r="C116" s="306"/>
      <c r="D116" s="308">
        <f>SUM(D112:D115)</f>
        <v>482350.77</v>
      </c>
      <c r="E116" s="347">
        <f>'QFR - B'!G24</f>
        <v>1700000</v>
      </c>
      <c r="F116" s="347"/>
      <c r="G116" s="244">
        <f>E116-D116</f>
        <v>1217649.23</v>
      </c>
      <c r="H116" s="247"/>
      <c r="I116" s="320"/>
      <c r="J116" s="247"/>
      <c r="K116" s="247"/>
      <c r="L116" s="247"/>
      <c r="M116" s="247"/>
    </row>
    <row r="117" spans="1:58" ht="14.45" customHeight="1" x14ac:dyDescent="0.25">
      <c r="A117" s="297" t="s">
        <v>157</v>
      </c>
      <c r="B117" s="428"/>
      <c r="C117" s="428"/>
      <c r="D117" s="234">
        <f>SUMIF($A$4:$A$98,"="&amp;A117,$D$4:$D$98)</f>
        <v>607753.04</v>
      </c>
      <c r="E117" s="247"/>
      <c r="F117" s="247"/>
      <c r="G117" s="247"/>
      <c r="H117" s="247"/>
      <c r="I117" s="320"/>
      <c r="J117" s="247"/>
      <c r="K117" s="247"/>
      <c r="L117" s="247"/>
      <c r="M117" s="247"/>
      <c r="AW117" s="383"/>
    </row>
    <row r="118" spans="1:58" ht="14.45" customHeight="1" x14ac:dyDescent="0.25">
      <c r="A118" s="297" t="s">
        <v>158</v>
      </c>
      <c r="B118" s="428"/>
      <c r="C118" s="428"/>
      <c r="D118" s="234">
        <f>SUMIF($A$4:$A$98,"="&amp;A118,$D$4:$D$98)</f>
        <v>32619.65</v>
      </c>
      <c r="E118" s="247"/>
      <c r="F118" s="247"/>
      <c r="G118" s="247"/>
      <c r="H118" s="247"/>
      <c r="I118" s="320"/>
      <c r="J118" s="247"/>
      <c r="K118" s="247"/>
      <c r="L118" s="247"/>
      <c r="M118" s="247"/>
    </row>
    <row r="119" spans="1:58" ht="14.45" customHeight="1" x14ac:dyDescent="0.25">
      <c r="A119" s="297" t="s">
        <v>159</v>
      </c>
      <c r="B119" s="428"/>
      <c r="C119" s="428"/>
      <c r="D119" s="234">
        <f>SUMIF($A$4:$A$98,"="&amp;A119,$D$4:$D$98)</f>
        <v>120000</v>
      </c>
      <c r="E119" s="247"/>
      <c r="F119" s="247"/>
      <c r="G119" s="247"/>
      <c r="H119" s="247"/>
      <c r="I119" s="320"/>
      <c r="J119" s="247"/>
      <c r="K119" s="247"/>
      <c r="L119" s="247"/>
      <c r="M119" s="247"/>
    </row>
    <row r="120" spans="1:58" ht="14.45" customHeight="1" x14ac:dyDescent="0.25">
      <c r="A120" s="297" t="s">
        <v>160</v>
      </c>
      <c r="B120" s="428"/>
      <c r="C120" s="428"/>
      <c r="D120" s="234">
        <f>SUMIF($A$4:$A$98,"="&amp;A120,$D$4:$D$98)</f>
        <v>42222.520000000004</v>
      </c>
      <c r="E120" s="247"/>
      <c r="F120" s="247"/>
      <c r="G120" s="247"/>
      <c r="H120" s="247"/>
      <c r="I120" s="320"/>
      <c r="J120" s="247"/>
      <c r="K120" s="247"/>
      <c r="L120" s="247"/>
      <c r="M120" s="247"/>
    </row>
    <row r="121" spans="1:58" s="297" customFormat="1" ht="14.45" customHeight="1" x14ac:dyDescent="0.25">
      <c r="B121" s="306"/>
      <c r="C121" s="306"/>
      <c r="D121" s="308">
        <f>SUM(D117:D120)</f>
        <v>802595.21000000008</v>
      </c>
      <c r="E121" s="347">
        <f>'QFR - B'!G27</f>
        <v>797500</v>
      </c>
      <c r="F121" s="347"/>
      <c r="G121" s="244">
        <f>E121-D121</f>
        <v>-5095.2100000000792</v>
      </c>
      <c r="H121" s="247"/>
      <c r="I121" s="320"/>
      <c r="J121" s="247"/>
      <c r="K121" s="247"/>
      <c r="L121" s="247"/>
      <c r="M121" s="247"/>
    </row>
    <row r="122" spans="1:58" x14ac:dyDescent="0.25">
      <c r="A122" s="297"/>
    </row>
    <row r="123" spans="1:58" x14ac:dyDescent="0.25">
      <c r="A123" s="297"/>
      <c r="D123" s="383">
        <f t="shared" ref="D123:AJ123" si="699">SUBTOTAL(9,D4:D122)</f>
        <v>98968173.399999976</v>
      </c>
      <c r="E123" s="383">
        <f t="shared" si="699"/>
        <v>26197500</v>
      </c>
      <c r="F123" s="383"/>
      <c r="G123" s="383">
        <f t="shared" si="699"/>
        <v>1509342.0100000026</v>
      </c>
      <c r="H123" s="383">
        <f t="shared" si="699"/>
        <v>24587.919999999998</v>
      </c>
      <c r="I123" s="383">
        <f t="shared" si="699"/>
        <v>41876.831818181818</v>
      </c>
      <c r="J123" s="383">
        <f t="shared" si="699"/>
        <v>50463.815187728767</v>
      </c>
      <c r="K123" s="383">
        <f t="shared" si="699"/>
        <v>60088.852132164859</v>
      </c>
      <c r="L123" s="383">
        <f t="shared" si="699"/>
        <v>62773.277200931407</v>
      </c>
      <c r="M123" s="383">
        <f t="shared" si="699"/>
        <v>58779.693812550038</v>
      </c>
      <c r="N123" s="383">
        <f t="shared" si="699"/>
        <v>68281.805129611617</v>
      </c>
      <c r="O123" s="383">
        <f t="shared" si="699"/>
        <v>97008.058436240171</v>
      </c>
      <c r="P123" s="383">
        <f t="shared" si="699"/>
        <v>76707.980601017785</v>
      </c>
      <c r="Q123" s="383">
        <f t="shared" si="699"/>
        <v>79203.92444985926</v>
      </c>
      <c r="R123" s="383">
        <f t="shared" si="699"/>
        <v>82202.565090971621</v>
      </c>
      <c r="S123" s="383">
        <f t="shared" si="699"/>
        <v>68907.637229806598</v>
      </c>
      <c r="T123" s="383">
        <f t="shared" si="699"/>
        <v>66801.962897889927</v>
      </c>
      <c r="U123" s="383">
        <f t="shared" si="699"/>
        <v>66914.696017252223</v>
      </c>
      <c r="V123" s="383">
        <f t="shared" si="699"/>
        <v>60577.599999999999</v>
      </c>
      <c r="W123" s="383">
        <f t="shared" si="699"/>
        <v>975176.62000420631</v>
      </c>
      <c r="X123" s="383">
        <f t="shared" si="699"/>
        <v>0</v>
      </c>
      <c r="Y123" s="383">
        <f t="shared" si="699"/>
        <v>0</v>
      </c>
      <c r="Z123" s="383">
        <f t="shared" si="699"/>
        <v>10000</v>
      </c>
      <c r="AA123" s="383">
        <f t="shared" si="699"/>
        <v>32521.487500000003</v>
      </c>
      <c r="AB123" s="383">
        <f t="shared" si="699"/>
        <v>70821.421136363642</v>
      </c>
      <c r="AC123" s="383">
        <f t="shared" si="699"/>
        <v>188272.41255054547</v>
      </c>
      <c r="AD123" s="383">
        <f t="shared" si="699"/>
        <v>897497.53250971902</v>
      </c>
      <c r="AE123" s="383">
        <f t="shared" si="699"/>
        <v>1112435.9316630608</v>
      </c>
      <c r="AF123" s="383">
        <f t="shared" si="699"/>
        <v>1006736.956636674</v>
      </c>
      <c r="AG123" s="383">
        <f t="shared" si="699"/>
        <v>642949.32071323146</v>
      </c>
      <c r="AH123" s="383">
        <f t="shared" si="699"/>
        <v>2594245.7225265671</v>
      </c>
      <c r="AI123" s="383">
        <f t="shared" si="699"/>
        <v>4691260.1299711214</v>
      </c>
      <c r="AJ123" s="383">
        <f t="shared" si="699"/>
        <v>2539891.6152086528</v>
      </c>
      <c r="AK123" s="383">
        <f t="shared" ref="AK123:BF123" si="700">SUBTOTAL(9,AK4:AK122)</f>
        <v>2382345.3195156665</v>
      </c>
      <c r="AL123" s="383">
        <f t="shared" si="700"/>
        <v>1952718.2218626281</v>
      </c>
      <c r="AM123" s="383">
        <f t="shared" si="700"/>
        <v>2897849.9610126279</v>
      </c>
      <c r="AN123" s="383">
        <f t="shared" si="700"/>
        <v>3707142.6291098348</v>
      </c>
      <c r="AO123" s="383">
        <f t="shared" si="700"/>
        <v>52177.599999999999</v>
      </c>
      <c r="AP123" s="383">
        <f t="shared" si="700"/>
        <v>49000</v>
      </c>
      <c r="AQ123" s="383">
        <f t="shared" si="700"/>
        <v>194969.19</v>
      </c>
      <c r="AR123" s="383">
        <f t="shared" si="700"/>
        <v>348650.52</v>
      </c>
      <c r="AS123" s="383">
        <f t="shared" si="700"/>
        <v>10681160.68</v>
      </c>
      <c r="AT123" s="383">
        <f t="shared" si="700"/>
        <v>239837.07</v>
      </c>
      <c r="AU123" s="383">
        <f t="shared" si="700"/>
        <v>3435480.2600000007</v>
      </c>
      <c r="AV123" s="383">
        <f t="shared" si="700"/>
        <v>373899.09</v>
      </c>
      <c r="AW123" s="383">
        <f t="shared" si="700"/>
        <v>317343.69000000006</v>
      </c>
      <c r="AX123" s="383">
        <f t="shared" si="700"/>
        <v>5672988.8300000001</v>
      </c>
      <c r="AY123" s="383">
        <f t="shared" si="700"/>
        <v>2268800</v>
      </c>
      <c r="AZ123" s="383">
        <f t="shared" si="700"/>
        <v>73800</v>
      </c>
      <c r="BA123" s="383">
        <f t="shared" si="700"/>
        <v>97862</v>
      </c>
      <c r="BB123" s="383">
        <f t="shared" si="700"/>
        <v>27553.660000000011</v>
      </c>
      <c r="BC123" s="383">
        <f t="shared" si="700"/>
        <v>803664.52</v>
      </c>
      <c r="BD123" s="383">
        <f t="shared" si="700"/>
        <v>191633.72</v>
      </c>
      <c r="BE123" s="383">
        <f t="shared" si="700"/>
        <v>2222.8200000000002</v>
      </c>
      <c r="BF123" s="383">
        <f t="shared" si="700"/>
        <v>0.21191669334257313</v>
      </c>
    </row>
    <row r="124" spans="1:58" x14ac:dyDescent="0.25">
      <c r="G124" s="384"/>
    </row>
    <row r="125" spans="1:58" ht="21" x14ac:dyDescent="0.35">
      <c r="D125" s="355"/>
      <c r="BD125" s="301"/>
    </row>
    <row r="126" spans="1:58" x14ac:dyDescent="0.25">
      <c r="W126" s="300"/>
    </row>
    <row r="127" spans="1:58" x14ac:dyDescent="0.25">
      <c r="U127" s="300"/>
    </row>
    <row r="128" spans="1:58" x14ac:dyDescent="0.25">
      <c r="D128" s="301"/>
      <c r="M128" s="233">
        <f>+N36+K36</f>
        <v>0.41666666666666663</v>
      </c>
      <c r="N128" s="300">
        <f>+O36-K36</f>
        <v>8.3333333333333384E-2</v>
      </c>
      <c r="O128" s="300">
        <f>+M40+O40</f>
        <v>0.80002038381757845</v>
      </c>
      <c r="P128">
        <v>1</v>
      </c>
      <c r="Q128" s="300">
        <f>+P128-O128</f>
        <v>0.19997961618242155</v>
      </c>
      <c r="W128" s="233"/>
    </row>
    <row r="130" spans="8:42" x14ac:dyDescent="0.25">
      <c r="M130" s="253"/>
    </row>
    <row r="131" spans="8:42" x14ac:dyDescent="0.25">
      <c r="H131" s="253"/>
      <c r="M131" s="253"/>
    </row>
    <row r="132" spans="8:42" x14ac:dyDescent="0.25">
      <c r="H132" s="253"/>
      <c r="I132" s="371"/>
      <c r="L132" s="300"/>
      <c r="M132" s="300"/>
      <c r="R132" s="389">
        <f>+W14-1</f>
        <v>0</v>
      </c>
      <c r="S132">
        <v>0.392523366373424</v>
      </c>
      <c r="T132" s="233">
        <f>+S132+P14</f>
        <v>0.85981308788703492</v>
      </c>
    </row>
    <row r="133" spans="8:42" x14ac:dyDescent="0.25">
      <c r="H133" s="253"/>
      <c r="R133" s="429">
        <v>3.9999998282898401E-2</v>
      </c>
      <c r="S133" s="429"/>
    </row>
    <row r="134" spans="8:42" x14ac:dyDescent="0.25">
      <c r="H134" s="253"/>
    </row>
    <row r="136" spans="8:42" x14ac:dyDescent="0.25">
      <c r="N136" s="253"/>
    </row>
    <row r="138" spans="8:42" x14ac:dyDescent="0.25">
      <c r="AP138" s="301"/>
    </row>
  </sheetData>
  <autoFilter ref="A3:BF121"/>
  <sortState ref="A4:BF56">
    <sortCondition ref="A56"/>
  </sortState>
  <mergeCells count="17">
    <mergeCell ref="R133:S133"/>
    <mergeCell ref="B120:C120"/>
    <mergeCell ref="B113:C113"/>
    <mergeCell ref="B114:C114"/>
    <mergeCell ref="B115:C115"/>
    <mergeCell ref="B117:C117"/>
    <mergeCell ref="B118:C118"/>
    <mergeCell ref="B107:C107"/>
    <mergeCell ref="B109:C109"/>
    <mergeCell ref="B110:C110"/>
    <mergeCell ref="B112:C112"/>
    <mergeCell ref="B119:C119"/>
    <mergeCell ref="B101:C101"/>
    <mergeCell ref="B102:C102"/>
    <mergeCell ref="B103:C103"/>
    <mergeCell ref="B104:C104"/>
    <mergeCell ref="B105:C105"/>
  </mergeCells>
  <phoneticPr fontId="28" type="noConversion"/>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B37" sqref="B37"/>
    </sheetView>
  </sheetViews>
  <sheetFormatPr baseColWidth="10" defaultColWidth="8.85546875" defaultRowHeight="15" x14ac:dyDescent="0.25"/>
  <cols>
    <col min="1" max="1" width="47" customWidth="1"/>
    <col min="2" max="2" width="11.140625" customWidth="1"/>
    <col min="3" max="10" width="4.85546875" customWidth="1"/>
    <col min="11" max="19" width="4.85546875" style="297" customWidth="1"/>
  </cols>
  <sheetData>
    <row r="1" spans="1:19" x14ac:dyDescent="0.25">
      <c r="A1" s="297"/>
    </row>
    <row r="2" spans="1:19" x14ac:dyDescent="0.25">
      <c r="A2" s="188" t="s">
        <v>95</v>
      </c>
      <c r="B2" t="s">
        <v>247</v>
      </c>
    </row>
    <row r="3" spans="1:19" x14ac:dyDescent="0.25">
      <c r="A3" s="42"/>
      <c r="B3" t="s">
        <v>246</v>
      </c>
      <c r="D3" t="s">
        <v>245</v>
      </c>
      <c r="L3" s="297" t="s">
        <v>245</v>
      </c>
    </row>
    <row r="4" spans="1:19" x14ac:dyDescent="0.25">
      <c r="A4" s="44" t="s">
        <v>76</v>
      </c>
    </row>
    <row r="5" spans="1:19" x14ac:dyDescent="0.25">
      <c r="A5" s="49" t="s">
        <v>77</v>
      </c>
      <c r="B5" s="252" t="str">
        <f>IF('DFP-Com'!P15-'DFP-CASH'!P17=0,"ok","error")</f>
        <v>error</v>
      </c>
      <c r="C5" t="str">
        <f>IF(SUM('DFP-CASH'!$C17:C17)&gt;SUM('DFP-Com'!$C15:D15),"error","ok")</f>
        <v>ok</v>
      </c>
      <c r="D5" s="297" t="str">
        <f>IF(SUM('DFP-CASH'!$C17:E17)&gt;SUM('DFP-Com'!$C15:E15),"error","ok")</f>
        <v>ok</v>
      </c>
      <c r="E5" s="297" t="str">
        <f>IF(SUM('DFP-CASH'!$C17:F17)&gt;SUM('DFP-Com'!$C15:F15),"error","ok")</f>
        <v>ok</v>
      </c>
      <c r="F5" s="297" t="str">
        <f>IF(SUM('DFP-CASH'!$C17:G17)&gt;SUM('DFP-Com'!$C15:G15),"error","ok")</f>
        <v>ok</v>
      </c>
      <c r="G5" s="297" t="str">
        <f>IF(SUM('DFP-CASH'!$C17:G17)&gt;SUM('DFP-Com'!$C15:G15),"error","ok")</f>
        <v>ok</v>
      </c>
      <c r="H5" s="297" t="str">
        <f>IF(SUM('DFP-CASH'!$C17:G17)&gt;SUM('DFP-Com'!$C15:G15),"error","ok")</f>
        <v>ok</v>
      </c>
      <c r="I5" s="297" t="str">
        <f>IF(SUM('DFP-CASH'!$C17:G17)&gt;SUM('DFP-Com'!$C15:G15),"error","ok")</f>
        <v>ok</v>
      </c>
      <c r="J5" s="297" t="str">
        <f>IF(SUM('DFP-CASH'!$C17:G17)&gt;SUM('DFP-Com'!$C15:G15),"error","ok")</f>
        <v>ok</v>
      </c>
      <c r="K5" s="297" t="str">
        <f>IF(SUM('DFP-CASH'!$C17:G17)&gt;SUM('DFP-Com'!$C15:G15),"error","ok")</f>
        <v>ok</v>
      </c>
      <c r="L5" s="297" t="str">
        <f>IF(SUM('DFP-CASH'!$C17:G17)&gt;SUM('DFP-Com'!$C15:G15),"error","ok")</f>
        <v>ok</v>
      </c>
      <c r="M5" s="297" t="str">
        <f>IF(SUM('DFP-CASH'!$C17:G17)&gt;SUM('DFP-Com'!$C15:G15),"error","ok")</f>
        <v>ok</v>
      </c>
      <c r="N5" s="297" t="str">
        <f>IF(SUM('DFP-CASH'!$C17:H17)&gt;SUM('DFP-Com'!$C15:H15),"error","ok")</f>
        <v>ok</v>
      </c>
      <c r="O5" s="297" t="str">
        <f>IF(SUM('DFP-CASH'!$C17:I17)&gt;SUM('DFP-Com'!$C15:I15),"error","ok")</f>
        <v>ok</v>
      </c>
      <c r="P5" s="297" t="str">
        <f>IF(SUM('DFP-CASH'!$C17:J17)&gt;SUM('DFP-Com'!$C15:J15),"error","ok")</f>
        <v>ok</v>
      </c>
      <c r="Q5" s="297" t="str">
        <f>IF(SUM('DFP-CASH'!$C17:K17)&gt;SUM('DFP-Com'!$C15:K15),"error","ok")</f>
        <v>ok</v>
      </c>
      <c r="R5" s="297" t="str">
        <f>IF(SUM('DFP-CASH'!$C17:L17)&gt;SUM('DFP-Com'!$C15:L15),"error","ok")</f>
        <v>ok</v>
      </c>
      <c r="S5" s="297" t="str">
        <f>IF(SUM('DFP-CASH'!$C17:M17)&gt;SUM('DFP-Com'!$C15:M15),"error","ok")</f>
        <v>ok</v>
      </c>
    </row>
    <row r="6" spans="1:19" x14ac:dyDescent="0.25">
      <c r="A6" s="200" t="s">
        <v>112</v>
      </c>
      <c r="B6" s="252" t="str">
        <f>IF('DFP-Com'!P16-'DFP-CASH'!P18=0,"ok","error")</f>
        <v>error</v>
      </c>
      <c r="C6" s="297" t="str">
        <f>IF(SUM('DFP-CASH'!$C18:C18)&gt;SUM('DFP-Com'!$C16:D16),"error","ok")</f>
        <v>ok</v>
      </c>
      <c r="D6" s="297" t="str">
        <f>IF(SUM('DFP-CASH'!$C18:E18)&gt;SUM('DFP-Com'!$C16:E16),"error","ok")</f>
        <v>ok</v>
      </c>
      <c r="E6" s="297" t="str">
        <f>IF(SUM('DFP-CASH'!$C18:F18)&gt;SUM('DFP-Com'!$C16:F16),"error","ok")</f>
        <v>ok</v>
      </c>
      <c r="F6" s="297" t="str">
        <f>IF(SUM('DFP-CASH'!$C18:G18)&gt;SUM('DFP-Com'!$C16:G16),"error","ok")</f>
        <v>ok</v>
      </c>
      <c r="G6" s="297" t="str">
        <f>IF(SUM('DFP-CASH'!$C18:G18)&gt;SUM('DFP-Com'!$C16:G16),"error","ok")</f>
        <v>ok</v>
      </c>
      <c r="H6" s="297" t="str">
        <f>IF(SUM('DFP-CASH'!$C18:G18)&gt;SUM('DFP-Com'!$C16:G16),"error","ok")</f>
        <v>ok</v>
      </c>
      <c r="I6" s="297" t="str">
        <f>IF(SUM('DFP-CASH'!$C18:G18)&gt;SUM('DFP-Com'!$C16:G16),"error","ok")</f>
        <v>ok</v>
      </c>
      <c r="J6" s="297" t="str">
        <f>IF(SUM('DFP-CASH'!$C18:G18)&gt;SUM('DFP-Com'!$C16:G16),"error","ok")</f>
        <v>ok</v>
      </c>
      <c r="K6" s="297" t="str">
        <f>IF(SUM('DFP-CASH'!$C18:G18)&gt;SUM('DFP-Com'!$C16:G16),"error","ok")</f>
        <v>ok</v>
      </c>
      <c r="L6" s="297" t="str">
        <f>IF(SUM('DFP-CASH'!$C18:G18)&gt;SUM('DFP-Com'!$C16:G16),"error","ok")</f>
        <v>ok</v>
      </c>
      <c r="M6" s="297" t="str">
        <f>IF(SUM('DFP-CASH'!$C18:G18)&gt;SUM('DFP-Com'!$C16:G16),"error","ok")</f>
        <v>ok</v>
      </c>
      <c r="N6" s="297" t="str">
        <f>IF(SUM('DFP-CASH'!$C18:H18)&gt;SUM('DFP-Com'!$C16:H16),"error","ok")</f>
        <v>ok</v>
      </c>
      <c r="O6" s="297" t="str">
        <f>IF(SUM('DFP-CASH'!$C18:I18)&gt;SUM('DFP-Com'!$C16:I16),"error","ok")</f>
        <v>ok</v>
      </c>
      <c r="P6" s="297" t="str">
        <f>IF(SUM('DFP-CASH'!$C18:J18)&gt;SUM('DFP-Com'!$C16:J16),"error","ok")</f>
        <v>ok</v>
      </c>
      <c r="Q6" s="297" t="str">
        <f>IF(SUM('DFP-CASH'!$C18:K18)&gt;SUM('DFP-Com'!$C16:K16),"error","ok")</f>
        <v>ok</v>
      </c>
      <c r="R6" s="297" t="str">
        <f>IF(SUM('DFP-CASH'!$C18:L18)&gt;SUM('DFP-Com'!$C16:L16),"error","ok")</f>
        <v>ok</v>
      </c>
      <c r="S6" s="297" t="str">
        <f>IF(SUM('DFP-CASH'!$C18:M18)&gt;SUM('DFP-Com'!$C16:M16),"error","ok")</f>
        <v>ok</v>
      </c>
    </row>
    <row r="7" spans="1:19" x14ac:dyDescent="0.25">
      <c r="A7" s="200" t="s">
        <v>113</v>
      </c>
      <c r="B7" s="252" t="str">
        <f>IF('DFP-Com'!P17-'DFP-CASH'!P19=0,"ok","error")</f>
        <v>ok</v>
      </c>
      <c r="C7" s="297" t="str">
        <f>IF(SUM('DFP-CASH'!$C19:C19)&gt;SUM('DFP-Com'!$C17:D17),"error","ok")</f>
        <v>ok</v>
      </c>
      <c r="D7" s="297" t="str">
        <f>IF(SUM('DFP-CASH'!$C19:E19)&gt;SUM('DFP-Com'!$C17:E17),"error","ok")</f>
        <v>ok</v>
      </c>
      <c r="E7" s="297" t="str">
        <f>IF(SUM('DFP-CASH'!$C19:F19)&gt;SUM('DFP-Com'!$C17:F17),"error","ok")</f>
        <v>ok</v>
      </c>
      <c r="F7" s="297" t="str">
        <f>IF(SUM('DFP-CASH'!$C19:G19)&gt;SUM('DFP-Com'!$C17:G17),"error","ok")</f>
        <v>ok</v>
      </c>
      <c r="G7" s="297" t="str">
        <f>IF(SUM('DFP-CASH'!$C19:G19)&gt;SUM('DFP-Com'!$C17:G17),"error","ok")</f>
        <v>ok</v>
      </c>
      <c r="H7" s="297" t="str">
        <f>IF(SUM('DFP-CASH'!$C19:G19)&gt;SUM('DFP-Com'!$C17:G17),"error","ok")</f>
        <v>ok</v>
      </c>
      <c r="I7" s="297" t="str">
        <f>IF(SUM('DFP-CASH'!$C19:G19)&gt;SUM('DFP-Com'!$C17:G17),"error","ok")</f>
        <v>ok</v>
      </c>
      <c r="J7" s="297" t="str">
        <f>IF(SUM('DFP-CASH'!$C19:G19)&gt;SUM('DFP-Com'!$C17:G17),"error","ok")</f>
        <v>ok</v>
      </c>
      <c r="K7" s="297" t="str">
        <f>IF(SUM('DFP-CASH'!$C19:G19)&gt;SUM('DFP-Com'!$C17:G17),"error","ok")</f>
        <v>ok</v>
      </c>
      <c r="L7" s="297" t="str">
        <f>IF(SUM('DFP-CASH'!$C19:G19)&gt;SUM('DFP-Com'!$C17:G17),"error","ok")</f>
        <v>ok</v>
      </c>
      <c r="M7" s="297" t="str">
        <f>IF(SUM('DFP-CASH'!$C19:G19)&gt;SUM('DFP-Com'!$C17:G17),"error","ok")</f>
        <v>ok</v>
      </c>
      <c r="N7" s="297" t="str">
        <f>IF(SUM('DFP-CASH'!$C19:H19)&gt;SUM('DFP-Com'!$C17:H17),"error","ok")</f>
        <v>ok</v>
      </c>
      <c r="O7" s="297" t="str">
        <f>IF(SUM('DFP-CASH'!$C19:I19)&gt;SUM('DFP-Com'!$C17:I17),"error","ok")</f>
        <v>ok</v>
      </c>
      <c r="P7" s="297" t="str">
        <f>IF(SUM('DFP-CASH'!$C19:J19)&gt;SUM('DFP-Com'!$C17:J17),"error","ok")</f>
        <v>ok</v>
      </c>
      <c r="Q7" s="297" t="str">
        <f>IF(SUM('DFP-CASH'!$C19:K19)&gt;SUM('DFP-Com'!$C17:K17),"error","ok")</f>
        <v>ok</v>
      </c>
      <c r="R7" s="297" t="str">
        <f>IF(SUM('DFP-CASH'!$C19:L19)&gt;SUM('DFP-Com'!$C17:L17),"error","ok")</f>
        <v>ok</v>
      </c>
      <c r="S7" s="297" t="str">
        <f>IF(SUM('DFP-CASH'!$C19:M19)&gt;SUM('DFP-Com'!$C17:M17),"error","ok")</f>
        <v>ok</v>
      </c>
    </row>
    <row r="8" spans="1:19" x14ac:dyDescent="0.25">
      <c r="A8" s="200" t="s">
        <v>120</v>
      </c>
      <c r="B8" s="252" t="str">
        <f>IF('DFP-Com'!P18-'DFP-CASH'!P20=0,"ok","error")</f>
        <v>ok</v>
      </c>
      <c r="C8" s="297" t="str">
        <f>IF(SUM('DFP-CASH'!$C20:C20)&gt;SUM('DFP-Com'!$C18:D18),"error","ok")</f>
        <v>ok</v>
      </c>
      <c r="D8" s="297" t="str">
        <f>IF(SUM('DFP-CASH'!$C20:E20)&gt;SUM('DFP-Com'!$C18:E18),"error","ok")</f>
        <v>ok</v>
      </c>
      <c r="E8" s="297" t="str">
        <f>IF(SUM('DFP-CASH'!$C20:F20)&gt;SUM('DFP-Com'!$C18:F18),"error","ok")</f>
        <v>ok</v>
      </c>
      <c r="F8" s="297" t="str">
        <f>IF(SUM('DFP-CASH'!$C20:G20)&gt;SUM('DFP-Com'!$C18:G18),"error","ok")</f>
        <v>ok</v>
      </c>
      <c r="G8" s="297" t="str">
        <f>IF(SUM('DFP-CASH'!$C20:G20)&gt;SUM('DFP-Com'!$C18:G18),"error","ok")</f>
        <v>ok</v>
      </c>
      <c r="H8" s="297" t="str">
        <f>IF(SUM('DFP-CASH'!$C20:G20)&gt;SUM('DFP-Com'!$C18:G18),"error","ok")</f>
        <v>ok</v>
      </c>
      <c r="I8" s="297" t="str">
        <f>IF(SUM('DFP-CASH'!$C20:G20)&gt;SUM('DFP-Com'!$C18:G18),"error","ok")</f>
        <v>ok</v>
      </c>
      <c r="J8" s="297" t="str">
        <f>IF(SUM('DFP-CASH'!$C20:G20)&gt;SUM('DFP-Com'!$C18:G18),"error","ok")</f>
        <v>ok</v>
      </c>
      <c r="K8" s="297" t="str">
        <f>IF(SUM('DFP-CASH'!$C20:G20)&gt;SUM('DFP-Com'!$C18:G18),"error","ok")</f>
        <v>ok</v>
      </c>
      <c r="L8" s="297" t="str">
        <f>IF(SUM('DFP-CASH'!$C20:G20)&gt;SUM('DFP-Com'!$C18:G18),"error","ok")</f>
        <v>ok</v>
      </c>
      <c r="M8" s="297" t="str">
        <f>IF(SUM('DFP-CASH'!$C20:G20)&gt;SUM('DFP-Com'!$C18:G18),"error","ok")</f>
        <v>ok</v>
      </c>
      <c r="N8" s="297" t="str">
        <f>IF(SUM('DFP-CASH'!$C20:H20)&gt;SUM('DFP-Com'!$C18:H18),"error","ok")</f>
        <v>ok</v>
      </c>
      <c r="O8" s="297" t="str">
        <f>IF(SUM('DFP-CASH'!$C20:I20)&gt;SUM('DFP-Com'!$C18:I18),"error","ok")</f>
        <v>ok</v>
      </c>
      <c r="P8" s="297" t="str">
        <f>IF(SUM('DFP-CASH'!$C20:J20)&gt;SUM('DFP-Com'!$C18:J18),"error","ok")</f>
        <v>ok</v>
      </c>
      <c r="Q8" s="297" t="str">
        <f>IF(SUM('DFP-CASH'!$C20:K20)&gt;SUM('DFP-Com'!$C18:K18),"error","ok")</f>
        <v>ok</v>
      </c>
      <c r="R8" s="297" t="str">
        <f>IF(SUM('DFP-CASH'!$C20:L20)&gt;SUM('DFP-Com'!$C18:L18),"error","ok")</f>
        <v>ok</v>
      </c>
      <c r="S8" s="297" t="str">
        <f>IF(SUM('DFP-CASH'!$C20:M20)&gt;SUM('DFP-Com'!$C18:M18),"error","ok")</f>
        <v>ok</v>
      </c>
    </row>
    <row r="9" spans="1:19" ht="25.5" x14ac:dyDescent="0.25">
      <c r="A9" s="49" t="s">
        <v>78</v>
      </c>
      <c r="B9" s="252" t="str">
        <f>IF('DFP-Com'!P19-'DFP-CASH'!P21=0,"ok","error")</f>
        <v>error</v>
      </c>
      <c r="C9" s="297" t="str">
        <f>IF(SUM('DFP-CASH'!$C21:C21)&gt;SUM('DFP-Com'!$C19:D19),"error","ok")</f>
        <v>ok</v>
      </c>
      <c r="D9" s="297" t="str">
        <f>IF(SUM('DFP-CASH'!$C21:E21)&gt;SUM('DFP-Com'!$C19:E19),"error","ok")</f>
        <v>ok</v>
      </c>
      <c r="E9" s="297" t="str">
        <f>IF(SUM('DFP-CASH'!$C21:F21)&gt;SUM('DFP-Com'!$C19:F19),"error","ok")</f>
        <v>ok</v>
      </c>
      <c r="F9" s="297" t="str">
        <f>IF(SUM('DFP-CASH'!$C21:G21)&gt;SUM('DFP-Com'!$C19:G19),"error","ok")</f>
        <v>ok</v>
      </c>
      <c r="G9" s="297" t="str">
        <f>IF(SUM('DFP-CASH'!$C21:G21)&gt;SUM('DFP-Com'!$C19:G19),"error","ok")</f>
        <v>ok</v>
      </c>
      <c r="H9" s="297" t="str">
        <f>IF(SUM('DFP-CASH'!$C21:G21)&gt;SUM('DFP-Com'!$C19:G19),"error","ok")</f>
        <v>ok</v>
      </c>
      <c r="I9" s="297" t="str">
        <f>IF(SUM('DFP-CASH'!$C21:G21)&gt;SUM('DFP-Com'!$C19:G19),"error","ok")</f>
        <v>ok</v>
      </c>
      <c r="J9" s="297" t="str">
        <f>IF(SUM('DFP-CASH'!$C21:G21)&gt;SUM('DFP-Com'!$C19:G19),"error","ok")</f>
        <v>ok</v>
      </c>
      <c r="K9" s="297" t="str">
        <f>IF(SUM('DFP-CASH'!$C21:G21)&gt;SUM('DFP-Com'!$C19:G19),"error","ok")</f>
        <v>ok</v>
      </c>
      <c r="L9" s="297" t="str">
        <f>IF(SUM('DFP-CASH'!$C21:G21)&gt;SUM('DFP-Com'!$C19:G19),"error","ok")</f>
        <v>ok</v>
      </c>
      <c r="M9" s="297" t="str">
        <f>IF(SUM('DFP-CASH'!$C21:G21)&gt;SUM('DFP-Com'!$C19:G19),"error","ok")</f>
        <v>ok</v>
      </c>
      <c r="N9" s="297" t="str">
        <f>IF(SUM('DFP-CASH'!$C21:H21)&gt;SUM('DFP-Com'!$C19:H19),"error","ok")</f>
        <v>ok</v>
      </c>
      <c r="O9" s="297" t="str">
        <f>IF(SUM('DFP-CASH'!$C21:I21)&gt;SUM('DFP-Com'!$C19:I19),"error","ok")</f>
        <v>ok</v>
      </c>
      <c r="P9" s="297" t="str">
        <f>IF(SUM('DFP-CASH'!$C21:J21)&gt;SUM('DFP-Com'!$C19:J19),"error","ok")</f>
        <v>ok</v>
      </c>
      <c r="Q9" s="297" t="str">
        <f>IF(SUM('DFP-CASH'!$C21:K21)&gt;SUM('DFP-Com'!$C19:K19),"error","ok")</f>
        <v>ok</v>
      </c>
      <c r="R9" s="297" t="str">
        <f>IF(SUM('DFP-CASH'!$C21:L21)&gt;SUM('DFP-Com'!$C19:L19),"error","ok")</f>
        <v>ok</v>
      </c>
      <c r="S9" s="297" t="str">
        <f>IF(SUM('DFP-CASH'!$C21:M21)&gt;SUM('DFP-Com'!$C19:M19),"error","ok")</f>
        <v>ok</v>
      </c>
    </row>
    <row r="10" spans="1:19" x14ac:dyDescent="0.25">
      <c r="A10" s="200" t="s">
        <v>121</v>
      </c>
      <c r="B10" s="252" t="str">
        <f>IF('DFP-Com'!P20-'DFP-CASH'!P22=0,"ok","error")</f>
        <v>error</v>
      </c>
      <c r="C10" s="297" t="str">
        <f>IF(SUM('DFP-CASH'!$C22:C22)&gt;SUM('DFP-Com'!$C20:D20),"error","ok")</f>
        <v>ok</v>
      </c>
      <c r="D10" s="297" t="str">
        <f>IF(SUM('DFP-CASH'!$C22:E22)&gt;SUM('DFP-Com'!$C20:E20),"error","ok")</f>
        <v>ok</v>
      </c>
      <c r="E10" s="297" t="str">
        <f>IF(SUM('DFP-CASH'!$C22:F22)&gt;SUM('DFP-Com'!$C20:F20),"error","ok")</f>
        <v>ok</v>
      </c>
      <c r="F10" s="297" t="str">
        <f>IF(SUM('DFP-CASH'!$C22:G22)&gt;SUM('DFP-Com'!$C20:G20),"error","ok")</f>
        <v>ok</v>
      </c>
      <c r="G10" s="297" t="str">
        <f>IF(SUM('DFP-CASH'!$C22:G22)&gt;SUM('DFP-Com'!$C20:G20),"error","ok")</f>
        <v>ok</v>
      </c>
      <c r="H10" s="297" t="str">
        <f>IF(SUM('DFP-CASH'!$C22:G22)&gt;SUM('DFP-Com'!$C20:G20),"error","ok")</f>
        <v>ok</v>
      </c>
      <c r="I10" s="297" t="str">
        <f>IF(SUM('DFP-CASH'!$C22:G22)&gt;SUM('DFP-Com'!$C20:G20),"error","ok")</f>
        <v>ok</v>
      </c>
      <c r="J10" s="297" t="str">
        <f>IF(SUM('DFP-CASH'!$C22:G22)&gt;SUM('DFP-Com'!$C20:G20),"error","ok")</f>
        <v>ok</v>
      </c>
      <c r="K10" s="297" t="str">
        <f>IF(SUM('DFP-CASH'!$C22:G22)&gt;SUM('DFP-Com'!$C20:G20),"error","ok")</f>
        <v>ok</v>
      </c>
      <c r="L10" s="297" t="str">
        <f>IF(SUM('DFP-CASH'!$C22:G22)&gt;SUM('DFP-Com'!$C20:G20),"error","ok")</f>
        <v>ok</v>
      </c>
      <c r="M10" s="297" t="str">
        <f>IF(SUM('DFP-CASH'!$C22:G22)&gt;SUM('DFP-Com'!$C20:G20),"error","ok")</f>
        <v>ok</v>
      </c>
      <c r="N10" s="297" t="str">
        <f>IF(SUM('DFP-CASH'!$C22:H22)&gt;SUM('DFP-Com'!$C20:H20),"error","ok")</f>
        <v>ok</v>
      </c>
      <c r="O10" s="297" t="str">
        <f>IF(SUM('DFP-CASH'!$C22:I22)&gt;SUM('DFP-Com'!$C20:I20),"error","ok")</f>
        <v>ok</v>
      </c>
      <c r="P10" s="297" t="str">
        <f>IF(SUM('DFP-CASH'!$C22:J22)&gt;SUM('DFP-Com'!$C20:J20),"error","ok")</f>
        <v>ok</v>
      </c>
      <c r="Q10" s="297" t="str">
        <f>IF(SUM('DFP-CASH'!$C22:K22)&gt;SUM('DFP-Com'!$C20:K20),"error","ok")</f>
        <v>ok</v>
      </c>
      <c r="R10" s="297" t="str">
        <f>IF(SUM('DFP-CASH'!$C22:L22)&gt;SUM('DFP-Com'!$C20:L20),"error","ok")</f>
        <v>ok</v>
      </c>
      <c r="S10" s="297" t="str">
        <f>IF(SUM('DFP-CASH'!$C22:M22)&gt;SUM('DFP-Com'!$C20:M20),"error","ok")</f>
        <v>ok</v>
      </c>
    </row>
    <row r="11" spans="1:19" ht="25.5" x14ac:dyDescent="0.25">
      <c r="A11" s="49" t="s">
        <v>79</v>
      </c>
      <c r="B11" s="252" t="str">
        <f>IF('DFP-Com'!P21-'DFP-CASH'!P23=0,"ok","error")</f>
        <v>error</v>
      </c>
      <c r="C11" s="297" t="str">
        <f>IF(SUM('DFP-CASH'!$C23:C23)&gt;SUM('DFP-Com'!$C21:D21),"error","ok")</f>
        <v>ok</v>
      </c>
      <c r="D11" s="297" t="str">
        <f>IF(SUM('DFP-CASH'!$C23:E23)&gt;SUM('DFP-Com'!$C21:E21),"error","ok")</f>
        <v>ok</v>
      </c>
      <c r="E11" s="297" t="str">
        <f>IF(SUM('DFP-CASH'!$C23:F23)&gt;SUM('DFP-Com'!$C21:F21),"error","ok")</f>
        <v>ok</v>
      </c>
      <c r="F11" s="297" t="str">
        <f>IF(SUM('DFP-CASH'!$C23:G23)&gt;SUM('DFP-Com'!$C21:G21),"error","ok")</f>
        <v>ok</v>
      </c>
      <c r="G11" s="297" t="str">
        <f>IF(SUM('DFP-CASH'!$C23:G23)&gt;SUM('DFP-Com'!$C21:G21),"error","ok")</f>
        <v>ok</v>
      </c>
      <c r="H11" s="297" t="str">
        <f>IF(SUM('DFP-CASH'!$C23:G23)&gt;SUM('DFP-Com'!$C21:G21),"error","ok")</f>
        <v>ok</v>
      </c>
      <c r="I11" s="297" t="str">
        <f>IF(SUM('DFP-CASH'!$C23:G23)&gt;SUM('DFP-Com'!$C21:G21),"error","ok")</f>
        <v>ok</v>
      </c>
      <c r="J11" s="297" t="str">
        <f>IF(SUM('DFP-CASH'!$C23:G23)&gt;SUM('DFP-Com'!$C21:G21),"error","ok")</f>
        <v>ok</v>
      </c>
      <c r="K11" s="297" t="str">
        <f>IF(SUM('DFP-CASH'!$C23:G23)&gt;SUM('DFP-Com'!$C21:G21),"error","ok")</f>
        <v>ok</v>
      </c>
      <c r="L11" s="297" t="str">
        <f>IF(SUM('DFP-CASH'!$C23:G23)&gt;SUM('DFP-Com'!$C21:G21),"error","ok")</f>
        <v>ok</v>
      </c>
      <c r="M11" s="297" t="str">
        <f>IF(SUM('DFP-CASH'!$C23:G23)&gt;SUM('DFP-Com'!$C21:G21),"error","ok")</f>
        <v>ok</v>
      </c>
      <c r="N11" s="297" t="str">
        <f>IF(SUM('DFP-CASH'!$C23:H23)&gt;SUM('DFP-Com'!$C21:H21),"error","ok")</f>
        <v>ok</v>
      </c>
      <c r="O11" s="297" t="str">
        <f>IF(SUM('DFP-CASH'!$C23:I23)&gt;SUM('DFP-Com'!$C21:I21),"error","ok")</f>
        <v>ok</v>
      </c>
      <c r="P11" s="297" t="str">
        <f>IF(SUM('DFP-CASH'!$C23:J23)&gt;SUM('DFP-Com'!$C21:J21),"error","ok")</f>
        <v>ok</v>
      </c>
      <c r="Q11" s="297" t="str">
        <f>IF(SUM('DFP-CASH'!$C23:K23)&gt;SUM('DFP-Com'!$C21:K21),"error","ok")</f>
        <v>ok</v>
      </c>
      <c r="R11" s="297" t="str">
        <f>IF(SUM('DFP-CASH'!$C23:L23)&gt;SUM('DFP-Com'!$C21:L21),"error","ok")</f>
        <v>ok</v>
      </c>
      <c r="S11" s="297" t="str">
        <f>IF(SUM('DFP-CASH'!$C23:M23)&gt;SUM('DFP-Com'!$C21:M21),"error","ok")</f>
        <v>ok</v>
      </c>
    </row>
    <row r="12" spans="1:19" x14ac:dyDescent="0.25">
      <c r="A12" s="200" t="s">
        <v>114</v>
      </c>
      <c r="B12" s="252" t="str">
        <f>IF('DFP-Com'!P22-'DFP-CASH'!P24=0,"ok","error")</f>
        <v>error</v>
      </c>
      <c r="C12" s="297" t="str">
        <f>IF(SUM('DFP-CASH'!$C24:C24)&gt;SUM('DFP-Com'!$C22:D22),"error","ok")</f>
        <v>ok</v>
      </c>
      <c r="D12" s="297" t="str">
        <f>IF(SUM('DFP-CASH'!$C24:E24)&gt;SUM('DFP-Com'!$C22:E22),"error","ok")</f>
        <v>ok</v>
      </c>
      <c r="E12" s="297" t="str">
        <f>IF(SUM('DFP-CASH'!$C24:F24)&gt;SUM('DFP-Com'!$C22:F22),"error","ok")</f>
        <v>ok</v>
      </c>
      <c r="F12" s="297" t="str">
        <f>IF(SUM('DFP-CASH'!$C24:G24)&gt;SUM('DFP-Com'!$C22:G22),"error","ok")</f>
        <v>ok</v>
      </c>
      <c r="G12" s="297" t="str">
        <f>IF(SUM('DFP-CASH'!$C24:G24)&gt;SUM('DFP-Com'!$C22:G22),"error","ok")</f>
        <v>ok</v>
      </c>
      <c r="H12" s="297" t="str">
        <f>IF(SUM('DFP-CASH'!$C24:G24)&gt;SUM('DFP-Com'!$C22:G22),"error","ok")</f>
        <v>ok</v>
      </c>
      <c r="I12" s="297" t="str">
        <f>IF(SUM('DFP-CASH'!$C24:G24)&gt;SUM('DFP-Com'!$C22:G22),"error","ok")</f>
        <v>ok</v>
      </c>
      <c r="J12" s="297" t="str">
        <f>IF(SUM('DFP-CASH'!$C24:G24)&gt;SUM('DFP-Com'!$C22:G22),"error","ok")</f>
        <v>ok</v>
      </c>
      <c r="K12" s="297" t="str">
        <f>IF(SUM('DFP-CASH'!$C24:G24)&gt;SUM('DFP-Com'!$C22:G22),"error","ok")</f>
        <v>ok</v>
      </c>
      <c r="L12" s="297" t="str">
        <f>IF(SUM('DFP-CASH'!$C24:G24)&gt;SUM('DFP-Com'!$C22:G22),"error","ok")</f>
        <v>ok</v>
      </c>
      <c r="M12" s="297" t="str">
        <f>IF(SUM('DFP-CASH'!$C24:G24)&gt;SUM('DFP-Com'!$C22:G22),"error","ok")</f>
        <v>ok</v>
      </c>
      <c r="N12" s="297" t="str">
        <f>IF(SUM('DFP-CASH'!$C24:H24)&gt;SUM('DFP-Com'!$C22:H22),"error","ok")</f>
        <v>ok</v>
      </c>
      <c r="O12" s="297" t="str">
        <f>IF(SUM('DFP-CASH'!$C24:I24)&gt;SUM('DFP-Com'!$C22:I22),"error","ok")</f>
        <v>ok</v>
      </c>
      <c r="P12" s="297" t="str">
        <f>IF(SUM('DFP-CASH'!$C24:J24)&gt;SUM('DFP-Com'!$C22:J22),"error","ok")</f>
        <v>ok</v>
      </c>
      <c r="Q12" s="297" t="str">
        <f>IF(SUM('DFP-CASH'!$C24:K24)&gt;SUM('DFP-Com'!$C22:K22),"error","ok")</f>
        <v>ok</v>
      </c>
      <c r="R12" s="297" t="str">
        <f>IF(SUM('DFP-CASH'!$C24:L24)&gt;SUM('DFP-Com'!$C22:L22),"error","ok")</f>
        <v>ok</v>
      </c>
      <c r="S12" s="297" t="str">
        <f>IF(SUM('DFP-CASH'!$C24:M24)&gt;SUM('DFP-Com'!$C22:M22),"error","ok")</f>
        <v>ok</v>
      </c>
    </row>
    <row r="13" spans="1:19" x14ac:dyDescent="0.25">
      <c r="A13" s="200" t="s">
        <v>130</v>
      </c>
      <c r="B13" s="252" t="str">
        <f>IF('DFP-Com'!P23-'DFP-CASH'!P25=0,"ok","error")</f>
        <v>error</v>
      </c>
      <c r="C13" s="297" t="str">
        <f>IF(SUM('DFP-CASH'!$C25:C25)&gt;SUM('DFP-Com'!$C23:D23),"error","ok")</f>
        <v>ok</v>
      </c>
      <c r="D13" s="297" t="str">
        <f>IF(SUM('DFP-CASH'!$C25:E25)&gt;SUM('DFP-Com'!$C23:E23),"error","ok")</f>
        <v>ok</v>
      </c>
      <c r="E13" s="297" t="str">
        <f>IF(SUM('DFP-CASH'!$C25:F25)&gt;SUM('DFP-Com'!$C23:F23),"error","ok")</f>
        <v>ok</v>
      </c>
      <c r="F13" s="297" t="str">
        <f>IF(SUM('DFP-CASH'!$C25:G25)&gt;SUM('DFP-Com'!$C23:G23),"error","ok")</f>
        <v>ok</v>
      </c>
      <c r="G13" s="297" t="str">
        <f>IF(SUM('DFP-CASH'!$C25:G25)&gt;SUM('DFP-Com'!$C23:G23),"error","ok")</f>
        <v>ok</v>
      </c>
      <c r="H13" s="297" t="str">
        <f>IF(SUM('DFP-CASH'!$C25:G25)&gt;SUM('DFP-Com'!$C23:G23),"error","ok")</f>
        <v>ok</v>
      </c>
      <c r="I13" s="297" t="str">
        <f>IF(SUM('DFP-CASH'!$C25:G25)&gt;SUM('DFP-Com'!$C23:G23),"error","ok")</f>
        <v>ok</v>
      </c>
      <c r="J13" s="297" t="str">
        <f>IF(SUM('DFP-CASH'!$C25:G25)&gt;SUM('DFP-Com'!$C23:G23),"error","ok")</f>
        <v>ok</v>
      </c>
      <c r="K13" s="297" t="str">
        <f>IF(SUM('DFP-CASH'!$C25:G25)&gt;SUM('DFP-Com'!$C23:G23),"error","ok")</f>
        <v>ok</v>
      </c>
      <c r="L13" s="297" t="str">
        <f>IF(SUM('DFP-CASH'!$C25:G25)&gt;SUM('DFP-Com'!$C23:G23),"error","ok")</f>
        <v>ok</v>
      </c>
      <c r="M13" s="297" t="str">
        <f>IF(SUM('DFP-CASH'!$C25:G25)&gt;SUM('DFP-Com'!$C23:G23),"error","ok")</f>
        <v>ok</v>
      </c>
      <c r="N13" s="297" t="str">
        <f>IF(SUM('DFP-CASH'!$C25:H25)&gt;SUM('DFP-Com'!$C23:H23),"error","ok")</f>
        <v>error</v>
      </c>
      <c r="O13" s="297" t="str">
        <f>IF(SUM('DFP-CASH'!$C25:I25)&gt;SUM('DFP-Com'!$C23:I23),"error","ok")</f>
        <v>ok</v>
      </c>
      <c r="P13" s="297" t="str">
        <f>IF(SUM('DFP-CASH'!$C25:J25)&gt;SUM('DFP-Com'!$C23:J23),"error","ok")</f>
        <v>ok</v>
      </c>
      <c r="Q13" s="297" t="str">
        <f>IF(SUM('DFP-CASH'!$C25:K25)&gt;SUM('DFP-Com'!$C23:K23),"error","ok")</f>
        <v>ok</v>
      </c>
      <c r="R13" s="297" t="str">
        <f>IF(SUM('DFP-CASH'!$C25:L25)&gt;SUM('DFP-Com'!$C23:L23),"error","ok")</f>
        <v>error</v>
      </c>
      <c r="S13" s="297" t="str">
        <f>IF(SUM('DFP-CASH'!$C25:M25)&gt;SUM('DFP-Com'!$C23:M23),"error","ok")</f>
        <v>error</v>
      </c>
    </row>
    <row r="14" spans="1:19" x14ac:dyDescent="0.25">
      <c r="A14" s="200" t="s">
        <v>129</v>
      </c>
      <c r="B14" s="252" t="str">
        <f>IF('DFP-Com'!P24-'DFP-CASH'!P26=0,"ok","error")</f>
        <v>error</v>
      </c>
      <c r="C14" s="297" t="str">
        <f>IF(SUM('DFP-CASH'!$C26:C26)&gt;SUM('DFP-Com'!$C24:D24),"error","ok")</f>
        <v>ok</v>
      </c>
      <c r="D14" s="297" t="str">
        <f>IF(SUM('DFP-CASH'!$C26:E26)&gt;SUM('DFP-Com'!$C24:E24),"error","ok")</f>
        <v>error</v>
      </c>
      <c r="E14" s="297" t="str">
        <f>IF(SUM('DFP-CASH'!$C26:F26)&gt;SUM('DFP-Com'!$C24:F24),"error","ok")</f>
        <v>error</v>
      </c>
      <c r="F14" s="297" t="str">
        <f>IF(SUM('DFP-CASH'!$C26:G26)&gt;SUM('DFP-Com'!$C24:G24),"error","ok")</f>
        <v>error</v>
      </c>
      <c r="G14" s="297" t="str">
        <f>IF(SUM('DFP-CASH'!$C26:G26)&gt;SUM('DFP-Com'!$C24:G24),"error","ok")</f>
        <v>error</v>
      </c>
      <c r="H14" s="297" t="str">
        <f>IF(SUM('DFP-CASH'!$C26:G26)&gt;SUM('DFP-Com'!$C24:G24),"error","ok")</f>
        <v>error</v>
      </c>
      <c r="I14" s="297" t="str">
        <f>IF(SUM('DFP-CASH'!$C26:G26)&gt;SUM('DFP-Com'!$C24:G24),"error","ok")</f>
        <v>error</v>
      </c>
      <c r="J14" s="297" t="str">
        <f>IF(SUM('DFP-CASH'!$C26:G26)&gt;SUM('DFP-Com'!$C24:G24),"error","ok")</f>
        <v>error</v>
      </c>
      <c r="K14" s="297" t="str">
        <f>IF(SUM('DFP-CASH'!$C26:G26)&gt;SUM('DFP-Com'!$C24:G24),"error","ok")</f>
        <v>error</v>
      </c>
      <c r="L14" s="297" t="str">
        <f>IF(SUM('DFP-CASH'!$C26:G26)&gt;SUM('DFP-Com'!$C24:G24),"error","ok")</f>
        <v>error</v>
      </c>
      <c r="M14" s="297" t="str">
        <f>IF(SUM('DFP-CASH'!$C26:G26)&gt;SUM('DFP-Com'!$C24:G24),"error","ok")</f>
        <v>error</v>
      </c>
      <c r="N14" s="297" t="str">
        <f>IF(SUM('DFP-CASH'!$C26:H26)&gt;SUM('DFP-Com'!$C24:H24),"error","ok")</f>
        <v>error</v>
      </c>
      <c r="O14" s="297" t="str">
        <f>IF(SUM('DFP-CASH'!$C26:I26)&gt;SUM('DFP-Com'!$C24:I24),"error","ok")</f>
        <v>error</v>
      </c>
      <c r="P14" s="297" t="str">
        <f>IF(SUM('DFP-CASH'!$C26:J26)&gt;SUM('DFP-Com'!$C24:J24),"error","ok")</f>
        <v>error</v>
      </c>
      <c r="Q14" s="297" t="str">
        <f>IF(SUM('DFP-CASH'!$C26:K26)&gt;SUM('DFP-Com'!$C24:K24),"error","ok")</f>
        <v>error</v>
      </c>
      <c r="R14" s="297" t="str">
        <f>IF(SUM('DFP-CASH'!$C26:L26)&gt;SUM('DFP-Com'!$C24:L24),"error","ok")</f>
        <v>error</v>
      </c>
      <c r="S14" s="297" t="str">
        <f>IF(SUM('DFP-CASH'!$C26:M26)&gt;SUM('DFP-Com'!$C24:M24),"error","ok")</f>
        <v>error</v>
      </c>
    </row>
    <row r="15" spans="1:19" x14ac:dyDescent="0.25">
      <c r="A15" s="51" t="s">
        <v>62</v>
      </c>
      <c r="B15" s="252" t="str">
        <f>IF('DFP-Com'!P25-'DFP-CASH'!P27=0,"ok","error")</f>
        <v>error</v>
      </c>
      <c r="C15" s="297" t="str">
        <f>IF(SUM('DFP-CASH'!$C27:C27)&gt;SUM('DFP-Com'!$C25:D25),"error","ok")</f>
        <v>ok</v>
      </c>
      <c r="D15" s="297" t="str">
        <f>IF(SUM('DFP-CASH'!$C27:E27)&gt;SUM('DFP-Com'!$C25:E25),"error","ok")</f>
        <v>ok</v>
      </c>
      <c r="E15" s="297" t="str">
        <f>IF(SUM('DFP-CASH'!$C27:F27)&gt;SUM('DFP-Com'!$C25:F25),"error","ok")</f>
        <v>ok</v>
      </c>
      <c r="F15" s="297" t="str">
        <f>IF(SUM('DFP-CASH'!$C27:G27)&gt;SUM('DFP-Com'!$C25:G25),"error","ok")</f>
        <v>ok</v>
      </c>
      <c r="G15" s="297" t="str">
        <f>IF(SUM('DFP-CASH'!$C27:G27)&gt;SUM('DFP-Com'!$C25:G25),"error","ok")</f>
        <v>ok</v>
      </c>
      <c r="H15" s="297" t="str">
        <f>IF(SUM('DFP-CASH'!$C27:G27)&gt;SUM('DFP-Com'!$C25:G25),"error","ok")</f>
        <v>ok</v>
      </c>
      <c r="I15" s="297" t="str">
        <f>IF(SUM('DFP-CASH'!$C27:G27)&gt;SUM('DFP-Com'!$C25:G25),"error","ok")</f>
        <v>ok</v>
      </c>
      <c r="J15" s="297" t="str">
        <f>IF(SUM('DFP-CASH'!$C27:G27)&gt;SUM('DFP-Com'!$C25:G25),"error","ok")</f>
        <v>ok</v>
      </c>
      <c r="K15" s="297" t="str">
        <f>IF(SUM('DFP-CASH'!$C27:G27)&gt;SUM('DFP-Com'!$C25:G25),"error","ok")</f>
        <v>ok</v>
      </c>
      <c r="L15" s="297" t="str">
        <f>IF(SUM('DFP-CASH'!$C27:G27)&gt;SUM('DFP-Com'!$C25:G25),"error","ok")</f>
        <v>ok</v>
      </c>
      <c r="M15" s="297" t="str">
        <f>IF(SUM('DFP-CASH'!$C27:G27)&gt;SUM('DFP-Com'!$C25:G25),"error","ok")</f>
        <v>ok</v>
      </c>
      <c r="N15" s="297" t="str">
        <f>IF(SUM('DFP-CASH'!$C27:H27)&gt;SUM('DFP-Com'!$C25:H25),"error","ok")</f>
        <v>ok</v>
      </c>
      <c r="O15" s="297" t="str">
        <f>IF(SUM('DFP-CASH'!$C27:I27)&gt;SUM('DFP-Com'!$C25:I25),"error","ok")</f>
        <v>ok</v>
      </c>
      <c r="P15" s="297" t="str">
        <f>IF(SUM('DFP-CASH'!$C27:J27)&gt;SUM('DFP-Com'!$C25:J25),"error","ok")</f>
        <v>ok</v>
      </c>
      <c r="Q15" s="297" t="str">
        <f>IF(SUM('DFP-CASH'!$C27:K27)&gt;SUM('DFP-Com'!$C25:K25),"error","ok")</f>
        <v>ok</v>
      </c>
      <c r="R15" s="297" t="str">
        <f>IF(SUM('DFP-CASH'!$C27:L27)&gt;SUM('DFP-Com'!$C25:L25),"error","ok")</f>
        <v>ok</v>
      </c>
      <c r="S15" s="297" t="str">
        <f>IF(SUM('DFP-CASH'!$C27:M27)&gt;SUM('DFP-Com'!$C25:M25),"error","ok")</f>
        <v>ok</v>
      </c>
    </row>
    <row r="16" spans="1:19" x14ac:dyDescent="0.25">
      <c r="A16" s="53"/>
      <c r="B16" s="252" t="str">
        <f>IF('DFP-Com'!P26-'DFP-CASH'!P28=0,"ok","error")</f>
        <v>ok</v>
      </c>
      <c r="C16" s="297" t="str">
        <f>IF(SUM('DFP-CASH'!$C28:C28)&gt;SUM('DFP-Com'!$C26:D26),"error","ok")</f>
        <v>ok</v>
      </c>
      <c r="D16" s="297" t="str">
        <f>IF(SUM('DFP-CASH'!$C28:E28)&gt;SUM('DFP-Com'!$C26:E26),"error","ok")</f>
        <v>ok</v>
      </c>
      <c r="E16" s="297" t="str">
        <f>IF(SUM('DFP-CASH'!$C28:F28)&gt;SUM('DFP-Com'!$C26:F26),"error","ok")</f>
        <v>ok</v>
      </c>
      <c r="F16" s="297" t="str">
        <f>IF(SUM('DFP-CASH'!$C28:G28)&gt;SUM('DFP-Com'!$C26:G26),"error","ok")</f>
        <v>ok</v>
      </c>
      <c r="G16" s="297" t="str">
        <f>IF(SUM('DFP-CASH'!$C28:G28)&gt;SUM('DFP-Com'!$C26:G26),"error","ok")</f>
        <v>ok</v>
      </c>
      <c r="H16" s="297" t="str">
        <f>IF(SUM('DFP-CASH'!$C28:G28)&gt;SUM('DFP-Com'!$C26:G26),"error","ok")</f>
        <v>ok</v>
      </c>
      <c r="I16" s="297" t="str">
        <f>IF(SUM('DFP-CASH'!$C28:G28)&gt;SUM('DFP-Com'!$C26:G26),"error","ok")</f>
        <v>ok</v>
      </c>
      <c r="J16" s="297" t="str">
        <f>IF(SUM('DFP-CASH'!$C28:G28)&gt;SUM('DFP-Com'!$C26:G26),"error","ok")</f>
        <v>ok</v>
      </c>
      <c r="K16" s="297" t="str">
        <f>IF(SUM('DFP-CASH'!$C28:G28)&gt;SUM('DFP-Com'!$C26:G26),"error","ok")</f>
        <v>ok</v>
      </c>
      <c r="L16" s="297" t="str">
        <f>IF(SUM('DFP-CASH'!$C28:G28)&gt;SUM('DFP-Com'!$C26:G26),"error","ok")</f>
        <v>ok</v>
      </c>
      <c r="M16" s="297" t="str">
        <f>IF(SUM('DFP-CASH'!$C28:G28)&gt;SUM('DFP-Com'!$C26:G26),"error","ok")</f>
        <v>ok</v>
      </c>
      <c r="N16" s="297" t="str">
        <f>IF(SUM('DFP-CASH'!$C28:H28)&gt;SUM('DFP-Com'!$C26:H26),"error","ok")</f>
        <v>ok</v>
      </c>
      <c r="O16" s="297" t="str">
        <f>IF(SUM('DFP-CASH'!$C28:I28)&gt;SUM('DFP-Com'!$C26:I26),"error","ok")</f>
        <v>ok</v>
      </c>
      <c r="P16" s="297" t="str">
        <f>IF(SUM('DFP-CASH'!$C28:J28)&gt;SUM('DFP-Com'!$C26:J26),"error","ok")</f>
        <v>ok</v>
      </c>
      <c r="Q16" s="297" t="str">
        <f>IF(SUM('DFP-CASH'!$C28:K28)&gt;SUM('DFP-Com'!$C26:K26),"error","ok")</f>
        <v>ok</v>
      </c>
      <c r="R16" s="297" t="str">
        <f>IF(SUM('DFP-CASH'!$C28:L28)&gt;SUM('DFP-Com'!$C26:L26),"error","ok")</f>
        <v>ok</v>
      </c>
      <c r="S16" s="297" t="str">
        <f>IF(SUM('DFP-CASH'!$C28:M28)&gt;SUM('DFP-Com'!$C26:M26),"error","ok")</f>
        <v>ok</v>
      </c>
    </row>
    <row r="17" spans="1:19" x14ac:dyDescent="0.25">
      <c r="A17" s="44" t="s">
        <v>82</v>
      </c>
      <c r="B17" s="252" t="str">
        <f>IF('DFP-Com'!P27-'DFP-CASH'!P29=0,"ok","error")</f>
        <v>ok</v>
      </c>
      <c r="C17" s="297" t="str">
        <f>IF(SUM('DFP-CASH'!$C29:C29)&gt;SUM('DFP-Com'!$C27:D27),"error","ok")</f>
        <v>ok</v>
      </c>
      <c r="D17" s="297" t="str">
        <f>IF(SUM('DFP-CASH'!$C29:E29)&gt;SUM('DFP-Com'!$C27:E27),"error","ok")</f>
        <v>ok</v>
      </c>
      <c r="E17" s="297" t="str">
        <f>IF(SUM('DFP-CASH'!$C29:F29)&gt;SUM('DFP-Com'!$C27:F27),"error","ok")</f>
        <v>ok</v>
      </c>
      <c r="F17" s="297" t="str">
        <f>IF(SUM('DFP-CASH'!$C29:G29)&gt;SUM('DFP-Com'!$C27:G27),"error","ok")</f>
        <v>ok</v>
      </c>
      <c r="G17" s="297" t="str">
        <f>IF(SUM('DFP-CASH'!$C29:G29)&gt;SUM('DFP-Com'!$C27:G27),"error","ok")</f>
        <v>ok</v>
      </c>
      <c r="H17" s="297" t="str">
        <f>IF(SUM('DFP-CASH'!$C29:G29)&gt;SUM('DFP-Com'!$C27:G27),"error","ok")</f>
        <v>ok</v>
      </c>
      <c r="I17" s="297" t="str">
        <f>IF(SUM('DFP-CASH'!$C29:G29)&gt;SUM('DFP-Com'!$C27:G27),"error","ok")</f>
        <v>ok</v>
      </c>
      <c r="J17" s="297" t="str">
        <f>IF(SUM('DFP-CASH'!$C29:G29)&gt;SUM('DFP-Com'!$C27:G27),"error","ok")</f>
        <v>ok</v>
      </c>
      <c r="K17" s="297" t="str">
        <f>IF(SUM('DFP-CASH'!$C29:G29)&gt;SUM('DFP-Com'!$C27:G27),"error","ok")</f>
        <v>ok</v>
      </c>
      <c r="L17" s="297" t="str">
        <f>IF(SUM('DFP-CASH'!$C29:G29)&gt;SUM('DFP-Com'!$C27:G27),"error","ok")</f>
        <v>ok</v>
      </c>
      <c r="M17" s="297" t="str">
        <f>IF(SUM('DFP-CASH'!$C29:G29)&gt;SUM('DFP-Com'!$C27:G27),"error","ok")</f>
        <v>ok</v>
      </c>
      <c r="N17" s="297" t="str">
        <f>IF(SUM('DFP-CASH'!$C29:H29)&gt;SUM('DFP-Com'!$C27:H27),"error","ok")</f>
        <v>ok</v>
      </c>
      <c r="O17" s="297" t="str">
        <f>IF(SUM('DFP-CASH'!$C29:I29)&gt;SUM('DFP-Com'!$C27:I27),"error","ok")</f>
        <v>ok</v>
      </c>
      <c r="P17" s="297" t="str">
        <f>IF(SUM('DFP-CASH'!$C29:J29)&gt;SUM('DFP-Com'!$C27:J27),"error","ok")</f>
        <v>ok</v>
      </c>
      <c r="Q17" s="297" t="str">
        <f>IF(SUM('DFP-CASH'!$C29:K29)&gt;SUM('DFP-Com'!$C27:K27),"error","ok")</f>
        <v>ok</v>
      </c>
      <c r="R17" s="297" t="str">
        <f>IF(SUM('DFP-CASH'!$C29:L29)&gt;SUM('DFP-Com'!$C27:L27),"error","ok")</f>
        <v>ok</v>
      </c>
      <c r="S17" s="297" t="str">
        <f>IF(SUM('DFP-CASH'!$C29:M29)&gt;SUM('DFP-Com'!$C27:M27),"error","ok")</f>
        <v>ok</v>
      </c>
    </row>
    <row r="18" spans="1:19" x14ac:dyDescent="0.25">
      <c r="A18" s="49" t="s">
        <v>131</v>
      </c>
      <c r="B18" s="252" t="str">
        <f>IF('DFP-Com'!P28-'DFP-CASH'!P30=0,"ok","error")</f>
        <v>error</v>
      </c>
      <c r="C18" s="297" t="str">
        <f>IF(SUM('DFP-CASH'!$C30:C30)&gt;SUM('DFP-Com'!$C28:D28),"error","ok")</f>
        <v>ok</v>
      </c>
      <c r="D18" s="297" t="str">
        <f>IF(SUM('DFP-CASH'!$C30:E30)&gt;SUM('DFP-Com'!$C28:E28),"error","ok")</f>
        <v>ok</v>
      </c>
      <c r="E18" s="297" t="str">
        <f>IF(SUM('DFP-CASH'!$C30:F30)&gt;SUM('DFP-Com'!$C28:F28),"error","ok")</f>
        <v>ok</v>
      </c>
      <c r="F18" s="297" t="str">
        <f>IF(SUM('DFP-CASH'!$C30:G30)&gt;SUM('DFP-Com'!$C28:G28),"error","ok")</f>
        <v>ok</v>
      </c>
      <c r="G18" s="297" t="str">
        <f>IF(SUM('DFP-CASH'!$C30:G30)&gt;SUM('DFP-Com'!$C28:G28),"error","ok")</f>
        <v>ok</v>
      </c>
      <c r="H18" s="297" t="str">
        <f>IF(SUM('DFP-CASH'!$C30:G30)&gt;SUM('DFP-Com'!$C28:G28),"error","ok")</f>
        <v>ok</v>
      </c>
      <c r="I18" s="297" t="str">
        <f>IF(SUM('DFP-CASH'!$C30:G30)&gt;SUM('DFP-Com'!$C28:G28),"error","ok")</f>
        <v>ok</v>
      </c>
      <c r="J18" s="297" t="str">
        <f>IF(SUM('DFP-CASH'!$C30:G30)&gt;SUM('DFP-Com'!$C28:G28),"error","ok")</f>
        <v>ok</v>
      </c>
      <c r="K18" s="297" t="str">
        <f>IF(SUM('DFP-CASH'!$C30:G30)&gt;SUM('DFP-Com'!$C28:G28),"error","ok")</f>
        <v>ok</v>
      </c>
      <c r="L18" s="297" t="str">
        <f>IF(SUM('DFP-CASH'!$C30:G30)&gt;SUM('DFP-Com'!$C28:G28),"error","ok")</f>
        <v>ok</v>
      </c>
      <c r="M18" s="297" t="str">
        <f>IF(SUM('DFP-CASH'!$C30:G30)&gt;SUM('DFP-Com'!$C28:G28),"error","ok")</f>
        <v>ok</v>
      </c>
      <c r="N18" s="297" t="str">
        <f>IF(SUM('DFP-CASH'!$C30:H30)&gt;SUM('DFP-Com'!$C28:H28),"error","ok")</f>
        <v>ok</v>
      </c>
      <c r="O18" s="297" t="str">
        <f>IF(SUM('DFP-CASH'!$C30:I30)&gt;SUM('DFP-Com'!$C28:I28),"error","ok")</f>
        <v>ok</v>
      </c>
      <c r="P18" s="297" t="str">
        <f>IF(SUM('DFP-CASH'!$C30:J30)&gt;SUM('DFP-Com'!$C28:J28),"error","ok")</f>
        <v>ok</v>
      </c>
      <c r="Q18" s="297" t="str">
        <f>IF(SUM('DFP-CASH'!$C30:K30)&gt;SUM('DFP-Com'!$C28:K28),"error","ok")</f>
        <v>ok</v>
      </c>
      <c r="R18" s="297" t="str">
        <f>IF(SUM('DFP-CASH'!$C30:L30)&gt;SUM('DFP-Com'!$C28:L28),"error","ok")</f>
        <v>error</v>
      </c>
      <c r="S18" s="297" t="str">
        <f>IF(SUM('DFP-CASH'!$C30:M30)&gt;SUM('DFP-Com'!$C28:M28),"error","ok")</f>
        <v>error</v>
      </c>
    </row>
    <row r="19" spans="1:19" x14ac:dyDescent="0.25">
      <c r="A19" s="200" t="s">
        <v>124</v>
      </c>
      <c r="B19" s="252" t="str">
        <f>IF('DFP-Com'!P29-'DFP-CASH'!P31=0,"ok","error")</f>
        <v>error</v>
      </c>
      <c r="C19" s="297" t="str">
        <f>IF(SUM('DFP-CASH'!$C31:C31)&gt;SUM('DFP-Com'!$C29:D29),"error","ok")</f>
        <v>ok</v>
      </c>
      <c r="D19" s="297" t="str">
        <f>IF(SUM('DFP-CASH'!$C31:E31)&gt;SUM('DFP-Com'!$C29:E29),"error","ok")</f>
        <v>ok</v>
      </c>
      <c r="E19" s="297" t="str">
        <f>IF(SUM('DFP-CASH'!$C31:F31)&gt;SUM('DFP-Com'!$C29:F29),"error","ok")</f>
        <v>ok</v>
      </c>
      <c r="F19" s="297" t="str">
        <f>IF(SUM('DFP-CASH'!$C31:G31)&gt;SUM('DFP-Com'!$C29:G29),"error","ok")</f>
        <v>ok</v>
      </c>
      <c r="G19" s="297" t="str">
        <f>IF(SUM('DFP-CASH'!$C31:G31)&gt;SUM('DFP-Com'!$C29:G29),"error","ok")</f>
        <v>ok</v>
      </c>
      <c r="H19" s="297" t="str">
        <f>IF(SUM('DFP-CASH'!$C31:G31)&gt;SUM('DFP-Com'!$C29:G29),"error","ok")</f>
        <v>ok</v>
      </c>
      <c r="I19" s="297" t="str">
        <f>IF(SUM('DFP-CASH'!$C31:G31)&gt;SUM('DFP-Com'!$C29:G29),"error","ok")</f>
        <v>ok</v>
      </c>
      <c r="J19" s="297" t="str">
        <f>IF(SUM('DFP-CASH'!$C31:G31)&gt;SUM('DFP-Com'!$C29:G29),"error","ok")</f>
        <v>ok</v>
      </c>
      <c r="K19" s="297" t="str">
        <f>IF(SUM('DFP-CASH'!$C31:G31)&gt;SUM('DFP-Com'!$C29:G29),"error","ok")</f>
        <v>ok</v>
      </c>
      <c r="L19" s="297" t="str">
        <f>IF(SUM('DFP-CASH'!$C31:G31)&gt;SUM('DFP-Com'!$C29:G29),"error","ok")</f>
        <v>ok</v>
      </c>
      <c r="M19" s="297" t="str">
        <f>IF(SUM('DFP-CASH'!$C31:G31)&gt;SUM('DFP-Com'!$C29:G29),"error","ok")</f>
        <v>ok</v>
      </c>
      <c r="N19" s="297" t="str">
        <f>IF(SUM('DFP-CASH'!$C31:H31)&gt;SUM('DFP-Com'!$C29:H29),"error","ok")</f>
        <v>ok</v>
      </c>
      <c r="O19" s="297" t="str">
        <f>IF(SUM('DFP-CASH'!$C31:I31)&gt;SUM('DFP-Com'!$C29:I29),"error","ok")</f>
        <v>ok</v>
      </c>
      <c r="P19" s="297" t="str">
        <f>IF(SUM('DFP-CASH'!$C31:J31)&gt;SUM('DFP-Com'!$C29:J29),"error","ok")</f>
        <v>ok</v>
      </c>
      <c r="Q19" s="297" t="str">
        <f>IF(SUM('DFP-CASH'!$C31:K31)&gt;SUM('DFP-Com'!$C29:K29),"error","ok")</f>
        <v>ok</v>
      </c>
      <c r="R19" s="297" t="str">
        <f>IF(SUM('DFP-CASH'!$C31:L31)&gt;SUM('DFP-Com'!$C29:L29),"error","ok")</f>
        <v>error</v>
      </c>
      <c r="S19" s="297" t="str">
        <f>IF(SUM('DFP-CASH'!$C31:M31)&gt;SUM('DFP-Com'!$C29:M29),"error","ok")</f>
        <v>error</v>
      </c>
    </row>
    <row r="20" spans="1:19" ht="25.5" x14ac:dyDescent="0.25">
      <c r="A20" s="49" t="s">
        <v>86</v>
      </c>
      <c r="B20" s="252" t="str">
        <f>IF('DFP-Com'!P30-'DFP-CASH'!P32=0,"ok","error")</f>
        <v>error</v>
      </c>
      <c r="C20" s="297" t="str">
        <f>IF(SUM('DFP-CASH'!$C32:C32)&gt;SUM('DFP-Com'!$C30:D30),"error","ok")</f>
        <v>ok</v>
      </c>
      <c r="D20" s="297" t="str">
        <f>IF(SUM('DFP-CASH'!$C32:E32)&gt;SUM('DFP-Com'!$C30:E30),"error","ok")</f>
        <v>ok</v>
      </c>
      <c r="E20" s="297" t="str">
        <f>IF(SUM('DFP-CASH'!$C32:F32)&gt;SUM('DFP-Com'!$C30:F30),"error","ok")</f>
        <v>ok</v>
      </c>
      <c r="F20" s="297" t="str">
        <f>IF(SUM('DFP-CASH'!$C32:G32)&gt;SUM('DFP-Com'!$C30:G30),"error","ok")</f>
        <v>ok</v>
      </c>
      <c r="G20" s="297" t="str">
        <f>IF(SUM('DFP-CASH'!$C32:G32)&gt;SUM('DFP-Com'!$C30:G30),"error","ok")</f>
        <v>ok</v>
      </c>
      <c r="H20" s="297" t="str">
        <f>IF(SUM('DFP-CASH'!$C32:G32)&gt;SUM('DFP-Com'!$C30:G30),"error","ok")</f>
        <v>ok</v>
      </c>
      <c r="I20" s="297" t="str">
        <f>IF(SUM('DFP-CASH'!$C32:G32)&gt;SUM('DFP-Com'!$C30:G30),"error","ok")</f>
        <v>ok</v>
      </c>
      <c r="J20" s="297" t="str">
        <f>IF(SUM('DFP-CASH'!$C32:G32)&gt;SUM('DFP-Com'!$C30:G30),"error","ok")</f>
        <v>ok</v>
      </c>
      <c r="K20" s="297" t="str">
        <f>IF(SUM('DFP-CASH'!$C32:G32)&gt;SUM('DFP-Com'!$C30:G30),"error","ok")</f>
        <v>ok</v>
      </c>
      <c r="L20" s="297" t="str">
        <f>IF(SUM('DFP-CASH'!$C32:G32)&gt;SUM('DFP-Com'!$C30:G30),"error","ok")</f>
        <v>ok</v>
      </c>
      <c r="M20" s="297" t="str">
        <f>IF(SUM('DFP-CASH'!$C32:G32)&gt;SUM('DFP-Com'!$C30:G30),"error","ok")</f>
        <v>ok</v>
      </c>
      <c r="N20" s="297" t="str">
        <f>IF(SUM('DFP-CASH'!$C32:H32)&gt;SUM('DFP-Com'!$C30:H30),"error","ok")</f>
        <v>error</v>
      </c>
      <c r="O20" s="297" t="str">
        <f>IF(SUM('DFP-CASH'!$C32:I32)&gt;SUM('DFP-Com'!$C30:I30),"error","ok")</f>
        <v>ok</v>
      </c>
      <c r="P20" s="297" t="str">
        <f>IF(SUM('DFP-CASH'!$C32:J32)&gt;SUM('DFP-Com'!$C30:J30),"error","ok")</f>
        <v>error</v>
      </c>
      <c r="Q20" s="297" t="str">
        <f>IF(SUM('DFP-CASH'!$C32:K32)&gt;SUM('DFP-Com'!$C30:K30),"error","ok")</f>
        <v>error</v>
      </c>
      <c r="R20" s="297" t="str">
        <f>IF(SUM('DFP-CASH'!$C32:L32)&gt;SUM('DFP-Com'!$C30:L30),"error","ok")</f>
        <v>error</v>
      </c>
      <c r="S20" s="297" t="str">
        <f>IF(SUM('DFP-CASH'!$C32:M32)&gt;SUM('DFP-Com'!$C30:M30),"error","ok")</f>
        <v>error</v>
      </c>
    </row>
    <row r="21" spans="1:19" x14ac:dyDescent="0.25">
      <c r="A21" s="200" t="s">
        <v>125</v>
      </c>
      <c r="B21" s="252" t="str">
        <f>IF('DFP-Com'!P31-'DFP-CASH'!P33=0,"ok","error")</f>
        <v>error</v>
      </c>
      <c r="C21" s="297" t="str">
        <f>IF(SUM('DFP-CASH'!$C33:C33)&gt;SUM('DFP-Com'!$C31:D31),"error","ok")</f>
        <v>ok</v>
      </c>
      <c r="D21" s="297" t="str">
        <f>IF(SUM('DFP-CASH'!$C33:E33)&gt;SUM('DFP-Com'!$C31:E31),"error","ok")</f>
        <v>ok</v>
      </c>
      <c r="E21" s="297" t="str">
        <f>IF(SUM('DFP-CASH'!$C33:F33)&gt;SUM('DFP-Com'!$C31:F31),"error","ok")</f>
        <v>ok</v>
      </c>
      <c r="F21" s="297" t="str">
        <f>IF(SUM('DFP-CASH'!$C33:G33)&gt;SUM('DFP-Com'!$C31:G31),"error","ok")</f>
        <v>ok</v>
      </c>
      <c r="G21" s="297" t="str">
        <f>IF(SUM('DFP-CASH'!$C33:G33)&gt;SUM('DFP-Com'!$C31:G31),"error","ok")</f>
        <v>ok</v>
      </c>
      <c r="H21" s="297" t="str">
        <f>IF(SUM('DFP-CASH'!$C33:G33)&gt;SUM('DFP-Com'!$C31:G31),"error","ok")</f>
        <v>ok</v>
      </c>
      <c r="I21" s="297" t="str">
        <f>IF(SUM('DFP-CASH'!$C33:G33)&gt;SUM('DFP-Com'!$C31:G31),"error","ok")</f>
        <v>ok</v>
      </c>
      <c r="J21" s="297" t="str">
        <f>IF(SUM('DFP-CASH'!$C33:G33)&gt;SUM('DFP-Com'!$C31:G31),"error","ok")</f>
        <v>ok</v>
      </c>
      <c r="K21" s="297" t="str">
        <f>IF(SUM('DFP-CASH'!$C33:G33)&gt;SUM('DFP-Com'!$C31:G31),"error","ok")</f>
        <v>ok</v>
      </c>
      <c r="L21" s="297" t="str">
        <f>IF(SUM('DFP-CASH'!$C33:G33)&gt;SUM('DFP-Com'!$C31:G31),"error","ok")</f>
        <v>ok</v>
      </c>
      <c r="M21" s="297" t="str">
        <f>IF(SUM('DFP-CASH'!$C33:G33)&gt;SUM('DFP-Com'!$C31:G31),"error","ok")</f>
        <v>ok</v>
      </c>
      <c r="N21" s="297" t="str">
        <f>IF(SUM('DFP-CASH'!$C33:H33)&gt;SUM('DFP-Com'!$C31:H31),"error","ok")</f>
        <v>ok</v>
      </c>
      <c r="O21" s="297" t="str">
        <f>IF(SUM('DFP-CASH'!$C33:I33)&gt;SUM('DFP-Com'!$C31:I31),"error","ok")</f>
        <v>ok</v>
      </c>
      <c r="P21" s="297" t="str">
        <f>IF(SUM('DFP-CASH'!$C33:J33)&gt;SUM('DFP-Com'!$C31:J31),"error","ok")</f>
        <v>ok</v>
      </c>
      <c r="Q21" s="297" t="str">
        <f>IF(SUM('DFP-CASH'!$C33:K33)&gt;SUM('DFP-Com'!$C31:K31),"error","ok")</f>
        <v>ok</v>
      </c>
      <c r="R21" s="297" t="str">
        <f>IF(SUM('DFP-CASH'!$C33:L33)&gt;SUM('DFP-Com'!$C31:L31),"error","ok")</f>
        <v>ok</v>
      </c>
      <c r="S21" s="297" t="str">
        <f>IF(SUM('DFP-CASH'!$C33:M33)&gt;SUM('DFP-Com'!$C31:M31),"error","ok")</f>
        <v>ok</v>
      </c>
    </row>
    <row r="22" spans="1:19" x14ac:dyDescent="0.25">
      <c r="A22" s="200" t="s">
        <v>126</v>
      </c>
      <c r="B22" s="252" t="str">
        <f>IF('DFP-Com'!P32-'DFP-CASH'!P34=0,"ok","error")</f>
        <v>error</v>
      </c>
      <c r="C22" s="297" t="str">
        <f>IF(SUM('DFP-CASH'!$C34:C34)&gt;SUM('DFP-Com'!$C32:D32),"error","ok")</f>
        <v>ok</v>
      </c>
      <c r="D22" s="297" t="str">
        <f>IF(SUM('DFP-CASH'!$C34:E34)&gt;SUM('DFP-Com'!$C32:E32),"error","ok")</f>
        <v>ok</v>
      </c>
      <c r="E22" s="297" t="str">
        <f>IF(SUM('DFP-CASH'!$C34:F34)&gt;SUM('DFP-Com'!$C32:F32),"error","ok")</f>
        <v>ok</v>
      </c>
      <c r="F22" s="297" t="str">
        <f>IF(SUM('DFP-CASH'!$C34:G34)&gt;SUM('DFP-Com'!$C32:G32),"error","ok")</f>
        <v>ok</v>
      </c>
      <c r="G22" s="297" t="str">
        <f>IF(SUM('DFP-CASH'!$C34:G34)&gt;SUM('DFP-Com'!$C32:G32),"error","ok")</f>
        <v>ok</v>
      </c>
      <c r="H22" s="297" t="str">
        <f>IF(SUM('DFP-CASH'!$C34:G34)&gt;SUM('DFP-Com'!$C32:G32),"error","ok")</f>
        <v>ok</v>
      </c>
      <c r="I22" s="297" t="str">
        <f>IF(SUM('DFP-CASH'!$C34:G34)&gt;SUM('DFP-Com'!$C32:G32),"error","ok")</f>
        <v>ok</v>
      </c>
      <c r="J22" s="297" t="str">
        <f>IF(SUM('DFP-CASH'!$C34:G34)&gt;SUM('DFP-Com'!$C32:G32),"error","ok")</f>
        <v>ok</v>
      </c>
      <c r="K22" s="297" t="str">
        <f>IF(SUM('DFP-CASH'!$C34:G34)&gt;SUM('DFP-Com'!$C32:G32),"error","ok")</f>
        <v>ok</v>
      </c>
      <c r="L22" s="297" t="str">
        <f>IF(SUM('DFP-CASH'!$C34:G34)&gt;SUM('DFP-Com'!$C32:G32),"error","ok")</f>
        <v>ok</v>
      </c>
      <c r="M22" s="297" t="str">
        <f>IF(SUM('DFP-CASH'!$C34:G34)&gt;SUM('DFP-Com'!$C32:G32),"error","ok")</f>
        <v>ok</v>
      </c>
      <c r="N22" s="297" t="str">
        <f>IF(SUM('DFP-CASH'!$C34:H34)&gt;SUM('DFP-Com'!$C32:H32),"error","ok")</f>
        <v>error</v>
      </c>
      <c r="O22" s="297" t="str">
        <f>IF(SUM('DFP-CASH'!$C34:I34)&gt;SUM('DFP-Com'!$C32:I32),"error","ok")</f>
        <v>error</v>
      </c>
      <c r="P22" s="297" t="str">
        <f>IF(SUM('DFP-CASH'!$C34:J34)&gt;SUM('DFP-Com'!$C32:J32),"error","ok")</f>
        <v>error</v>
      </c>
      <c r="Q22" s="297" t="str">
        <f>IF(SUM('DFP-CASH'!$C34:K34)&gt;SUM('DFP-Com'!$C32:K32),"error","ok")</f>
        <v>error</v>
      </c>
      <c r="R22" s="297" t="str">
        <f>IF(SUM('DFP-CASH'!$C34:L34)&gt;SUM('DFP-Com'!$C32:L32),"error","ok")</f>
        <v>error</v>
      </c>
      <c r="S22" s="297" t="str">
        <f>IF(SUM('DFP-CASH'!$C34:M34)&gt;SUM('DFP-Com'!$C32:M32),"error","ok")</f>
        <v>error</v>
      </c>
    </row>
    <row r="23" spans="1:19" x14ac:dyDescent="0.25">
      <c r="A23" s="200" t="s">
        <v>128</v>
      </c>
      <c r="B23" s="252" t="str">
        <f>IF('DFP-Com'!P33-'DFP-CASH'!P35=0,"ok","error")</f>
        <v>ok</v>
      </c>
      <c r="C23" s="297" t="str">
        <f>IF(SUM('DFP-CASH'!$C35:C35)&gt;SUM('DFP-Com'!$C33:D33),"error","ok")</f>
        <v>ok</v>
      </c>
      <c r="D23" s="297" t="str">
        <f>IF(SUM('DFP-CASH'!$C35:E35)&gt;SUM('DFP-Com'!$C33:E33),"error","ok")</f>
        <v>ok</v>
      </c>
      <c r="E23" s="297" t="str">
        <f>IF(SUM('DFP-CASH'!$C35:F35)&gt;SUM('DFP-Com'!$C33:F33),"error","ok")</f>
        <v>ok</v>
      </c>
      <c r="F23" s="297" t="str">
        <f>IF(SUM('DFP-CASH'!$C35:G35)&gt;SUM('DFP-Com'!$C33:G33),"error","ok")</f>
        <v>ok</v>
      </c>
      <c r="G23" s="297" t="str">
        <f>IF(SUM('DFP-CASH'!$C35:G35)&gt;SUM('DFP-Com'!$C33:G33),"error","ok")</f>
        <v>ok</v>
      </c>
      <c r="H23" s="297" t="str">
        <f>IF(SUM('DFP-CASH'!$C35:G35)&gt;SUM('DFP-Com'!$C33:G33),"error","ok")</f>
        <v>ok</v>
      </c>
      <c r="I23" s="297" t="str">
        <f>IF(SUM('DFP-CASH'!$C35:G35)&gt;SUM('DFP-Com'!$C33:G33),"error","ok")</f>
        <v>ok</v>
      </c>
      <c r="J23" s="297" t="str">
        <f>IF(SUM('DFP-CASH'!$C35:G35)&gt;SUM('DFP-Com'!$C33:G33),"error","ok")</f>
        <v>ok</v>
      </c>
      <c r="K23" s="297" t="str">
        <f>IF(SUM('DFP-CASH'!$C35:G35)&gt;SUM('DFP-Com'!$C33:G33),"error","ok")</f>
        <v>ok</v>
      </c>
      <c r="L23" s="297" t="str">
        <f>IF(SUM('DFP-CASH'!$C35:G35)&gt;SUM('DFP-Com'!$C33:G33),"error","ok")</f>
        <v>ok</v>
      </c>
      <c r="M23" s="297" t="str">
        <f>IF(SUM('DFP-CASH'!$C35:G35)&gt;SUM('DFP-Com'!$C33:G33),"error","ok")</f>
        <v>ok</v>
      </c>
      <c r="N23" s="297" t="str">
        <f>IF(SUM('DFP-CASH'!$C35:H35)&gt;SUM('DFP-Com'!$C33:H33),"error","ok")</f>
        <v>ok</v>
      </c>
      <c r="O23" s="297" t="str">
        <f>IF(SUM('DFP-CASH'!$C35:I35)&gt;SUM('DFP-Com'!$C33:I33),"error","ok")</f>
        <v>ok</v>
      </c>
      <c r="P23" s="297" t="str">
        <f>IF(SUM('DFP-CASH'!$C35:J35)&gt;SUM('DFP-Com'!$C33:J33),"error","ok")</f>
        <v>ok</v>
      </c>
      <c r="Q23" s="297" t="str">
        <f>IF(SUM('DFP-CASH'!$C35:K35)&gt;SUM('DFP-Com'!$C33:K33),"error","ok")</f>
        <v>ok</v>
      </c>
      <c r="R23" s="297" t="str">
        <f>IF(SUM('DFP-CASH'!$C35:L35)&gt;SUM('DFP-Com'!$C33:L33),"error","ok")</f>
        <v>ok</v>
      </c>
      <c r="S23" s="297" t="str">
        <f>IF(SUM('DFP-CASH'!$C35:M35)&gt;SUM('DFP-Com'!$C33:M33),"error","ok")</f>
        <v>ok</v>
      </c>
    </row>
    <row r="24" spans="1:19" x14ac:dyDescent="0.25">
      <c r="A24" s="58" t="s">
        <v>63</v>
      </c>
      <c r="B24" s="252" t="str">
        <f>IF('DFP-Com'!P34-'DFP-CASH'!P36=0,"ok","error")</f>
        <v>error</v>
      </c>
      <c r="C24" s="297" t="str">
        <f>IF(SUM('DFP-CASH'!$C36:C36)&gt;SUM('DFP-Com'!$C34:D34),"error","ok")</f>
        <v>ok</v>
      </c>
      <c r="D24" s="297" t="str">
        <f>IF(SUM('DFP-CASH'!$C36:E36)&gt;SUM('DFP-Com'!$C34:E34),"error","ok")</f>
        <v>ok</v>
      </c>
      <c r="E24" s="297" t="str">
        <f>IF(SUM('DFP-CASH'!$C36:F36)&gt;SUM('DFP-Com'!$C34:F34),"error","ok")</f>
        <v>ok</v>
      </c>
      <c r="F24" s="297" t="str">
        <f>IF(SUM('DFP-CASH'!$C36:G36)&gt;SUM('DFP-Com'!$C34:G34),"error","ok")</f>
        <v>ok</v>
      </c>
      <c r="G24" s="297" t="str">
        <f>IF(SUM('DFP-CASH'!$C36:G36)&gt;SUM('DFP-Com'!$C34:G34),"error","ok")</f>
        <v>ok</v>
      </c>
      <c r="H24" s="297" t="str">
        <f>IF(SUM('DFP-CASH'!$C36:G36)&gt;SUM('DFP-Com'!$C34:G34),"error","ok")</f>
        <v>ok</v>
      </c>
      <c r="I24" s="297" t="str">
        <f>IF(SUM('DFP-CASH'!$C36:G36)&gt;SUM('DFP-Com'!$C34:G34),"error","ok")</f>
        <v>ok</v>
      </c>
      <c r="J24" s="297" t="str">
        <f>IF(SUM('DFP-CASH'!$C36:G36)&gt;SUM('DFP-Com'!$C34:G34),"error","ok")</f>
        <v>ok</v>
      </c>
      <c r="K24" s="297" t="str">
        <f>IF(SUM('DFP-CASH'!$C36:G36)&gt;SUM('DFP-Com'!$C34:G34),"error","ok")</f>
        <v>ok</v>
      </c>
      <c r="L24" s="297" t="str">
        <f>IF(SUM('DFP-CASH'!$C36:G36)&gt;SUM('DFP-Com'!$C34:G34),"error","ok")</f>
        <v>ok</v>
      </c>
      <c r="M24" s="297" t="str">
        <f>IF(SUM('DFP-CASH'!$C36:G36)&gt;SUM('DFP-Com'!$C34:G34),"error","ok")</f>
        <v>ok</v>
      </c>
      <c r="N24" s="297" t="str">
        <f>IF(SUM('DFP-CASH'!$C36:H36)&gt;SUM('DFP-Com'!$C34:H34),"error","ok")</f>
        <v>error</v>
      </c>
      <c r="O24" s="297" t="str">
        <f>IF(SUM('DFP-CASH'!$C36:I36)&gt;SUM('DFP-Com'!$C34:I34),"error","ok")</f>
        <v>ok</v>
      </c>
      <c r="P24" s="297" t="str">
        <f>IF(SUM('DFP-CASH'!$C36:J36)&gt;SUM('DFP-Com'!$C34:J34),"error","ok")</f>
        <v>error</v>
      </c>
      <c r="Q24" s="297" t="str">
        <f>IF(SUM('DFP-CASH'!$C36:K36)&gt;SUM('DFP-Com'!$C34:K34),"error","ok")</f>
        <v>error</v>
      </c>
      <c r="R24" s="297" t="str">
        <f>IF(SUM('DFP-CASH'!$C36:L36)&gt;SUM('DFP-Com'!$C34:L34),"error","ok")</f>
        <v>error</v>
      </c>
      <c r="S24" s="297" t="str">
        <f>IF(SUM('DFP-CASH'!$C36:M36)&gt;SUM('DFP-Com'!$C34:M34),"error","ok")</f>
        <v>error</v>
      </c>
    </row>
    <row r="25" spans="1:19" x14ac:dyDescent="0.25">
      <c r="A25" s="53"/>
      <c r="B25" s="252" t="str">
        <f>IF('DFP-Com'!P35-'DFP-CASH'!P37=0,"ok","error")</f>
        <v>ok</v>
      </c>
      <c r="C25" s="297" t="str">
        <f>IF(SUM('DFP-CASH'!$C37:C37)&gt;SUM('DFP-Com'!$C35:D35),"error","ok")</f>
        <v>ok</v>
      </c>
      <c r="D25" s="297" t="str">
        <f>IF(SUM('DFP-CASH'!$C37:E37)&gt;SUM('DFP-Com'!$C35:E35),"error","ok")</f>
        <v>ok</v>
      </c>
      <c r="E25" s="297" t="str">
        <f>IF(SUM('DFP-CASH'!$C37:F37)&gt;SUM('DFP-Com'!$C35:F35),"error","ok")</f>
        <v>ok</v>
      </c>
      <c r="F25" s="297" t="str">
        <f>IF(SUM('DFP-CASH'!$C37:G37)&gt;SUM('DFP-Com'!$C35:G35),"error","ok")</f>
        <v>ok</v>
      </c>
      <c r="G25" s="297" t="str">
        <f>IF(SUM('DFP-CASH'!$C37:G37)&gt;SUM('DFP-Com'!$C35:G35),"error","ok")</f>
        <v>ok</v>
      </c>
      <c r="H25" s="297" t="str">
        <f>IF(SUM('DFP-CASH'!$C37:G37)&gt;SUM('DFP-Com'!$C35:G35),"error","ok")</f>
        <v>ok</v>
      </c>
      <c r="I25" s="297" t="str">
        <f>IF(SUM('DFP-CASH'!$C37:G37)&gt;SUM('DFP-Com'!$C35:G35),"error","ok")</f>
        <v>ok</v>
      </c>
      <c r="J25" s="297" t="str">
        <f>IF(SUM('DFP-CASH'!$C37:G37)&gt;SUM('DFP-Com'!$C35:G35),"error","ok")</f>
        <v>ok</v>
      </c>
      <c r="K25" s="297" t="str">
        <f>IF(SUM('DFP-CASH'!$C37:G37)&gt;SUM('DFP-Com'!$C35:G35),"error","ok")</f>
        <v>ok</v>
      </c>
      <c r="L25" s="297" t="str">
        <f>IF(SUM('DFP-CASH'!$C37:G37)&gt;SUM('DFP-Com'!$C35:G35),"error","ok")</f>
        <v>ok</v>
      </c>
      <c r="M25" s="297" t="str">
        <f>IF(SUM('DFP-CASH'!$C37:G37)&gt;SUM('DFP-Com'!$C35:G35),"error","ok")</f>
        <v>ok</v>
      </c>
      <c r="N25" s="297" t="str">
        <f>IF(SUM('DFP-CASH'!$C37:H37)&gt;SUM('DFP-Com'!$C35:H35),"error","ok")</f>
        <v>ok</v>
      </c>
      <c r="O25" s="297" t="str">
        <f>IF(SUM('DFP-CASH'!$C37:I37)&gt;SUM('DFP-Com'!$C35:I35),"error","ok")</f>
        <v>ok</v>
      </c>
      <c r="P25" s="297" t="str">
        <f>IF(SUM('DFP-CASH'!$C37:J37)&gt;SUM('DFP-Com'!$C35:J35),"error","ok")</f>
        <v>ok</v>
      </c>
      <c r="Q25" s="297" t="str">
        <f>IF(SUM('DFP-CASH'!$C37:K37)&gt;SUM('DFP-Com'!$C35:K35),"error","ok")</f>
        <v>ok</v>
      </c>
      <c r="R25" s="297" t="str">
        <f>IF(SUM('DFP-CASH'!$C37:L37)&gt;SUM('DFP-Com'!$C35:L35),"error","ok")</f>
        <v>ok</v>
      </c>
      <c r="S25" s="297" t="str">
        <f>IF(SUM('DFP-CASH'!$C37:M37)&gt;SUM('DFP-Com'!$C35:M35),"error","ok")</f>
        <v>ok</v>
      </c>
    </row>
    <row r="26" spans="1:19" x14ac:dyDescent="0.25">
      <c r="A26" s="44" t="s">
        <v>91</v>
      </c>
      <c r="B26" s="252" t="str">
        <f>IF('DFP-Com'!P36-'DFP-CASH'!P38=0,"ok","error")</f>
        <v>ok</v>
      </c>
      <c r="C26" s="297" t="str">
        <f>IF(SUM('DFP-CASH'!$C38:C38)&gt;SUM('DFP-Com'!$C36:D36),"error","ok")</f>
        <v>ok</v>
      </c>
      <c r="D26" s="297" t="str">
        <f>IF(SUM('DFP-CASH'!$C38:E38)&gt;SUM('DFP-Com'!$C36:E36),"error","ok")</f>
        <v>ok</v>
      </c>
      <c r="E26" s="297" t="str">
        <f>IF(SUM('DFP-CASH'!$C38:F38)&gt;SUM('DFP-Com'!$C36:F36),"error","ok")</f>
        <v>ok</v>
      </c>
      <c r="F26" s="297" t="str">
        <f>IF(SUM('DFP-CASH'!$C38:G38)&gt;SUM('DFP-Com'!$C36:G36),"error","ok")</f>
        <v>ok</v>
      </c>
      <c r="G26" s="297" t="str">
        <f>IF(SUM('DFP-CASH'!$C38:G38)&gt;SUM('DFP-Com'!$C36:G36),"error","ok")</f>
        <v>ok</v>
      </c>
      <c r="H26" s="297" t="str">
        <f>IF(SUM('DFP-CASH'!$C38:G38)&gt;SUM('DFP-Com'!$C36:G36),"error","ok")</f>
        <v>ok</v>
      </c>
      <c r="I26" s="297" t="str">
        <f>IF(SUM('DFP-CASH'!$C38:G38)&gt;SUM('DFP-Com'!$C36:G36),"error","ok")</f>
        <v>ok</v>
      </c>
      <c r="J26" s="297" t="str">
        <f>IF(SUM('DFP-CASH'!$C38:G38)&gt;SUM('DFP-Com'!$C36:G36),"error","ok")</f>
        <v>ok</v>
      </c>
      <c r="K26" s="297" t="str">
        <f>IF(SUM('DFP-CASH'!$C38:G38)&gt;SUM('DFP-Com'!$C36:G36),"error","ok")</f>
        <v>ok</v>
      </c>
      <c r="L26" s="297" t="str">
        <f>IF(SUM('DFP-CASH'!$C38:G38)&gt;SUM('DFP-Com'!$C36:G36),"error","ok")</f>
        <v>ok</v>
      </c>
      <c r="M26" s="297" t="str">
        <f>IF(SUM('DFP-CASH'!$C38:G38)&gt;SUM('DFP-Com'!$C36:G36),"error","ok")</f>
        <v>ok</v>
      </c>
      <c r="N26" s="297" t="str">
        <f>IF(SUM('DFP-CASH'!$C38:H38)&gt;SUM('DFP-Com'!$C36:H36),"error","ok")</f>
        <v>ok</v>
      </c>
      <c r="O26" s="297" t="str">
        <f>IF(SUM('DFP-CASH'!$C38:I38)&gt;SUM('DFP-Com'!$C36:I36),"error","ok")</f>
        <v>ok</v>
      </c>
      <c r="P26" s="297" t="str">
        <f>IF(SUM('DFP-CASH'!$C38:J38)&gt;SUM('DFP-Com'!$C36:J36),"error","ok")</f>
        <v>ok</v>
      </c>
      <c r="Q26" s="297" t="str">
        <f>IF(SUM('DFP-CASH'!$C38:K38)&gt;SUM('DFP-Com'!$C36:K36),"error","ok")</f>
        <v>ok</v>
      </c>
      <c r="R26" s="297" t="str">
        <f>IF(SUM('DFP-CASH'!$C38:L38)&gt;SUM('DFP-Com'!$C36:L36),"error","ok")</f>
        <v>ok</v>
      </c>
      <c r="S26" s="297" t="str">
        <f>IF(SUM('DFP-CASH'!$C38:M38)&gt;SUM('DFP-Com'!$C36:M36),"error","ok")</f>
        <v>ok</v>
      </c>
    </row>
    <row r="27" spans="1:19" x14ac:dyDescent="0.25">
      <c r="A27" s="64" t="s">
        <v>92</v>
      </c>
      <c r="B27" s="252" t="str">
        <f>IF('DFP-Com'!P37-'DFP-CASH'!P39=0,"ok","error")</f>
        <v>error</v>
      </c>
      <c r="C27" s="297" t="str">
        <f>IF(SUM('DFP-CASH'!$C39:C39)&gt;SUM('DFP-Com'!$C37:D37),"error","ok")</f>
        <v>ok</v>
      </c>
      <c r="D27" s="297" t="str">
        <f>IF(SUM('DFP-CASH'!$C39:E39)&gt;SUM('DFP-Com'!$C37:E37),"error","ok")</f>
        <v>ok</v>
      </c>
      <c r="E27" s="297" t="str">
        <f>IF(SUM('DFP-CASH'!$C39:F39)&gt;SUM('DFP-Com'!$C37:F37),"error","ok")</f>
        <v>ok</v>
      </c>
      <c r="F27" s="297" t="str">
        <f>IF(SUM('DFP-CASH'!$C39:G39)&gt;SUM('DFP-Com'!$C37:G37),"error","ok")</f>
        <v>ok</v>
      </c>
      <c r="G27" s="297" t="str">
        <f>IF(SUM('DFP-CASH'!$C39:G39)&gt;SUM('DFP-Com'!$C37:G37),"error","ok")</f>
        <v>ok</v>
      </c>
      <c r="H27" s="297" t="str">
        <f>IF(SUM('DFP-CASH'!$C39:G39)&gt;SUM('DFP-Com'!$C37:G37),"error","ok")</f>
        <v>ok</v>
      </c>
      <c r="I27" s="297" t="str">
        <f>IF(SUM('DFP-CASH'!$C39:G39)&gt;SUM('DFP-Com'!$C37:G37),"error","ok")</f>
        <v>ok</v>
      </c>
      <c r="J27" s="297" t="str">
        <f>IF(SUM('DFP-CASH'!$C39:G39)&gt;SUM('DFP-Com'!$C37:G37),"error","ok")</f>
        <v>ok</v>
      </c>
      <c r="K27" s="297" t="str">
        <f>IF(SUM('DFP-CASH'!$C39:G39)&gt;SUM('DFP-Com'!$C37:G37),"error","ok")</f>
        <v>ok</v>
      </c>
      <c r="L27" s="297" t="str">
        <f>IF(SUM('DFP-CASH'!$C39:G39)&gt;SUM('DFP-Com'!$C37:G37),"error","ok")</f>
        <v>ok</v>
      </c>
      <c r="M27" s="297" t="str">
        <f>IF(SUM('DFP-CASH'!$C39:G39)&gt;SUM('DFP-Com'!$C37:G37),"error","ok")</f>
        <v>ok</v>
      </c>
      <c r="N27" s="297" t="str">
        <f>IF(SUM('DFP-CASH'!$C39:H39)&gt;SUM('DFP-Com'!$C37:H37),"error","ok")</f>
        <v>error</v>
      </c>
      <c r="O27" s="297" t="str">
        <f>IF(SUM('DFP-CASH'!$C39:I39)&gt;SUM('DFP-Com'!$C37:I37),"error","ok")</f>
        <v>error</v>
      </c>
      <c r="P27" s="297" t="str">
        <f>IF(SUM('DFP-CASH'!$C39:J39)&gt;SUM('DFP-Com'!$C37:J37),"error","ok")</f>
        <v>error</v>
      </c>
      <c r="Q27" s="297" t="str">
        <f>IF(SUM('DFP-CASH'!$C39:K39)&gt;SUM('DFP-Com'!$C37:K37),"error","ok")</f>
        <v>error</v>
      </c>
      <c r="R27" s="297" t="str">
        <f>IF(SUM('DFP-CASH'!$C39:L39)&gt;SUM('DFP-Com'!$C37:L37),"error","ok")</f>
        <v>error</v>
      </c>
      <c r="S27" s="297" t="str">
        <f>IF(SUM('DFP-CASH'!$C39:M39)&gt;SUM('DFP-Com'!$C37:M37),"error","ok")</f>
        <v>error</v>
      </c>
    </row>
    <row r="28" spans="1:19" x14ac:dyDescent="0.25">
      <c r="A28" s="211" t="s">
        <v>115</v>
      </c>
      <c r="B28" s="252" t="str">
        <f>IF('DFP-Com'!P38-'DFP-CASH'!P40=0,"ok","error")</f>
        <v>error</v>
      </c>
      <c r="C28" s="297" t="str">
        <f>IF(SUM('DFP-CASH'!$C40:C40)&gt;SUM('DFP-Com'!$C38:D38),"error","ok")</f>
        <v>ok</v>
      </c>
      <c r="D28" s="297" t="str">
        <f>IF(SUM('DFP-CASH'!$C40:E40)&gt;SUM('DFP-Com'!$C38:E38),"error","ok")</f>
        <v>ok</v>
      </c>
      <c r="E28" s="297" t="str">
        <f>IF(SUM('DFP-CASH'!$C40:F40)&gt;SUM('DFP-Com'!$C38:F38),"error","ok")</f>
        <v>ok</v>
      </c>
      <c r="F28" s="297" t="str">
        <f>IF(SUM('DFP-CASH'!$C40:G40)&gt;SUM('DFP-Com'!$C38:G38),"error","ok")</f>
        <v>ok</v>
      </c>
      <c r="G28" s="297" t="str">
        <f>IF(SUM('DFP-CASH'!$C40:G40)&gt;SUM('DFP-Com'!$C38:G38),"error","ok")</f>
        <v>ok</v>
      </c>
      <c r="H28" s="297" t="str">
        <f>IF(SUM('DFP-CASH'!$C40:G40)&gt;SUM('DFP-Com'!$C38:G38),"error","ok")</f>
        <v>ok</v>
      </c>
      <c r="I28" s="297" t="str">
        <f>IF(SUM('DFP-CASH'!$C40:G40)&gt;SUM('DFP-Com'!$C38:G38),"error","ok")</f>
        <v>ok</v>
      </c>
      <c r="J28" s="297" t="str">
        <f>IF(SUM('DFP-CASH'!$C40:G40)&gt;SUM('DFP-Com'!$C38:G38),"error","ok")</f>
        <v>ok</v>
      </c>
      <c r="K28" s="297" t="str">
        <f>IF(SUM('DFP-CASH'!$C40:G40)&gt;SUM('DFP-Com'!$C38:G38),"error","ok")</f>
        <v>ok</v>
      </c>
      <c r="L28" s="297" t="str">
        <f>IF(SUM('DFP-CASH'!$C40:G40)&gt;SUM('DFP-Com'!$C38:G38),"error","ok")</f>
        <v>ok</v>
      </c>
      <c r="M28" s="297" t="str">
        <f>IF(SUM('DFP-CASH'!$C40:G40)&gt;SUM('DFP-Com'!$C38:G38),"error","ok")</f>
        <v>ok</v>
      </c>
      <c r="N28" s="297" t="str">
        <f>IF(SUM('DFP-CASH'!$C40:H40)&gt;SUM('DFP-Com'!$C38:H38),"error","ok")</f>
        <v>error</v>
      </c>
      <c r="O28" s="297" t="str">
        <f>IF(SUM('DFP-CASH'!$C40:I40)&gt;SUM('DFP-Com'!$C38:I38),"error","ok")</f>
        <v>error</v>
      </c>
      <c r="P28" s="297" t="str">
        <f>IF(SUM('DFP-CASH'!$C40:J40)&gt;SUM('DFP-Com'!$C38:J38),"error","ok")</f>
        <v>error</v>
      </c>
      <c r="Q28" s="297" t="str">
        <f>IF(SUM('DFP-CASH'!$C40:K40)&gt;SUM('DFP-Com'!$C38:K38),"error","ok")</f>
        <v>error</v>
      </c>
      <c r="R28" s="297" t="str">
        <f>IF(SUM('DFP-CASH'!$C40:L40)&gt;SUM('DFP-Com'!$C38:L38),"error","ok")</f>
        <v>error</v>
      </c>
      <c r="S28" s="297" t="str">
        <f>IF(SUM('DFP-CASH'!$C40:M40)&gt;SUM('DFP-Com'!$C38:M38),"error","ok")</f>
        <v>error</v>
      </c>
    </row>
    <row r="29" spans="1:19" x14ac:dyDescent="0.25">
      <c r="A29" s="211" t="s">
        <v>116</v>
      </c>
      <c r="B29" s="252" t="str">
        <f>IF('DFP-Com'!P39-'DFP-CASH'!P41=0,"ok","error")</f>
        <v>ok</v>
      </c>
      <c r="C29" s="297" t="str">
        <f>IF(SUM('DFP-CASH'!$C41:C41)&gt;SUM('DFP-Com'!$C39:D39),"error","ok")</f>
        <v>ok</v>
      </c>
      <c r="D29" s="297" t="str">
        <f>IF(SUM('DFP-CASH'!$C41:E41)&gt;SUM('DFP-Com'!$C39:E39),"error","ok")</f>
        <v>ok</v>
      </c>
      <c r="E29" s="297" t="str">
        <f>IF(SUM('DFP-CASH'!$C41:F41)&gt;SUM('DFP-Com'!$C39:F39),"error","ok")</f>
        <v>ok</v>
      </c>
      <c r="F29" s="297" t="str">
        <f>IF(SUM('DFP-CASH'!$C41:G41)&gt;SUM('DFP-Com'!$C39:G39),"error","ok")</f>
        <v>ok</v>
      </c>
      <c r="G29" s="297" t="str">
        <f>IF(SUM('DFP-CASH'!$C41:G41)&gt;SUM('DFP-Com'!$C39:G39),"error","ok")</f>
        <v>ok</v>
      </c>
      <c r="H29" s="297" t="str">
        <f>IF(SUM('DFP-CASH'!$C41:G41)&gt;SUM('DFP-Com'!$C39:G39),"error","ok")</f>
        <v>ok</v>
      </c>
      <c r="I29" s="297" t="str">
        <f>IF(SUM('DFP-CASH'!$C41:G41)&gt;SUM('DFP-Com'!$C39:G39),"error","ok")</f>
        <v>ok</v>
      </c>
      <c r="J29" s="297" t="str">
        <f>IF(SUM('DFP-CASH'!$C41:G41)&gt;SUM('DFP-Com'!$C39:G39),"error","ok")</f>
        <v>ok</v>
      </c>
      <c r="K29" s="297" t="str">
        <f>IF(SUM('DFP-CASH'!$C41:G41)&gt;SUM('DFP-Com'!$C39:G39),"error","ok")</f>
        <v>ok</v>
      </c>
      <c r="L29" s="297" t="str">
        <f>IF(SUM('DFP-CASH'!$C41:G41)&gt;SUM('DFP-Com'!$C39:G39),"error","ok")</f>
        <v>ok</v>
      </c>
      <c r="M29" s="297" t="str">
        <f>IF(SUM('DFP-CASH'!$C41:G41)&gt;SUM('DFP-Com'!$C39:G39),"error","ok")</f>
        <v>ok</v>
      </c>
      <c r="N29" s="297" t="str">
        <f>IF(SUM('DFP-CASH'!$C41:H41)&gt;SUM('DFP-Com'!$C39:H39),"error","ok")</f>
        <v>ok</v>
      </c>
      <c r="O29" s="297" t="str">
        <f>IF(SUM('DFP-CASH'!$C41:I41)&gt;SUM('DFP-Com'!$C39:I39),"error","ok")</f>
        <v>ok</v>
      </c>
      <c r="P29" s="297" t="str">
        <f>IF(SUM('DFP-CASH'!$C41:J41)&gt;SUM('DFP-Com'!$C39:J39),"error","ok")</f>
        <v>ok</v>
      </c>
      <c r="Q29" s="297" t="str">
        <f>IF(SUM('DFP-CASH'!$C41:K41)&gt;SUM('DFP-Com'!$C39:K39),"error","ok")</f>
        <v>ok</v>
      </c>
      <c r="R29" s="297" t="str">
        <f>IF(SUM('DFP-CASH'!$C41:L41)&gt;SUM('DFP-Com'!$C39:L39),"error","ok")</f>
        <v>ok</v>
      </c>
      <c r="S29" s="297" t="str">
        <f>IF(SUM('DFP-CASH'!$C41:M41)&gt;SUM('DFP-Com'!$C39:M39),"error","ok")</f>
        <v>ok</v>
      </c>
    </row>
    <row r="30" spans="1:19" x14ac:dyDescent="0.25">
      <c r="A30" s="211" t="s">
        <v>117</v>
      </c>
      <c r="B30" s="252" t="str">
        <f>IF('DFP-Com'!P40-'DFP-CASH'!P42=0,"ok","error")</f>
        <v>ok</v>
      </c>
      <c r="C30" s="297" t="str">
        <f>IF(SUM('DFP-CASH'!$C42:C42)&gt;SUM('DFP-Com'!$C40:D40),"error","ok")</f>
        <v>ok</v>
      </c>
      <c r="D30" s="297" t="str">
        <f>IF(SUM('DFP-CASH'!$C42:E42)&gt;SUM('DFP-Com'!$C40:E40),"error","ok")</f>
        <v>ok</v>
      </c>
      <c r="E30" s="297" t="str">
        <f>IF(SUM('DFP-CASH'!$C42:F42)&gt;SUM('DFP-Com'!$C40:F40),"error","ok")</f>
        <v>ok</v>
      </c>
      <c r="F30" s="297" t="str">
        <f>IF(SUM('DFP-CASH'!$C42:G42)&gt;SUM('DFP-Com'!$C40:G40),"error","ok")</f>
        <v>ok</v>
      </c>
      <c r="G30" s="297" t="str">
        <f>IF(SUM('DFP-CASH'!$C42:G42)&gt;SUM('DFP-Com'!$C40:G40),"error","ok")</f>
        <v>ok</v>
      </c>
      <c r="H30" s="297" t="str">
        <f>IF(SUM('DFP-CASH'!$C42:G42)&gt;SUM('DFP-Com'!$C40:G40),"error","ok")</f>
        <v>ok</v>
      </c>
      <c r="I30" s="297" t="str">
        <f>IF(SUM('DFP-CASH'!$C42:G42)&gt;SUM('DFP-Com'!$C40:G40),"error","ok")</f>
        <v>ok</v>
      </c>
      <c r="J30" s="297" t="str">
        <f>IF(SUM('DFP-CASH'!$C42:G42)&gt;SUM('DFP-Com'!$C40:G40),"error","ok")</f>
        <v>ok</v>
      </c>
      <c r="K30" s="297" t="str">
        <f>IF(SUM('DFP-CASH'!$C42:G42)&gt;SUM('DFP-Com'!$C40:G40),"error","ok")</f>
        <v>ok</v>
      </c>
      <c r="L30" s="297" t="str">
        <f>IF(SUM('DFP-CASH'!$C42:G42)&gt;SUM('DFP-Com'!$C40:G40),"error","ok")</f>
        <v>ok</v>
      </c>
      <c r="M30" s="297" t="str">
        <f>IF(SUM('DFP-CASH'!$C42:G42)&gt;SUM('DFP-Com'!$C40:G40),"error","ok")</f>
        <v>ok</v>
      </c>
      <c r="N30" s="297" t="str">
        <f>IF(SUM('DFP-CASH'!$C42:H42)&gt;SUM('DFP-Com'!$C40:H40),"error","ok")</f>
        <v>ok</v>
      </c>
      <c r="O30" s="297" t="str">
        <f>IF(SUM('DFP-CASH'!$C42:I42)&gt;SUM('DFP-Com'!$C40:I40),"error","ok")</f>
        <v>ok</v>
      </c>
      <c r="P30" s="297" t="str">
        <f>IF(SUM('DFP-CASH'!$C42:J42)&gt;SUM('DFP-Com'!$C40:J40),"error","ok")</f>
        <v>ok</v>
      </c>
      <c r="Q30" s="297" t="str">
        <f>IF(SUM('DFP-CASH'!$C42:K42)&gt;SUM('DFP-Com'!$C40:K40),"error","ok")</f>
        <v>ok</v>
      </c>
      <c r="R30" s="297" t="str">
        <f>IF(SUM('DFP-CASH'!$C42:L42)&gt;SUM('DFP-Com'!$C40:L40),"error","ok")</f>
        <v>ok</v>
      </c>
      <c r="S30" s="297" t="str">
        <f>IF(SUM('DFP-CASH'!$C42:M42)&gt;SUM('DFP-Com'!$C40:M40),"error","ok")</f>
        <v>ok</v>
      </c>
    </row>
    <row r="31" spans="1:19" x14ac:dyDescent="0.25">
      <c r="A31" s="211" t="s">
        <v>127</v>
      </c>
      <c r="B31" s="252" t="str">
        <f>IF('DFP-Com'!P41-'DFP-CASH'!P43=0,"ok","error")</f>
        <v>error</v>
      </c>
      <c r="C31" s="297" t="str">
        <f>IF(SUM('DFP-CASH'!$C43:C43)&gt;SUM('DFP-Com'!$C41:D41),"error","ok")</f>
        <v>ok</v>
      </c>
      <c r="D31" s="297" t="str">
        <f>IF(SUM('DFP-CASH'!$C43:E43)&gt;SUM('DFP-Com'!$C41:E41),"error","ok")</f>
        <v>error</v>
      </c>
      <c r="E31" s="297" t="str">
        <f>IF(SUM('DFP-CASH'!$C43:F43)&gt;SUM('DFP-Com'!$C41:F41),"error","ok")</f>
        <v>error</v>
      </c>
      <c r="F31" s="297" t="str">
        <f>IF(SUM('DFP-CASH'!$C43:G43)&gt;SUM('DFP-Com'!$C41:G41),"error","ok")</f>
        <v>error</v>
      </c>
      <c r="G31" s="297" t="str">
        <f>IF(SUM('DFP-CASH'!$C43:G43)&gt;SUM('DFP-Com'!$C41:G41),"error","ok")</f>
        <v>error</v>
      </c>
      <c r="H31" s="297" t="str">
        <f>IF(SUM('DFP-CASH'!$C43:G43)&gt;SUM('DFP-Com'!$C41:G41),"error","ok")</f>
        <v>error</v>
      </c>
      <c r="I31" s="297" t="str">
        <f>IF(SUM('DFP-CASH'!$C43:G43)&gt;SUM('DFP-Com'!$C41:G41),"error","ok")</f>
        <v>error</v>
      </c>
      <c r="J31" s="297" t="str">
        <f>IF(SUM('DFP-CASH'!$C43:G43)&gt;SUM('DFP-Com'!$C41:G41),"error","ok")</f>
        <v>error</v>
      </c>
      <c r="K31" s="297" t="str">
        <f>IF(SUM('DFP-CASH'!$C43:G43)&gt;SUM('DFP-Com'!$C41:G41),"error","ok")</f>
        <v>error</v>
      </c>
      <c r="L31" s="297" t="str">
        <f>IF(SUM('DFP-CASH'!$C43:G43)&gt;SUM('DFP-Com'!$C41:G41),"error","ok")</f>
        <v>error</v>
      </c>
      <c r="M31" s="297" t="str">
        <f>IF(SUM('DFP-CASH'!$C43:G43)&gt;SUM('DFP-Com'!$C41:G41),"error","ok")</f>
        <v>error</v>
      </c>
      <c r="N31" s="297" t="str">
        <f>IF(SUM('DFP-CASH'!$C43:H43)&gt;SUM('DFP-Com'!$C41:H41),"error","ok")</f>
        <v>error</v>
      </c>
      <c r="O31" s="297" t="str">
        <f>IF(SUM('DFP-CASH'!$C43:I43)&gt;SUM('DFP-Com'!$C41:I41),"error","ok")</f>
        <v>error</v>
      </c>
      <c r="P31" s="297" t="str">
        <f>IF(SUM('DFP-CASH'!$C43:J43)&gt;SUM('DFP-Com'!$C41:J41),"error","ok")</f>
        <v>error</v>
      </c>
      <c r="Q31" s="297" t="str">
        <f>IF(SUM('DFP-CASH'!$C43:K43)&gt;SUM('DFP-Com'!$C41:K41),"error","ok")</f>
        <v>error</v>
      </c>
      <c r="R31" s="297" t="str">
        <f>IF(SUM('DFP-CASH'!$C43:L43)&gt;SUM('DFP-Com'!$C41:L41),"error","ok")</f>
        <v>error</v>
      </c>
      <c r="S31" s="297" t="str">
        <f>IF(SUM('DFP-CASH'!$C43:M43)&gt;SUM('DFP-Com'!$C41:M41),"error","ok")</f>
        <v>error</v>
      </c>
    </row>
    <row r="32" spans="1:19" x14ac:dyDescent="0.25">
      <c r="A32" s="58" t="s">
        <v>17</v>
      </c>
      <c r="B32" s="252" t="str">
        <f>IF('DFP-Com'!P42-'DFP-CASH'!P44=0,"ok","error")</f>
        <v>error</v>
      </c>
      <c r="C32" s="297" t="str">
        <f>IF(SUM('DFP-CASH'!$C44:C44)&gt;SUM('DFP-Com'!$C42:D42),"error","ok")</f>
        <v>ok</v>
      </c>
      <c r="D32" s="297" t="str">
        <f>IF(SUM('DFP-CASH'!$C44:E44)&gt;SUM('DFP-Com'!$C42:E42),"error","ok")</f>
        <v>ok</v>
      </c>
      <c r="E32" s="297" t="str">
        <f>IF(SUM('DFP-CASH'!$C44:F44)&gt;SUM('DFP-Com'!$C42:F42),"error","ok")</f>
        <v>ok</v>
      </c>
      <c r="F32" s="297" t="str">
        <f>IF(SUM('DFP-CASH'!$C44:G44)&gt;SUM('DFP-Com'!$C42:G42),"error","ok")</f>
        <v>ok</v>
      </c>
      <c r="G32" s="297" t="str">
        <f>IF(SUM('DFP-CASH'!$C44:G44)&gt;SUM('DFP-Com'!$C42:G42),"error","ok")</f>
        <v>ok</v>
      </c>
      <c r="H32" s="297" t="str">
        <f>IF(SUM('DFP-CASH'!$C44:G44)&gt;SUM('DFP-Com'!$C42:G42),"error","ok")</f>
        <v>ok</v>
      </c>
      <c r="I32" s="297" t="str">
        <f>IF(SUM('DFP-CASH'!$C44:G44)&gt;SUM('DFP-Com'!$C42:G42),"error","ok")</f>
        <v>ok</v>
      </c>
      <c r="J32" s="297" t="str">
        <f>IF(SUM('DFP-CASH'!$C44:G44)&gt;SUM('DFP-Com'!$C42:G42),"error","ok")</f>
        <v>ok</v>
      </c>
      <c r="K32" s="297" t="str">
        <f>IF(SUM('DFP-CASH'!$C44:G44)&gt;SUM('DFP-Com'!$C42:G42),"error","ok")</f>
        <v>ok</v>
      </c>
      <c r="L32" s="297" t="str">
        <f>IF(SUM('DFP-CASH'!$C44:G44)&gt;SUM('DFP-Com'!$C42:G42),"error","ok")</f>
        <v>ok</v>
      </c>
      <c r="M32" s="297" t="str">
        <f>IF(SUM('DFP-CASH'!$C44:G44)&gt;SUM('DFP-Com'!$C42:G42),"error","ok")</f>
        <v>ok</v>
      </c>
      <c r="N32" s="297" t="str">
        <f>IF(SUM('DFP-CASH'!$C44:H44)&gt;SUM('DFP-Com'!$C42:H42),"error","ok")</f>
        <v>error</v>
      </c>
      <c r="O32" s="297" t="str">
        <f>IF(SUM('DFP-CASH'!$C44:I44)&gt;SUM('DFP-Com'!$C42:I42),"error","ok")</f>
        <v>error</v>
      </c>
      <c r="P32" s="297" t="str">
        <f>IF(SUM('DFP-CASH'!$C44:J44)&gt;SUM('DFP-Com'!$C42:J42),"error","ok")</f>
        <v>error</v>
      </c>
      <c r="Q32" s="297" t="str">
        <f>IF(SUM('DFP-CASH'!$C44:K44)&gt;SUM('DFP-Com'!$C42:K42),"error","ok")</f>
        <v>error</v>
      </c>
      <c r="R32" s="297" t="str">
        <f>IF(SUM('DFP-CASH'!$C44:L44)&gt;SUM('DFP-Com'!$C42:L42),"error","ok")</f>
        <v>error</v>
      </c>
      <c r="S32" s="297" t="str">
        <f>IF(SUM('DFP-CASH'!$C44:M44)&gt;SUM('DFP-Com'!$C42:M42),"error","ok")</f>
        <v>error</v>
      </c>
    </row>
    <row r="33" spans="1:19" x14ac:dyDescent="0.25">
      <c r="A33" s="53"/>
      <c r="B33" s="252" t="str">
        <f>IF('DFP-Com'!P43-'DFP-CASH'!P45=0,"ok","error")</f>
        <v>ok</v>
      </c>
      <c r="C33" s="297" t="str">
        <f>IF(SUM('DFP-CASH'!$C45:C45)&gt;SUM('DFP-Com'!$C43:D43),"error","ok")</f>
        <v>ok</v>
      </c>
      <c r="D33" s="297" t="str">
        <f>IF(SUM('DFP-CASH'!$C45:E45)&gt;SUM('DFP-Com'!$C43:E43),"error","ok")</f>
        <v>ok</v>
      </c>
      <c r="E33" s="297" t="str">
        <f>IF(SUM('DFP-CASH'!$C45:F45)&gt;SUM('DFP-Com'!$C43:F43),"error","ok")</f>
        <v>ok</v>
      </c>
      <c r="F33" s="297" t="str">
        <f>IF(SUM('DFP-CASH'!$C45:G45)&gt;SUM('DFP-Com'!$C43:G43),"error","ok")</f>
        <v>ok</v>
      </c>
      <c r="G33" s="297" t="str">
        <f>IF(SUM('DFP-CASH'!$C45:G45)&gt;SUM('DFP-Com'!$C43:G43),"error","ok")</f>
        <v>ok</v>
      </c>
      <c r="H33" s="297" t="str">
        <f>IF(SUM('DFP-CASH'!$C45:G45)&gt;SUM('DFP-Com'!$C43:G43),"error","ok")</f>
        <v>ok</v>
      </c>
      <c r="I33" s="297" t="str">
        <f>IF(SUM('DFP-CASH'!$C45:G45)&gt;SUM('DFP-Com'!$C43:G43),"error","ok")</f>
        <v>ok</v>
      </c>
      <c r="J33" s="297" t="str">
        <f>IF(SUM('DFP-CASH'!$C45:G45)&gt;SUM('DFP-Com'!$C43:G43),"error","ok")</f>
        <v>ok</v>
      </c>
      <c r="K33" s="297" t="str">
        <f>IF(SUM('DFP-CASH'!$C45:G45)&gt;SUM('DFP-Com'!$C43:G43),"error","ok")</f>
        <v>ok</v>
      </c>
      <c r="L33" s="297" t="str">
        <f>IF(SUM('DFP-CASH'!$C45:G45)&gt;SUM('DFP-Com'!$C43:G43),"error","ok")</f>
        <v>ok</v>
      </c>
      <c r="M33" s="297" t="str">
        <f>IF(SUM('DFP-CASH'!$C45:G45)&gt;SUM('DFP-Com'!$C43:G43),"error","ok")</f>
        <v>ok</v>
      </c>
      <c r="N33" s="297" t="str">
        <f>IF(SUM('DFP-CASH'!$C45:H45)&gt;SUM('DFP-Com'!$C43:H43),"error","ok")</f>
        <v>ok</v>
      </c>
      <c r="O33" s="297" t="str">
        <f>IF(SUM('DFP-CASH'!$C45:I45)&gt;SUM('DFP-Com'!$C43:I43),"error","ok")</f>
        <v>ok</v>
      </c>
      <c r="P33" s="297" t="str">
        <f>IF(SUM('DFP-CASH'!$C45:J45)&gt;SUM('DFP-Com'!$C43:J43),"error","ok")</f>
        <v>ok</v>
      </c>
      <c r="Q33" s="297" t="str">
        <f>IF(SUM('DFP-CASH'!$C45:K45)&gt;SUM('DFP-Com'!$C43:K43),"error","ok")</f>
        <v>ok</v>
      </c>
      <c r="R33" s="297" t="str">
        <f>IF(SUM('DFP-CASH'!$C45:L45)&gt;SUM('DFP-Com'!$C43:L43),"error","ok")</f>
        <v>ok</v>
      </c>
      <c r="S33" s="297" t="str">
        <f>IF(SUM('DFP-CASH'!$C45:M45)&gt;SUM('DFP-Com'!$C43:M43),"error","ok")</f>
        <v>ok</v>
      </c>
    </row>
    <row r="34" spans="1:19" x14ac:dyDescent="0.25">
      <c r="A34" s="44" t="s">
        <v>84</v>
      </c>
      <c r="B34" s="252" t="str">
        <f>IF('DFP-Com'!P44-'DFP-CASH'!P46=0,"ok","error")</f>
        <v>ok</v>
      </c>
      <c r="C34" s="297" t="str">
        <f>IF(SUM('DFP-CASH'!$C46:C46)&gt;SUM('DFP-Com'!$C44:D44),"error","ok")</f>
        <v>ok</v>
      </c>
      <c r="D34" s="297" t="str">
        <f>IF(SUM('DFP-CASH'!$C46:E46)&gt;SUM('DFP-Com'!$C44:E44),"error","ok")</f>
        <v>ok</v>
      </c>
      <c r="E34" s="297" t="str">
        <f>IF(SUM('DFP-CASH'!$C46:F46)&gt;SUM('DFP-Com'!$C44:F44),"error","ok")</f>
        <v>ok</v>
      </c>
      <c r="F34" s="297" t="str">
        <f>IF(SUM('DFP-CASH'!$C46:G46)&gt;SUM('DFP-Com'!$C44:G44),"error","ok")</f>
        <v>ok</v>
      </c>
      <c r="G34" s="297" t="str">
        <f>IF(SUM('DFP-CASH'!$C46:G46)&gt;SUM('DFP-Com'!$C44:G44),"error","ok")</f>
        <v>ok</v>
      </c>
      <c r="H34" s="297" t="str">
        <f>IF(SUM('DFP-CASH'!$C46:G46)&gt;SUM('DFP-Com'!$C44:G44),"error","ok")</f>
        <v>ok</v>
      </c>
      <c r="I34" s="297" t="str">
        <f>IF(SUM('DFP-CASH'!$C46:G46)&gt;SUM('DFP-Com'!$C44:G44),"error","ok")</f>
        <v>ok</v>
      </c>
      <c r="J34" s="297" t="str">
        <f>IF(SUM('DFP-CASH'!$C46:G46)&gt;SUM('DFP-Com'!$C44:G44),"error","ok")</f>
        <v>ok</v>
      </c>
      <c r="K34" s="297" t="str">
        <f>IF(SUM('DFP-CASH'!$C46:G46)&gt;SUM('DFP-Com'!$C44:G44),"error","ok")</f>
        <v>ok</v>
      </c>
      <c r="L34" s="297" t="str">
        <f>IF(SUM('DFP-CASH'!$C46:G46)&gt;SUM('DFP-Com'!$C44:G44),"error","ok")</f>
        <v>ok</v>
      </c>
      <c r="M34" s="297" t="str">
        <f>IF(SUM('DFP-CASH'!$C46:G46)&gt;SUM('DFP-Com'!$C44:G44),"error","ok")</f>
        <v>ok</v>
      </c>
      <c r="N34" s="297" t="str">
        <f>IF(SUM('DFP-CASH'!$C46:H46)&gt;SUM('DFP-Com'!$C44:H44),"error","ok")</f>
        <v>ok</v>
      </c>
      <c r="O34" s="297" t="str">
        <f>IF(SUM('DFP-CASH'!$C46:I46)&gt;SUM('DFP-Com'!$C44:I44),"error","ok")</f>
        <v>ok</v>
      </c>
      <c r="P34" s="297" t="str">
        <f>IF(SUM('DFP-CASH'!$C46:J46)&gt;SUM('DFP-Com'!$C44:J44),"error","ok")</f>
        <v>ok</v>
      </c>
      <c r="Q34" s="297" t="str">
        <f>IF(SUM('DFP-CASH'!$C46:K46)&gt;SUM('DFP-Com'!$C44:K44),"error","ok")</f>
        <v>ok</v>
      </c>
      <c r="R34" s="297" t="str">
        <f>IF(SUM('DFP-CASH'!$C46:L46)&gt;SUM('DFP-Com'!$C44:L44),"error","ok")</f>
        <v>ok</v>
      </c>
      <c r="S34" s="297" t="str">
        <f>IF(SUM('DFP-CASH'!$C46:M46)&gt;SUM('DFP-Com'!$C44:M44),"error","ok")</f>
        <v>ok</v>
      </c>
    </row>
    <row r="35" spans="1:19" x14ac:dyDescent="0.25">
      <c r="A35" s="65" t="s">
        <v>94</v>
      </c>
      <c r="B35" s="252" t="str">
        <f>IF('DFP-Com'!P45-'DFP-CASH'!P47=0,"ok","error")</f>
        <v>error</v>
      </c>
      <c r="C35" s="297" t="str">
        <f>IF(SUM('DFP-CASH'!$C47:C47)&gt;SUM('DFP-Com'!$C45:D45),"error","ok")</f>
        <v>ok</v>
      </c>
      <c r="D35" s="297" t="str">
        <f>IF(SUM('DFP-CASH'!$C47:E47)&gt;SUM('DFP-Com'!$C45:E45),"error","ok")</f>
        <v>ok</v>
      </c>
      <c r="E35" s="297" t="str">
        <f>IF(SUM('DFP-CASH'!$C47:F47)&gt;SUM('DFP-Com'!$C45:F45),"error","ok")</f>
        <v>ok</v>
      </c>
      <c r="F35" s="297" t="str">
        <f>IF(SUM('DFP-CASH'!$C47:G47)&gt;SUM('DFP-Com'!$C45:G45),"error","ok")</f>
        <v>ok</v>
      </c>
      <c r="G35" s="297" t="str">
        <f>IF(SUM('DFP-CASH'!$C47:G47)&gt;SUM('DFP-Com'!$C45:G45),"error","ok")</f>
        <v>ok</v>
      </c>
      <c r="H35" s="297" t="str">
        <f>IF(SUM('DFP-CASH'!$C47:G47)&gt;SUM('DFP-Com'!$C45:G45),"error","ok")</f>
        <v>ok</v>
      </c>
      <c r="I35" s="297" t="str">
        <f>IF(SUM('DFP-CASH'!$C47:G47)&gt;SUM('DFP-Com'!$C45:G45),"error","ok")</f>
        <v>ok</v>
      </c>
      <c r="J35" s="297" t="str">
        <f>IF(SUM('DFP-CASH'!$C47:G47)&gt;SUM('DFP-Com'!$C45:G45),"error","ok")</f>
        <v>ok</v>
      </c>
      <c r="K35" s="297" t="str">
        <f>IF(SUM('DFP-CASH'!$C47:G47)&gt;SUM('DFP-Com'!$C45:G45),"error","ok")</f>
        <v>ok</v>
      </c>
      <c r="L35" s="297" t="str">
        <f>IF(SUM('DFP-CASH'!$C47:G47)&gt;SUM('DFP-Com'!$C45:G45),"error","ok")</f>
        <v>ok</v>
      </c>
      <c r="M35" s="297" t="str">
        <f>IF(SUM('DFP-CASH'!$C47:G47)&gt;SUM('DFP-Com'!$C45:G45),"error","ok")</f>
        <v>ok</v>
      </c>
      <c r="N35" s="297" t="str">
        <f>IF(SUM('DFP-CASH'!$C47:H47)&gt;SUM('DFP-Com'!$C45:H45),"error","ok")</f>
        <v>ok</v>
      </c>
      <c r="O35" s="297" t="str">
        <f>IF(SUM('DFP-CASH'!$C47:I47)&gt;SUM('DFP-Com'!$C45:I45),"error","ok")</f>
        <v>ok</v>
      </c>
      <c r="P35" s="297" t="str">
        <f>IF(SUM('DFP-CASH'!$C47:J47)&gt;SUM('DFP-Com'!$C45:J45),"error","ok")</f>
        <v>ok</v>
      </c>
      <c r="Q35" s="297" t="str">
        <f>IF(SUM('DFP-CASH'!$C47:K47)&gt;SUM('DFP-Com'!$C45:K45),"error","ok")</f>
        <v>ok</v>
      </c>
      <c r="R35" s="297" t="str">
        <f>IF(SUM('DFP-CASH'!$C47:L47)&gt;SUM('DFP-Com'!$C45:L45),"error","ok")</f>
        <v>ok</v>
      </c>
      <c r="S35" s="297" t="str">
        <f>IF(SUM('DFP-CASH'!$C47:M47)&gt;SUM('DFP-Com'!$C45:M45),"error","ok")</f>
        <v>ok</v>
      </c>
    </row>
    <row r="36" spans="1:19" x14ac:dyDescent="0.25">
      <c r="A36" s="215" t="s">
        <v>137</v>
      </c>
      <c r="B36" s="252" t="str">
        <f>IF('DFP-Com'!P46-'DFP-CASH'!P48=0,"ok","error")</f>
        <v>ok</v>
      </c>
      <c r="C36" s="297" t="str">
        <f>IF(SUM('DFP-CASH'!$C48:C48)&gt;SUM('DFP-Com'!$C46:D46),"error","ok")</f>
        <v>ok</v>
      </c>
      <c r="D36" s="297" t="str">
        <f>IF(SUM('DFP-CASH'!$C48:E48)&gt;SUM('DFP-Com'!$C46:E46),"error","ok")</f>
        <v>ok</v>
      </c>
      <c r="E36" s="297" t="str">
        <f>IF(SUM('DFP-CASH'!$C48:F48)&gt;SUM('DFP-Com'!$C46:F46),"error","ok")</f>
        <v>ok</v>
      </c>
      <c r="F36" s="297" t="str">
        <f>IF(SUM('DFP-CASH'!$C48:G48)&gt;SUM('DFP-Com'!$C46:G46),"error","ok")</f>
        <v>ok</v>
      </c>
      <c r="G36" s="297" t="str">
        <f>IF(SUM('DFP-CASH'!$C48:G48)&gt;SUM('DFP-Com'!$C46:G46),"error","ok")</f>
        <v>ok</v>
      </c>
      <c r="H36" s="297" t="str">
        <f>IF(SUM('DFP-CASH'!$C48:G48)&gt;SUM('DFP-Com'!$C46:G46),"error","ok")</f>
        <v>ok</v>
      </c>
      <c r="I36" s="297" t="str">
        <f>IF(SUM('DFP-CASH'!$C48:G48)&gt;SUM('DFP-Com'!$C46:G46),"error","ok")</f>
        <v>ok</v>
      </c>
      <c r="J36" s="297" t="str">
        <f>IF(SUM('DFP-CASH'!$C48:G48)&gt;SUM('DFP-Com'!$C46:G46),"error","ok")</f>
        <v>ok</v>
      </c>
      <c r="K36" s="297" t="str">
        <f>IF(SUM('DFP-CASH'!$C48:G48)&gt;SUM('DFP-Com'!$C46:G46),"error","ok")</f>
        <v>ok</v>
      </c>
      <c r="L36" s="297" t="str">
        <f>IF(SUM('DFP-CASH'!$C48:G48)&gt;SUM('DFP-Com'!$C46:G46),"error","ok")</f>
        <v>ok</v>
      </c>
      <c r="M36" s="297" t="str">
        <f>IF(SUM('DFP-CASH'!$C48:G48)&gt;SUM('DFP-Com'!$C46:G46),"error","ok")</f>
        <v>ok</v>
      </c>
      <c r="N36" s="297" t="str">
        <f>IF(SUM('DFP-CASH'!$C48:H48)&gt;SUM('DFP-Com'!$C46:H46),"error","ok")</f>
        <v>ok</v>
      </c>
      <c r="O36" s="297" t="str">
        <f>IF(SUM('DFP-CASH'!$C48:I48)&gt;SUM('DFP-Com'!$C46:I46),"error","ok")</f>
        <v>ok</v>
      </c>
      <c r="P36" s="297" t="str">
        <f>IF(SUM('DFP-CASH'!$C48:J48)&gt;SUM('DFP-Com'!$C46:J46),"error","ok")</f>
        <v>ok</v>
      </c>
      <c r="Q36" s="297" t="str">
        <f>IF(SUM('DFP-CASH'!$C48:K48)&gt;SUM('DFP-Com'!$C46:K46),"error","ok")</f>
        <v>ok</v>
      </c>
      <c r="R36" s="297" t="str">
        <f>IF(SUM('DFP-CASH'!$C48:L48)&gt;SUM('DFP-Com'!$C46:L46),"error","ok")</f>
        <v>ok</v>
      </c>
      <c r="S36" s="297" t="str">
        <f>IF(SUM('DFP-CASH'!$C48:M48)&gt;SUM('DFP-Com'!$C46:M46),"error","ok")</f>
        <v>ok</v>
      </c>
    </row>
    <row r="37" spans="1:19" x14ac:dyDescent="0.25">
      <c r="A37" s="215" t="s">
        <v>138</v>
      </c>
      <c r="B37" s="252" t="str">
        <f>IF('DFP-Com'!P47-'DFP-CASH'!P49=0,"ok","error")</f>
        <v>error</v>
      </c>
      <c r="C37" s="297" t="str">
        <f>IF(SUM('DFP-CASH'!$C49:C49)&gt;SUM('DFP-Com'!$C47:D47),"error","ok")</f>
        <v>ok</v>
      </c>
      <c r="D37" s="297" t="str">
        <f>IF(SUM('DFP-CASH'!$C49:E49)&gt;SUM('DFP-Com'!$C47:E47),"error","ok")</f>
        <v>error</v>
      </c>
      <c r="E37" s="297" t="str">
        <f>IF(SUM('DFP-CASH'!$C49:F49)&gt;SUM('DFP-Com'!$C47:F47),"error","ok")</f>
        <v>error</v>
      </c>
      <c r="F37" s="297" t="str">
        <f>IF(SUM('DFP-CASH'!$C49:G49)&gt;SUM('DFP-Com'!$C47:G47),"error","ok")</f>
        <v>ok</v>
      </c>
      <c r="G37" s="297" t="str">
        <f>IF(SUM('DFP-CASH'!$C49:G49)&gt;SUM('DFP-Com'!$C47:G47),"error","ok")</f>
        <v>ok</v>
      </c>
      <c r="H37" s="297" t="str">
        <f>IF(SUM('DFP-CASH'!$C49:G49)&gt;SUM('DFP-Com'!$C47:G47),"error","ok")</f>
        <v>ok</v>
      </c>
      <c r="I37" s="297" t="str">
        <f>IF(SUM('DFP-CASH'!$C49:G49)&gt;SUM('DFP-Com'!$C47:G47),"error","ok")</f>
        <v>ok</v>
      </c>
      <c r="J37" s="297" t="str">
        <f>IF(SUM('DFP-CASH'!$C49:G49)&gt;SUM('DFP-Com'!$C47:G47),"error","ok")</f>
        <v>ok</v>
      </c>
      <c r="K37" s="297" t="str">
        <f>IF(SUM('DFP-CASH'!$C49:G49)&gt;SUM('DFP-Com'!$C47:G47),"error","ok")</f>
        <v>ok</v>
      </c>
      <c r="L37" s="297" t="str">
        <f>IF(SUM('DFP-CASH'!$C49:G49)&gt;SUM('DFP-Com'!$C47:G47),"error","ok")</f>
        <v>ok</v>
      </c>
      <c r="M37" s="297" t="str">
        <f>IF(SUM('DFP-CASH'!$C49:G49)&gt;SUM('DFP-Com'!$C47:G47),"error","ok")</f>
        <v>ok</v>
      </c>
      <c r="N37" s="297" t="str">
        <f>IF(SUM('DFP-CASH'!$C49:H49)&gt;SUM('DFP-Com'!$C47:H47),"error","ok")</f>
        <v>ok</v>
      </c>
      <c r="O37" s="297" t="str">
        <f>IF(SUM('DFP-CASH'!$C49:I49)&gt;SUM('DFP-Com'!$C47:I47),"error","ok")</f>
        <v>ok</v>
      </c>
      <c r="P37" s="297" t="str">
        <f>IF(SUM('DFP-CASH'!$C49:J49)&gt;SUM('DFP-Com'!$C47:J47),"error","ok")</f>
        <v>ok</v>
      </c>
      <c r="Q37" s="297" t="str">
        <f>IF(SUM('DFP-CASH'!$C49:K49)&gt;SUM('DFP-Com'!$C47:K47),"error","ok")</f>
        <v>ok</v>
      </c>
      <c r="R37" s="297" t="str">
        <f>IF(SUM('DFP-CASH'!$C49:L49)&gt;SUM('DFP-Com'!$C47:L47),"error","ok")</f>
        <v>ok</v>
      </c>
      <c r="S37" s="297" t="str">
        <f>IF(SUM('DFP-CASH'!$C49:M49)&gt;SUM('DFP-Com'!$C47:M47),"error","ok")</f>
        <v>ok</v>
      </c>
    </row>
    <row r="38" spans="1:19" x14ac:dyDescent="0.25">
      <c r="A38" s="215" t="s">
        <v>139</v>
      </c>
      <c r="B38" s="252" t="str">
        <f>IF('DFP-Com'!P48-'DFP-CASH'!P50=0,"ok","error")</f>
        <v>error</v>
      </c>
      <c r="C38" s="297" t="str">
        <f>IF(SUM('DFP-CASH'!$C50:C50)&gt;SUM('DFP-Com'!$C48:D48),"error","ok")</f>
        <v>ok</v>
      </c>
      <c r="D38" s="297" t="str">
        <f>IF(SUM('DFP-CASH'!$C50:E50)&gt;SUM('DFP-Com'!$C48:E48),"error","ok")</f>
        <v>ok</v>
      </c>
      <c r="E38" s="297" t="str">
        <f>IF(SUM('DFP-CASH'!$C50:F50)&gt;SUM('DFP-Com'!$C48:F48),"error","ok")</f>
        <v>ok</v>
      </c>
      <c r="F38" s="297" t="str">
        <f>IF(SUM('DFP-CASH'!$C50:G50)&gt;SUM('DFP-Com'!$C48:G48),"error","ok")</f>
        <v>ok</v>
      </c>
      <c r="G38" s="297" t="str">
        <f>IF(SUM('DFP-CASH'!$C50:G50)&gt;SUM('DFP-Com'!$C48:G48),"error","ok")</f>
        <v>ok</v>
      </c>
      <c r="H38" s="297" t="str">
        <f>IF(SUM('DFP-CASH'!$C50:G50)&gt;SUM('DFP-Com'!$C48:G48),"error","ok")</f>
        <v>ok</v>
      </c>
      <c r="I38" s="297" t="str">
        <f>IF(SUM('DFP-CASH'!$C50:G50)&gt;SUM('DFP-Com'!$C48:G48),"error","ok")</f>
        <v>ok</v>
      </c>
      <c r="J38" s="297" t="str">
        <f>IF(SUM('DFP-CASH'!$C50:G50)&gt;SUM('DFP-Com'!$C48:G48),"error","ok")</f>
        <v>ok</v>
      </c>
      <c r="K38" s="297" t="str">
        <f>IF(SUM('DFP-CASH'!$C50:G50)&gt;SUM('DFP-Com'!$C48:G48),"error","ok")</f>
        <v>ok</v>
      </c>
      <c r="L38" s="297" t="str">
        <f>IF(SUM('DFP-CASH'!$C50:G50)&gt;SUM('DFP-Com'!$C48:G48),"error","ok")</f>
        <v>ok</v>
      </c>
      <c r="M38" s="297" t="str">
        <f>IF(SUM('DFP-CASH'!$C50:G50)&gt;SUM('DFP-Com'!$C48:G48),"error","ok")</f>
        <v>ok</v>
      </c>
      <c r="N38" s="297" t="str">
        <f>IF(SUM('DFP-CASH'!$C50:H50)&gt;SUM('DFP-Com'!$C48:H48),"error","ok")</f>
        <v>ok</v>
      </c>
      <c r="O38" s="297" t="str">
        <f>IF(SUM('DFP-CASH'!$C50:I50)&gt;SUM('DFP-Com'!$C48:I48),"error","ok")</f>
        <v>ok</v>
      </c>
      <c r="P38" s="297" t="str">
        <f>IF(SUM('DFP-CASH'!$C50:J50)&gt;SUM('DFP-Com'!$C48:J48),"error","ok")</f>
        <v>ok</v>
      </c>
      <c r="Q38" s="297" t="str">
        <f>IF(SUM('DFP-CASH'!$C50:K50)&gt;SUM('DFP-Com'!$C48:K48),"error","ok")</f>
        <v>ok</v>
      </c>
      <c r="R38" s="297" t="str">
        <f>IF(SUM('DFP-CASH'!$C50:L50)&gt;SUM('DFP-Com'!$C48:L48),"error","ok")</f>
        <v>ok</v>
      </c>
      <c r="S38" s="297" t="str">
        <f>IF(SUM('DFP-CASH'!$C50:M50)&gt;SUM('DFP-Com'!$C48:M48),"error","ok")</f>
        <v>ok</v>
      </c>
    </row>
    <row r="39" spans="1:19" x14ac:dyDescent="0.25">
      <c r="A39" s="215" t="s">
        <v>140</v>
      </c>
      <c r="B39" s="252" t="str">
        <f>IF('DFP-Com'!P49-'DFP-CASH'!P51=0,"ok","error")</f>
        <v>error</v>
      </c>
      <c r="C39" s="297" t="str">
        <f>IF(SUM('DFP-CASH'!$C51:C51)&gt;SUM('DFP-Com'!$C49:D49),"error","ok")</f>
        <v>ok</v>
      </c>
      <c r="D39" s="297" t="str">
        <f>IF(SUM('DFP-CASH'!$C51:E51)&gt;SUM('DFP-Com'!$C49:E49),"error","ok")</f>
        <v>ok</v>
      </c>
      <c r="E39" s="297" t="str">
        <f>IF(SUM('DFP-CASH'!$C51:F51)&gt;SUM('DFP-Com'!$C49:F49),"error","ok")</f>
        <v>ok</v>
      </c>
      <c r="F39" s="297" t="str">
        <f>IF(SUM('DFP-CASH'!$C51:G51)&gt;SUM('DFP-Com'!$C49:G49),"error","ok")</f>
        <v>error</v>
      </c>
      <c r="G39" s="297" t="str">
        <f>IF(SUM('DFP-CASH'!$C51:G51)&gt;SUM('DFP-Com'!$C49:G49),"error","ok")</f>
        <v>error</v>
      </c>
      <c r="H39" s="297" t="str">
        <f>IF(SUM('DFP-CASH'!$C51:G51)&gt;SUM('DFP-Com'!$C49:G49),"error","ok")</f>
        <v>error</v>
      </c>
      <c r="I39" s="297" t="str">
        <f>IF(SUM('DFP-CASH'!$C51:G51)&gt;SUM('DFP-Com'!$C49:G49),"error","ok")</f>
        <v>error</v>
      </c>
      <c r="J39" s="297" t="str">
        <f>IF(SUM('DFP-CASH'!$C51:G51)&gt;SUM('DFP-Com'!$C49:G49),"error","ok")</f>
        <v>error</v>
      </c>
      <c r="K39" s="297" t="str">
        <f>IF(SUM('DFP-CASH'!$C51:G51)&gt;SUM('DFP-Com'!$C49:G49),"error","ok")</f>
        <v>error</v>
      </c>
      <c r="L39" s="297" t="str">
        <f>IF(SUM('DFP-CASH'!$C51:G51)&gt;SUM('DFP-Com'!$C49:G49),"error","ok")</f>
        <v>error</v>
      </c>
      <c r="M39" s="297" t="str">
        <f>IF(SUM('DFP-CASH'!$C51:G51)&gt;SUM('DFP-Com'!$C49:G49),"error","ok")</f>
        <v>error</v>
      </c>
      <c r="N39" s="297" t="str">
        <f>IF(SUM('DFP-CASH'!$C51:H51)&gt;SUM('DFP-Com'!$C49:H49),"error","ok")</f>
        <v>error</v>
      </c>
      <c r="O39" s="297" t="str">
        <f>IF(SUM('DFP-CASH'!$C51:I51)&gt;SUM('DFP-Com'!$C49:I49),"error","ok")</f>
        <v>error</v>
      </c>
      <c r="P39" s="297" t="str">
        <f>IF(SUM('DFP-CASH'!$C51:J51)&gt;SUM('DFP-Com'!$C49:J49),"error","ok")</f>
        <v>error</v>
      </c>
      <c r="Q39" s="297" t="str">
        <f>IF(SUM('DFP-CASH'!$C51:K51)&gt;SUM('DFP-Com'!$C49:K49),"error","ok")</f>
        <v>error</v>
      </c>
      <c r="R39" s="297" t="str">
        <f>IF(SUM('DFP-CASH'!$C51:L51)&gt;SUM('DFP-Com'!$C49:L49),"error","ok")</f>
        <v>error</v>
      </c>
      <c r="S39" s="297" t="str">
        <f>IF(SUM('DFP-CASH'!$C51:M51)&gt;SUM('DFP-Com'!$C49:M49),"error","ok")</f>
        <v>error</v>
      </c>
    </row>
    <row r="40" spans="1:19" x14ac:dyDescent="0.25">
      <c r="A40" s="66" t="s">
        <v>93</v>
      </c>
      <c r="B40" s="252" t="str">
        <f>IF('DFP-Com'!P50-'DFP-CASH'!P52=0,"ok","error")</f>
        <v>error</v>
      </c>
      <c r="C40" s="297" t="str">
        <f>IF(SUM('DFP-CASH'!$C52:C52)&gt;SUM('DFP-Com'!$C50:D50),"error","ok")</f>
        <v>ok</v>
      </c>
      <c r="D40" s="297" t="str">
        <f>IF(SUM('DFP-CASH'!$C52:E52)&gt;SUM('DFP-Com'!$C50:E50),"error","ok")</f>
        <v>ok</v>
      </c>
      <c r="E40" s="297" t="str">
        <f>IF(SUM('DFP-CASH'!$C52:F52)&gt;SUM('DFP-Com'!$C50:F50),"error","ok")</f>
        <v>ok</v>
      </c>
      <c r="F40" s="297" t="str">
        <f>IF(SUM('DFP-CASH'!$C52:G52)&gt;SUM('DFP-Com'!$C50:G50),"error","ok")</f>
        <v>ok</v>
      </c>
      <c r="G40" s="297" t="str">
        <f>IF(SUM('DFP-CASH'!$C52:G52)&gt;SUM('DFP-Com'!$C50:G50),"error","ok")</f>
        <v>ok</v>
      </c>
      <c r="H40" s="297" t="str">
        <f>IF(SUM('DFP-CASH'!$C52:G52)&gt;SUM('DFP-Com'!$C50:G50),"error","ok")</f>
        <v>ok</v>
      </c>
      <c r="I40" s="297" t="str">
        <f>IF(SUM('DFP-CASH'!$C52:G52)&gt;SUM('DFP-Com'!$C50:G50),"error","ok")</f>
        <v>ok</v>
      </c>
      <c r="J40" s="297" t="str">
        <f>IF(SUM('DFP-CASH'!$C52:G52)&gt;SUM('DFP-Com'!$C50:G50),"error","ok")</f>
        <v>ok</v>
      </c>
      <c r="K40" s="297" t="str">
        <f>IF(SUM('DFP-CASH'!$C52:G52)&gt;SUM('DFP-Com'!$C50:G50),"error","ok")</f>
        <v>ok</v>
      </c>
      <c r="L40" s="297" t="str">
        <f>IF(SUM('DFP-CASH'!$C52:G52)&gt;SUM('DFP-Com'!$C50:G50),"error","ok")</f>
        <v>ok</v>
      </c>
      <c r="M40" s="297" t="str">
        <f>IF(SUM('DFP-CASH'!$C52:G52)&gt;SUM('DFP-Com'!$C50:G50),"error","ok")</f>
        <v>ok</v>
      </c>
      <c r="N40" s="297" t="str">
        <f>IF(SUM('DFP-CASH'!$C52:H52)&gt;SUM('DFP-Com'!$C50:H50),"error","ok")</f>
        <v>ok</v>
      </c>
      <c r="O40" s="297" t="str">
        <f>IF(SUM('DFP-CASH'!$C52:I52)&gt;SUM('DFP-Com'!$C50:I50),"error","ok")</f>
        <v>ok</v>
      </c>
      <c r="P40" s="297" t="str">
        <f>IF(SUM('DFP-CASH'!$C52:J52)&gt;SUM('DFP-Com'!$C50:J50),"error","ok")</f>
        <v>ok</v>
      </c>
      <c r="Q40" s="297" t="str">
        <f>IF(SUM('DFP-CASH'!$C52:K52)&gt;SUM('DFP-Com'!$C50:K50),"error","ok")</f>
        <v>ok</v>
      </c>
      <c r="R40" s="297" t="str">
        <f>IF(SUM('DFP-CASH'!$C52:L52)&gt;SUM('DFP-Com'!$C50:L50),"error","ok")</f>
        <v>ok</v>
      </c>
      <c r="S40" s="297" t="str">
        <f>IF(SUM('DFP-CASH'!$C52:M52)&gt;SUM('DFP-Com'!$C50:M50),"error","ok")</f>
        <v>ok</v>
      </c>
    </row>
    <row r="41" spans="1:19" x14ac:dyDescent="0.25">
      <c r="A41" s="53"/>
      <c r="B41" s="252" t="str">
        <f>IF('DFP-Com'!P51-'DFP-CASH'!P53=0,"ok","error")</f>
        <v>ok</v>
      </c>
      <c r="C41" s="297" t="str">
        <f>IF(SUM('DFP-CASH'!$C53:C53)&gt;SUM('DFP-Com'!$C51:D51),"error","ok")</f>
        <v>ok</v>
      </c>
      <c r="D41" s="297" t="str">
        <f>IF(SUM('DFP-CASH'!$C53:E53)&gt;SUM('DFP-Com'!$C51:E51),"error","ok")</f>
        <v>ok</v>
      </c>
      <c r="E41" s="297" t="str">
        <f>IF(SUM('DFP-CASH'!$C53:F53)&gt;SUM('DFP-Com'!$C51:F51),"error","ok")</f>
        <v>ok</v>
      </c>
      <c r="F41" s="297" t="str">
        <f>IF(SUM('DFP-CASH'!$C53:G53)&gt;SUM('DFP-Com'!$C51:G51),"error","ok")</f>
        <v>ok</v>
      </c>
      <c r="G41" s="297" t="str">
        <f>IF(SUM('DFP-CASH'!$C53:G53)&gt;SUM('DFP-Com'!$C51:G51),"error","ok")</f>
        <v>ok</v>
      </c>
      <c r="H41" s="297" t="str">
        <f>IF(SUM('DFP-CASH'!$C53:G53)&gt;SUM('DFP-Com'!$C51:G51),"error","ok")</f>
        <v>ok</v>
      </c>
      <c r="I41" s="297" t="str">
        <f>IF(SUM('DFP-CASH'!$C53:G53)&gt;SUM('DFP-Com'!$C51:G51),"error","ok")</f>
        <v>ok</v>
      </c>
      <c r="J41" s="297" t="str">
        <f>IF(SUM('DFP-CASH'!$C53:G53)&gt;SUM('DFP-Com'!$C51:G51),"error","ok")</f>
        <v>ok</v>
      </c>
      <c r="K41" s="297" t="str">
        <f>IF(SUM('DFP-CASH'!$C53:G53)&gt;SUM('DFP-Com'!$C51:G51),"error","ok")</f>
        <v>ok</v>
      </c>
      <c r="L41" s="297" t="str">
        <f>IF(SUM('DFP-CASH'!$C53:G53)&gt;SUM('DFP-Com'!$C51:G51),"error","ok")</f>
        <v>ok</v>
      </c>
      <c r="M41" s="297" t="str">
        <f>IF(SUM('DFP-CASH'!$C53:G53)&gt;SUM('DFP-Com'!$C51:G51),"error","ok")</f>
        <v>ok</v>
      </c>
      <c r="N41" s="297" t="str">
        <f>IF(SUM('DFP-CASH'!$C53:H53)&gt;SUM('DFP-Com'!$C51:H51),"error","ok")</f>
        <v>ok</v>
      </c>
      <c r="O41" s="297" t="str">
        <f>IF(SUM('DFP-CASH'!$C53:I53)&gt;SUM('DFP-Com'!$C51:I51),"error","ok")</f>
        <v>ok</v>
      </c>
      <c r="P41" s="297" t="str">
        <f>IF(SUM('DFP-CASH'!$C53:J53)&gt;SUM('DFP-Com'!$C51:J51),"error","ok")</f>
        <v>ok</v>
      </c>
      <c r="Q41" s="297" t="str">
        <f>IF(SUM('DFP-CASH'!$C53:K53)&gt;SUM('DFP-Com'!$C51:K51),"error","ok")</f>
        <v>ok</v>
      </c>
      <c r="R41" s="297" t="str">
        <f>IF(SUM('DFP-CASH'!$C53:L53)&gt;SUM('DFP-Com'!$C51:L51),"error","ok")</f>
        <v>ok</v>
      </c>
      <c r="S41" s="297" t="str">
        <f>IF(SUM('DFP-CASH'!$C53:M53)&gt;SUM('DFP-Com'!$C51:M51),"error","ok")</f>
        <v>ok</v>
      </c>
    </row>
    <row r="42" spans="1:19" ht="16.5" x14ac:dyDescent="0.25">
      <c r="A42" s="228"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4" sqref="A4"/>
    </sheetView>
  </sheetViews>
  <sheetFormatPr baseColWidth="10" defaultRowHeight="15" x14ac:dyDescent="0.25"/>
  <sheetData>
    <row r="2" spans="1:1" x14ac:dyDescent="0.25">
      <c r="A2" t="s">
        <v>282</v>
      </c>
    </row>
    <row r="3" spans="1:1" x14ac:dyDescent="0.25">
      <c r="A3" t="s">
        <v>283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97"/>
    <col min="2" max="2" width="30.5703125" style="297" customWidth="1"/>
    <col min="3" max="3" width="51.42578125" style="297" customWidth="1"/>
    <col min="4" max="4" width="14" style="297" customWidth="1"/>
    <col min="5" max="5" width="13.140625" style="297" customWidth="1"/>
    <col min="6" max="6" width="12.42578125" style="297" customWidth="1"/>
    <col min="7" max="7" width="10.42578125" style="297" customWidth="1"/>
    <col min="8" max="8" width="10.42578125" style="314" customWidth="1"/>
    <col min="9" max="21" width="10.42578125" style="297" customWidth="1"/>
    <col min="22" max="23" width="14" style="297" customWidth="1"/>
    <col min="24" max="24" width="11" style="297" customWidth="1"/>
    <col min="25" max="34" width="10.42578125" style="297" customWidth="1"/>
    <col min="35" max="35" width="12.42578125" style="297" customWidth="1"/>
    <col min="36" max="37" width="10.42578125" style="297" customWidth="1"/>
    <col min="38" max="38" width="12.5703125" style="297" customWidth="1"/>
    <col min="39" max="39" width="8.85546875" style="297"/>
    <col min="40" max="41" width="11.42578125" style="297" customWidth="1"/>
    <col min="42" max="42" width="12.140625" style="297" customWidth="1"/>
    <col min="43" max="44" width="11.42578125" style="297" customWidth="1"/>
    <col min="45" max="45" width="12.42578125" style="297" customWidth="1"/>
    <col min="46" max="54" width="11.42578125" style="297" customWidth="1"/>
    <col min="55" max="55" width="8.85546875" style="297"/>
    <col min="56" max="56" width="11.5703125" style="297" customWidth="1"/>
    <col min="57" max="16384" width="8.85546875" style="297"/>
  </cols>
  <sheetData>
    <row r="1" spans="1:56" x14ac:dyDescent="0.25">
      <c r="D1" s="234">
        <f>SUM(D2:D55)</f>
        <v>23584570</v>
      </c>
      <c r="F1" s="297" t="s">
        <v>165</v>
      </c>
      <c r="U1" s="297" t="s">
        <v>179</v>
      </c>
      <c r="X1" s="239" t="s">
        <v>207</v>
      </c>
      <c r="Y1" s="239"/>
      <c r="Z1" s="239"/>
      <c r="AA1" s="239"/>
      <c r="AB1" s="239"/>
      <c r="AC1" s="239"/>
      <c r="AD1" s="239"/>
      <c r="AE1" s="239"/>
      <c r="AF1" s="239"/>
      <c r="AG1" s="239"/>
      <c r="AH1" s="239"/>
      <c r="AI1" s="239"/>
      <c r="AJ1" s="239"/>
      <c r="AK1" s="239"/>
      <c r="AL1" s="239"/>
      <c r="AM1" s="240"/>
      <c r="AN1" s="239" t="s">
        <v>208</v>
      </c>
      <c r="AO1" s="239"/>
      <c r="AP1" s="239"/>
      <c r="AQ1" s="239"/>
      <c r="AR1" s="239"/>
      <c r="AS1" s="239"/>
      <c r="AT1" s="239"/>
      <c r="AU1" s="239"/>
      <c r="AV1" s="239"/>
      <c r="AW1" s="239"/>
      <c r="AX1" s="239"/>
      <c r="AY1" s="239"/>
      <c r="AZ1" s="239"/>
      <c r="BA1" s="239"/>
      <c r="BB1" s="239"/>
    </row>
    <row r="2" spans="1:56" x14ac:dyDescent="0.25">
      <c r="A2" s="297" t="s">
        <v>141</v>
      </c>
      <c r="C2" s="297" t="s">
        <v>161</v>
      </c>
      <c r="D2" s="297" t="s">
        <v>163</v>
      </c>
      <c r="F2" s="232">
        <v>42552</v>
      </c>
      <c r="G2" s="232">
        <v>42644</v>
      </c>
      <c r="H2" s="315">
        <v>42736</v>
      </c>
      <c r="I2" s="232">
        <v>42826</v>
      </c>
      <c r="J2" s="232">
        <v>42917</v>
      </c>
      <c r="K2" s="232">
        <v>43009</v>
      </c>
      <c r="L2" s="232">
        <v>43101</v>
      </c>
      <c r="M2" s="232">
        <v>43191</v>
      </c>
      <c r="N2" s="232">
        <v>43282</v>
      </c>
      <c r="O2" s="232">
        <v>43374</v>
      </c>
      <c r="P2" s="232">
        <v>43466</v>
      </c>
      <c r="Q2" s="232">
        <v>43556</v>
      </c>
      <c r="R2" s="232">
        <v>43647</v>
      </c>
      <c r="S2" s="232">
        <v>43739</v>
      </c>
      <c r="T2" s="232">
        <v>43831</v>
      </c>
      <c r="X2" s="241">
        <v>42552</v>
      </c>
      <c r="Y2" s="241">
        <v>42644</v>
      </c>
      <c r="Z2" s="241">
        <v>42736</v>
      </c>
      <c r="AA2" s="241">
        <v>42826</v>
      </c>
      <c r="AB2" s="241">
        <v>42917</v>
      </c>
      <c r="AC2" s="241">
        <v>43009</v>
      </c>
      <c r="AD2" s="241">
        <v>43101</v>
      </c>
      <c r="AE2" s="241">
        <v>43191</v>
      </c>
      <c r="AF2" s="241">
        <v>43282</v>
      </c>
      <c r="AG2" s="241">
        <v>43374</v>
      </c>
      <c r="AH2" s="241">
        <v>43466</v>
      </c>
      <c r="AI2" s="241">
        <v>43556</v>
      </c>
      <c r="AJ2" s="241">
        <v>43647</v>
      </c>
      <c r="AK2" s="241">
        <v>43739</v>
      </c>
      <c r="AL2" s="241">
        <v>43831</v>
      </c>
      <c r="AM2" s="240"/>
      <c r="AN2" s="241">
        <v>42552</v>
      </c>
      <c r="AO2" s="241">
        <v>42644</v>
      </c>
      <c r="AP2" s="241">
        <v>42736</v>
      </c>
      <c r="AQ2" s="241">
        <v>42826</v>
      </c>
      <c r="AR2" s="241">
        <v>42917</v>
      </c>
      <c r="AS2" s="241">
        <v>43009</v>
      </c>
      <c r="AT2" s="241">
        <v>43101</v>
      </c>
      <c r="AU2" s="241">
        <v>43191</v>
      </c>
      <c r="AV2" s="241">
        <v>43282</v>
      </c>
      <c r="AW2" s="241">
        <v>43374</v>
      </c>
      <c r="AX2" s="241">
        <v>43466</v>
      </c>
      <c r="AY2" s="241">
        <v>43556</v>
      </c>
      <c r="AZ2" s="241">
        <v>43647</v>
      </c>
      <c r="BA2" s="241">
        <v>43739</v>
      </c>
      <c r="BB2" s="241">
        <v>43831</v>
      </c>
      <c r="BD2" s="297" t="s">
        <v>215</v>
      </c>
    </row>
    <row r="3" spans="1:56" x14ac:dyDescent="0.25">
      <c r="A3" s="297" t="s">
        <v>141</v>
      </c>
      <c r="C3" s="297" t="s">
        <v>161</v>
      </c>
      <c r="E3" s="297" t="s">
        <v>164</v>
      </c>
      <c r="F3" s="297" t="s">
        <v>162</v>
      </c>
      <c r="G3" s="297" t="s">
        <v>166</v>
      </c>
      <c r="H3" s="314" t="s">
        <v>167</v>
      </c>
      <c r="I3" s="297" t="s">
        <v>168</v>
      </c>
      <c r="J3" s="297" t="s">
        <v>169</v>
      </c>
      <c r="K3" s="297" t="s">
        <v>170</v>
      </c>
      <c r="L3" s="297" t="s">
        <v>171</v>
      </c>
      <c r="M3" s="297" t="s">
        <v>172</v>
      </c>
      <c r="N3" s="297" t="s">
        <v>173</v>
      </c>
      <c r="O3" s="297" t="s">
        <v>174</v>
      </c>
      <c r="P3" s="297" t="s">
        <v>175</v>
      </c>
      <c r="Q3" s="297" t="s">
        <v>176</v>
      </c>
      <c r="R3" s="297" t="s">
        <v>177</v>
      </c>
      <c r="S3" s="297" t="s">
        <v>178</v>
      </c>
      <c r="T3" s="297" t="s">
        <v>180</v>
      </c>
      <c r="X3" s="239" t="s">
        <v>162</v>
      </c>
      <c r="Y3" s="239" t="s">
        <v>166</v>
      </c>
      <c r="Z3" s="239" t="s">
        <v>167</v>
      </c>
      <c r="AA3" s="239" t="s">
        <v>168</v>
      </c>
      <c r="AB3" s="239" t="s">
        <v>169</v>
      </c>
      <c r="AC3" s="239" t="s">
        <v>170</v>
      </c>
      <c r="AD3" s="239" t="s">
        <v>171</v>
      </c>
      <c r="AE3" s="239" t="s">
        <v>172</v>
      </c>
      <c r="AF3" s="239" t="s">
        <v>173</v>
      </c>
      <c r="AG3" s="239" t="s">
        <v>174</v>
      </c>
      <c r="AH3" s="239" t="s">
        <v>175</v>
      </c>
      <c r="AI3" s="239" t="s">
        <v>176</v>
      </c>
      <c r="AJ3" s="239" t="s">
        <v>177</v>
      </c>
      <c r="AK3" s="239" t="s">
        <v>178</v>
      </c>
      <c r="AL3" s="239" t="s">
        <v>180</v>
      </c>
      <c r="AM3" s="240"/>
      <c r="AN3" s="239" t="s">
        <v>162</v>
      </c>
      <c r="AO3" s="239" t="s">
        <v>166</v>
      </c>
      <c r="AP3" s="239" t="s">
        <v>167</v>
      </c>
      <c r="AQ3" s="239" t="s">
        <v>168</v>
      </c>
      <c r="AR3" s="239" t="s">
        <v>169</v>
      </c>
      <c r="AS3" s="239" t="s">
        <v>170</v>
      </c>
      <c r="AT3" s="239" t="s">
        <v>171</v>
      </c>
      <c r="AU3" s="239" t="s">
        <v>172</v>
      </c>
      <c r="AV3" s="239" t="s">
        <v>173</v>
      </c>
      <c r="AW3" s="239" t="s">
        <v>174</v>
      </c>
      <c r="AX3" s="239" t="s">
        <v>175</v>
      </c>
      <c r="AY3" s="239" t="s">
        <v>176</v>
      </c>
      <c r="AZ3" s="239" t="s">
        <v>177</v>
      </c>
      <c r="BA3" s="239" t="s">
        <v>178</v>
      </c>
      <c r="BB3" s="239" t="s">
        <v>180</v>
      </c>
    </row>
    <row r="4" spans="1:56" x14ac:dyDescent="0.25">
      <c r="A4" s="297" t="s">
        <v>142</v>
      </c>
      <c r="B4" s="245" t="str">
        <f>VLOOKUP(A4,'DFP-Com'!$A$16:$B$50,2,1)</f>
        <v xml:space="preserve">     1.1.a  Education Project Implementation Contract</v>
      </c>
      <c r="C4" s="297" t="s">
        <v>254</v>
      </c>
      <c r="D4" s="326">
        <v>8500000</v>
      </c>
      <c r="E4" s="297" t="s">
        <v>181</v>
      </c>
      <c r="H4" s="316"/>
      <c r="I4" s="233">
        <v>0.03</v>
      </c>
      <c r="J4" s="233">
        <v>0.05</v>
      </c>
      <c r="K4" s="233">
        <v>0.05</v>
      </c>
      <c r="L4" s="233">
        <v>0.05</v>
      </c>
      <c r="M4" s="233">
        <v>0.1</v>
      </c>
      <c r="N4" s="233">
        <v>0.1</v>
      </c>
      <c r="O4" s="233">
        <v>0.1</v>
      </c>
      <c r="P4" s="233">
        <v>0.1</v>
      </c>
      <c r="Q4" s="233">
        <v>0.1</v>
      </c>
      <c r="R4" s="233">
        <v>0.1</v>
      </c>
      <c r="S4" s="233">
        <v>0.1</v>
      </c>
      <c r="T4" s="233">
        <v>0.12</v>
      </c>
      <c r="U4" s="300">
        <f t="shared" ref="U4:U38" si="0">SUM(F4:T4)</f>
        <v>0.99999999999999989</v>
      </c>
      <c r="X4" s="302">
        <f t="shared" ref="X4:AL20" si="1">F4*$D4</f>
        <v>0</v>
      </c>
      <c r="Y4" s="302">
        <f t="shared" si="1"/>
        <v>0</v>
      </c>
      <c r="Z4" s="302">
        <f t="shared" si="1"/>
        <v>0</v>
      </c>
      <c r="AA4" s="302">
        <f t="shared" si="1"/>
        <v>255000</v>
      </c>
      <c r="AB4" s="302">
        <f t="shared" si="1"/>
        <v>425000</v>
      </c>
      <c r="AC4" s="302">
        <f t="shared" si="1"/>
        <v>425000</v>
      </c>
      <c r="AD4" s="302">
        <f t="shared" si="1"/>
        <v>425000</v>
      </c>
      <c r="AE4" s="302">
        <f t="shared" si="1"/>
        <v>850000</v>
      </c>
      <c r="AF4" s="302">
        <f t="shared" si="1"/>
        <v>850000</v>
      </c>
      <c r="AG4" s="302">
        <f t="shared" si="1"/>
        <v>850000</v>
      </c>
      <c r="AH4" s="302">
        <f t="shared" si="1"/>
        <v>850000</v>
      </c>
      <c r="AI4" s="302">
        <f t="shared" si="1"/>
        <v>850000</v>
      </c>
      <c r="AJ4" s="302">
        <f t="shared" si="1"/>
        <v>850000</v>
      </c>
      <c r="AK4" s="302">
        <f t="shared" si="1"/>
        <v>850000</v>
      </c>
      <c r="AL4" s="302">
        <f t="shared" si="1"/>
        <v>1020000</v>
      </c>
      <c r="AM4" s="240"/>
      <c r="AN4" s="302">
        <f t="shared" ref="AN4:BB19" si="2">IF(AN$3=$E4,$D4,0)</f>
        <v>0</v>
      </c>
      <c r="AO4" s="302">
        <f t="shared" si="2"/>
        <v>0</v>
      </c>
      <c r="AP4" s="302">
        <f t="shared" si="2"/>
        <v>8500000</v>
      </c>
      <c r="AQ4" s="302">
        <f t="shared" si="2"/>
        <v>0</v>
      </c>
      <c r="AR4" s="302">
        <f t="shared" si="2"/>
        <v>0</v>
      </c>
      <c r="AS4" s="302">
        <f t="shared" si="2"/>
        <v>0</v>
      </c>
      <c r="AT4" s="302">
        <f t="shared" si="2"/>
        <v>0</v>
      </c>
      <c r="AU4" s="302">
        <f t="shared" si="2"/>
        <v>0</v>
      </c>
      <c r="AV4" s="302">
        <f t="shared" si="2"/>
        <v>0</v>
      </c>
      <c r="AW4" s="302">
        <f t="shared" si="2"/>
        <v>0</v>
      </c>
      <c r="AX4" s="302">
        <f t="shared" si="2"/>
        <v>0</v>
      </c>
      <c r="AY4" s="302">
        <f t="shared" si="2"/>
        <v>0</v>
      </c>
      <c r="AZ4" s="302">
        <f t="shared" si="2"/>
        <v>0</v>
      </c>
      <c r="BA4" s="302">
        <f t="shared" si="2"/>
        <v>0</v>
      </c>
      <c r="BB4" s="302">
        <f t="shared" si="2"/>
        <v>0</v>
      </c>
      <c r="BD4" s="301">
        <f t="shared" ref="BD4:BD27" si="3">SUM(X4:AL4)-SUM(AN4:BB4)</f>
        <v>0</v>
      </c>
    </row>
    <row r="5" spans="1:56" x14ac:dyDescent="0.25">
      <c r="A5" s="297" t="s">
        <v>142</v>
      </c>
      <c r="B5" s="245" t="str">
        <f>VLOOKUP(A5,'DFP-Com'!$A$16:$B$50,2,1)</f>
        <v xml:space="preserve">     1.1.a  Education Project Implementation Contract</v>
      </c>
      <c r="C5" s="297" t="s">
        <v>184</v>
      </c>
      <c r="D5" s="325">
        <v>200000</v>
      </c>
      <c r="E5" s="297" t="s">
        <v>195</v>
      </c>
      <c r="L5" s="300">
        <v>0.25</v>
      </c>
      <c r="M5" s="300">
        <v>0.25</v>
      </c>
      <c r="N5" s="300">
        <v>0.25</v>
      </c>
      <c r="O5" s="300">
        <v>0.25</v>
      </c>
      <c r="U5" s="300">
        <f t="shared" si="0"/>
        <v>1</v>
      </c>
      <c r="X5" s="302">
        <f t="shared" si="1"/>
        <v>0</v>
      </c>
      <c r="Y5" s="302">
        <f t="shared" si="1"/>
        <v>0</v>
      </c>
      <c r="Z5" s="302">
        <f t="shared" si="1"/>
        <v>0</v>
      </c>
      <c r="AA5" s="302">
        <f t="shared" si="1"/>
        <v>0</v>
      </c>
      <c r="AB5" s="302">
        <f t="shared" si="1"/>
        <v>0</v>
      </c>
      <c r="AC5" s="302">
        <f t="shared" si="1"/>
        <v>0</v>
      </c>
      <c r="AD5" s="302">
        <f t="shared" si="1"/>
        <v>50000</v>
      </c>
      <c r="AE5" s="302">
        <f t="shared" si="1"/>
        <v>50000</v>
      </c>
      <c r="AF5" s="302">
        <f t="shared" si="1"/>
        <v>50000</v>
      </c>
      <c r="AG5" s="302">
        <f t="shared" si="1"/>
        <v>50000</v>
      </c>
      <c r="AH5" s="302">
        <f t="shared" si="1"/>
        <v>0</v>
      </c>
      <c r="AI5" s="302">
        <f t="shared" si="1"/>
        <v>0</v>
      </c>
      <c r="AJ5" s="302">
        <f t="shared" si="1"/>
        <v>0</v>
      </c>
      <c r="AK5" s="302">
        <f t="shared" si="1"/>
        <v>0</v>
      </c>
      <c r="AL5" s="302">
        <f t="shared" si="1"/>
        <v>0</v>
      </c>
      <c r="AM5" s="240"/>
      <c r="AN5" s="302">
        <f t="shared" si="2"/>
        <v>0</v>
      </c>
      <c r="AO5" s="302">
        <f t="shared" si="2"/>
        <v>0</v>
      </c>
      <c r="AP5" s="302">
        <f t="shared" si="2"/>
        <v>0</v>
      </c>
      <c r="AQ5" s="302">
        <f t="shared" si="2"/>
        <v>0</v>
      </c>
      <c r="AR5" s="302">
        <f t="shared" si="2"/>
        <v>0</v>
      </c>
      <c r="AS5" s="302">
        <f t="shared" si="2"/>
        <v>0</v>
      </c>
      <c r="AT5" s="302">
        <f t="shared" si="2"/>
        <v>200000</v>
      </c>
      <c r="AU5" s="302">
        <f t="shared" si="2"/>
        <v>0</v>
      </c>
      <c r="AV5" s="302">
        <f t="shared" si="2"/>
        <v>0</v>
      </c>
      <c r="AW5" s="302">
        <f t="shared" si="2"/>
        <v>0</v>
      </c>
      <c r="AX5" s="302">
        <f t="shared" si="2"/>
        <v>0</v>
      </c>
      <c r="AY5" s="302">
        <f t="shared" si="2"/>
        <v>0</v>
      </c>
      <c r="AZ5" s="302">
        <f t="shared" si="2"/>
        <v>0</v>
      </c>
      <c r="BA5" s="302">
        <f t="shared" si="2"/>
        <v>0</v>
      </c>
      <c r="BB5" s="302">
        <f t="shared" si="2"/>
        <v>0</v>
      </c>
      <c r="BD5" s="301">
        <f t="shared" si="3"/>
        <v>0</v>
      </c>
    </row>
    <row r="6" spans="1:56" x14ac:dyDescent="0.25">
      <c r="A6" s="297" t="s">
        <v>143</v>
      </c>
      <c r="B6" s="245" t="str">
        <f>VLOOKUP(A6,'DFP-Com'!$A$16:$B$50,2,1)</f>
        <v xml:space="preserve">     1.1.b  Grants to Universities for Teacher Training (Diplomados)</v>
      </c>
      <c r="C6" s="297" t="s">
        <v>182</v>
      </c>
      <c r="D6" s="234">
        <v>3000000</v>
      </c>
      <c r="E6" s="297" t="s">
        <v>183</v>
      </c>
      <c r="H6" s="316"/>
      <c r="I6" s="233"/>
      <c r="J6" s="233"/>
      <c r="K6" s="233"/>
      <c r="L6" s="233">
        <v>0.125</v>
      </c>
      <c r="M6" s="233">
        <v>0.125</v>
      </c>
      <c r="N6" s="233">
        <v>0.125</v>
      </c>
      <c r="O6" s="233">
        <v>0.125</v>
      </c>
      <c r="P6" s="233">
        <v>0.125</v>
      </c>
      <c r="Q6" s="233">
        <v>0.125</v>
      </c>
      <c r="R6" s="233">
        <v>0.125</v>
      </c>
      <c r="S6" s="233">
        <v>0.125</v>
      </c>
      <c r="T6" s="300"/>
      <c r="U6" s="300">
        <f t="shared" si="0"/>
        <v>1</v>
      </c>
      <c r="X6" s="302">
        <f t="shared" si="1"/>
        <v>0</v>
      </c>
      <c r="Y6" s="302">
        <f t="shared" si="1"/>
        <v>0</v>
      </c>
      <c r="Z6" s="302">
        <f t="shared" si="1"/>
        <v>0</v>
      </c>
      <c r="AA6" s="302">
        <f t="shared" si="1"/>
        <v>0</v>
      </c>
      <c r="AB6" s="302">
        <f t="shared" si="1"/>
        <v>0</v>
      </c>
      <c r="AC6" s="302">
        <f t="shared" si="1"/>
        <v>0</v>
      </c>
      <c r="AD6" s="302">
        <f t="shared" si="1"/>
        <v>375000</v>
      </c>
      <c r="AE6" s="302">
        <f t="shared" si="1"/>
        <v>375000</v>
      </c>
      <c r="AF6" s="302">
        <f t="shared" si="1"/>
        <v>375000</v>
      </c>
      <c r="AG6" s="302">
        <f t="shared" si="1"/>
        <v>375000</v>
      </c>
      <c r="AH6" s="302">
        <f t="shared" si="1"/>
        <v>375000</v>
      </c>
      <c r="AI6" s="302">
        <f t="shared" si="1"/>
        <v>375000</v>
      </c>
      <c r="AJ6" s="302">
        <f t="shared" si="1"/>
        <v>375000</v>
      </c>
      <c r="AK6" s="302">
        <f t="shared" si="1"/>
        <v>375000</v>
      </c>
      <c r="AL6" s="302">
        <f t="shared" si="1"/>
        <v>0</v>
      </c>
      <c r="AM6" s="240"/>
      <c r="AN6" s="302">
        <f t="shared" si="2"/>
        <v>0</v>
      </c>
      <c r="AO6" s="302">
        <f t="shared" si="2"/>
        <v>0</v>
      </c>
      <c r="AP6" s="302">
        <f t="shared" si="2"/>
        <v>0</v>
      </c>
      <c r="AQ6" s="302">
        <f t="shared" si="2"/>
        <v>0</v>
      </c>
      <c r="AR6" s="302">
        <f t="shared" si="2"/>
        <v>0</v>
      </c>
      <c r="AS6" s="302">
        <f t="shared" si="2"/>
        <v>3000000</v>
      </c>
      <c r="AT6" s="302">
        <f t="shared" si="2"/>
        <v>0</v>
      </c>
      <c r="AU6" s="302">
        <f t="shared" si="2"/>
        <v>0</v>
      </c>
      <c r="AV6" s="302">
        <f t="shared" si="2"/>
        <v>0</v>
      </c>
      <c r="AW6" s="302">
        <f t="shared" si="2"/>
        <v>0</v>
      </c>
      <c r="AX6" s="302">
        <f t="shared" si="2"/>
        <v>0</v>
      </c>
      <c r="AY6" s="302">
        <f t="shared" si="2"/>
        <v>0</v>
      </c>
      <c r="AZ6" s="302">
        <f t="shared" si="2"/>
        <v>0</v>
      </c>
      <c r="BA6" s="302">
        <f t="shared" si="2"/>
        <v>0</v>
      </c>
      <c r="BB6" s="302">
        <f t="shared" si="2"/>
        <v>0</v>
      </c>
      <c r="BD6" s="301">
        <f t="shared" si="3"/>
        <v>0</v>
      </c>
    </row>
    <row r="7" spans="1:56" x14ac:dyDescent="0.25">
      <c r="A7" s="297" t="s">
        <v>145</v>
      </c>
      <c r="B7" s="245" t="str">
        <f>VLOOKUP(A7,'DFP-Com'!$A$16:$B$50,2,1)</f>
        <v xml:space="preserve">     1.2.a  TVET</v>
      </c>
      <c r="C7" s="247" t="s">
        <v>225</v>
      </c>
      <c r="D7" s="303">
        <v>4000000</v>
      </c>
      <c r="E7" s="297" t="s">
        <v>210</v>
      </c>
      <c r="J7" s="300">
        <v>0.05</v>
      </c>
      <c r="K7" s="300">
        <v>0.1</v>
      </c>
      <c r="L7" s="300">
        <v>0.1</v>
      </c>
      <c r="M7" s="300">
        <v>0.1</v>
      </c>
      <c r="N7" s="300">
        <v>0.1</v>
      </c>
      <c r="O7" s="300">
        <v>0.1</v>
      </c>
      <c r="P7" s="300">
        <v>0.1</v>
      </c>
      <c r="Q7" s="300">
        <v>0.1</v>
      </c>
      <c r="R7" s="300">
        <v>0.1</v>
      </c>
      <c r="S7" s="300">
        <v>0.1</v>
      </c>
      <c r="T7" s="300">
        <v>0.05</v>
      </c>
      <c r="U7" s="300">
        <f t="shared" si="0"/>
        <v>0.99999999999999989</v>
      </c>
      <c r="X7" s="302">
        <f t="shared" si="1"/>
        <v>0</v>
      </c>
      <c r="Y7" s="302">
        <f t="shared" si="1"/>
        <v>0</v>
      </c>
      <c r="Z7" s="302">
        <f t="shared" si="1"/>
        <v>0</v>
      </c>
      <c r="AA7" s="302">
        <f t="shared" si="1"/>
        <v>0</v>
      </c>
      <c r="AB7" s="302">
        <f t="shared" si="1"/>
        <v>200000</v>
      </c>
      <c r="AC7" s="302">
        <f t="shared" si="1"/>
        <v>400000</v>
      </c>
      <c r="AD7" s="302">
        <f t="shared" si="1"/>
        <v>400000</v>
      </c>
      <c r="AE7" s="302">
        <f t="shared" si="1"/>
        <v>400000</v>
      </c>
      <c r="AF7" s="302">
        <f t="shared" si="1"/>
        <v>400000</v>
      </c>
      <c r="AG7" s="302">
        <f t="shared" si="1"/>
        <v>400000</v>
      </c>
      <c r="AH7" s="302">
        <f t="shared" si="1"/>
        <v>400000</v>
      </c>
      <c r="AI7" s="302">
        <f t="shared" si="1"/>
        <v>400000</v>
      </c>
      <c r="AJ7" s="302">
        <f t="shared" si="1"/>
        <v>400000</v>
      </c>
      <c r="AK7" s="302">
        <f t="shared" si="1"/>
        <v>400000</v>
      </c>
      <c r="AL7" s="302">
        <f t="shared" si="1"/>
        <v>200000</v>
      </c>
      <c r="AM7" s="240"/>
      <c r="AN7" s="302">
        <f t="shared" si="2"/>
        <v>0</v>
      </c>
      <c r="AO7" s="302">
        <f t="shared" si="2"/>
        <v>0</v>
      </c>
      <c r="AP7" s="302">
        <f t="shared" si="2"/>
        <v>0</v>
      </c>
      <c r="AQ7" s="302">
        <f t="shared" si="2"/>
        <v>0</v>
      </c>
      <c r="AR7" s="302">
        <f t="shared" si="2"/>
        <v>4000000</v>
      </c>
      <c r="AS7" s="302">
        <f t="shared" si="2"/>
        <v>0</v>
      </c>
      <c r="AT7" s="302">
        <f t="shared" si="2"/>
        <v>0</v>
      </c>
      <c r="AU7" s="302">
        <f t="shared" si="2"/>
        <v>0</v>
      </c>
      <c r="AV7" s="302">
        <f t="shared" si="2"/>
        <v>0</v>
      </c>
      <c r="AW7" s="302">
        <f t="shared" si="2"/>
        <v>0</v>
      </c>
      <c r="AX7" s="302">
        <f t="shared" si="2"/>
        <v>0</v>
      </c>
      <c r="AY7" s="302">
        <f t="shared" si="2"/>
        <v>0</v>
      </c>
      <c r="AZ7" s="302">
        <f t="shared" si="2"/>
        <v>0</v>
      </c>
      <c r="BA7" s="302">
        <f t="shared" si="2"/>
        <v>0</v>
      </c>
      <c r="BB7" s="302">
        <f t="shared" si="2"/>
        <v>0</v>
      </c>
      <c r="BD7" s="301">
        <f t="shared" si="3"/>
        <v>0</v>
      </c>
    </row>
    <row r="8" spans="1:56" x14ac:dyDescent="0.25">
      <c r="A8" s="297" t="s">
        <v>146</v>
      </c>
      <c r="B8" s="245" t="str">
        <f>VLOOKUP(A8,'DFP-Com'!$A$16:$B$50,2,1)</f>
        <v xml:space="preserve">     1.3.a  Education Project Implementation Contract</v>
      </c>
      <c r="C8" s="297" t="s">
        <v>253</v>
      </c>
      <c r="D8" s="326">
        <v>2500000</v>
      </c>
      <c r="E8" s="297" t="s">
        <v>181</v>
      </c>
      <c r="H8" s="316"/>
      <c r="I8" s="233">
        <v>0.03</v>
      </c>
      <c r="J8" s="233">
        <v>0.05</v>
      </c>
      <c r="K8" s="233">
        <v>0.05</v>
      </c>
      <c r="L8" s="233">
        <v>0.05</v>
      </c>
      <c r="M8" s="233">
        <v>0.1</v>
      </c>
      <c r="N8" s="233">
        <v>0.1</v>
      </c>
      <c r="O8" s="233">
        <v>0.1</v>
      </c>
      <c r="P8" s="233">
        <v>0.1</v>
      </c>
      <c r="Q8" s="233">
        <v>0.1</v>
      </c>
      <c r="R8" s="233">
        <v>0.1</v>
      </c>
      <c r="S8" s="233">
        <v>0.1</v>
      </c>
      <c r="T8" s="233">
        <v>0.12</v>
      </c>
      <c r="U8" s="300">
        <f t="shared" si="0"/>
        <v>0.99999999999999989</v>
      </c>
      <c r="X8" s="302">
        <f t="shared" si="1"/>
        <v>0</v>
      </c>
      <c r="Y8" s="302">
        <f t="shared" si="1"/>
        <v>0</v>
      </c>
      <c r="Z8" s="302">
        <f t="shared" si="1"/>
        <v>0</v>
      </c>
      <c r="AA8" s="302">
        <f t="shared" si="1"/>
        <v>75000</v>
      </c>
      <c r="AB8" s="302">
        <f t="shared" si="1"/>
        <v>125000</v>
      </c>
      <c r="AC8" s="302">
        <f t="shared" si="1"/>
        <v>125000</v>
      </c>
      <c r="AD8" s="302">
        <f t="shared" si="1"/>
        <v>125000</v>
      </c>
      <c r="AE8" s="302">
        <f t="shared" si="1"/>
        <v>250000</v>
      </c>
      <c r="AF8" s="302">
        <f t="shared" si="1"/>
        <v>250000</v>
      </c>
      <c r="AG8" s="302">
        <f t="shared" si="1"/>
        <v>250000</v>
      </c>
      <c r="AH8" s="302">
        <f t="shared" si="1"/>
        <v>250000</v>
      </c>
      <c r="AI8" s="302">
        <f t="shared" si="1"/>
        <v>250000</v>
      </c>
      <c r="AJ8" s="302">
        <f t="shared" si="1"/>
        <v>250000</v>
      </c>
      <c r="AK8" s="302">
        <f t="shared" si="1"/>
        <v>250000</v>
      </c>
      <c r="AL8" s="302">
        <f t="shared" si="1"/>
        <v>300000</v>
      </c>
      <c r="AM8" s="240"/>
      <c r="AN8" s="302">
        <f t="shared" si="2"/>
        <v>0</v>
      </c>
      <c r="AO8" s="302">
        <f t="shared" si="2"/>
        <v>0</v>
      </c>
      <c r="AP8" s="302">
        <f t="shared" si="2"/>
        <v>2500000</v>
      </c>
      <c r="AQ8" s="302">
        <f t="shared" si="2"/>
        <v>0</v>
      </c>
      <c r="AR8" s="302">
        <f t="shared" si="2"/>
        <v>0</v>
      </c>
      <c r="AS8" s="302">
        <f t="shared" si="2"/>
        <v>0</v>
      </c>
      <c r="AT8" s="302">
        <f t="shared" si="2"/>
        <v>0</v>
      </c>
      <c r="AU8" s="302">
        <f t="shared" si="2"/>
        <v>0</v>
      </c>
      <c r="AV8" s="302">
        <f t="shared" si="2"/>
        <v>0</v>
      </c>
      <c r="AW8" s="302">
        <f t="shared" si="2"/>
        <v>0</v>
      </c>
      <c r="AX8" s="302">
        <f t="shared" si="2"/>
        <v>0</v>
      </c>
      <c r="AY8" s="302">
        <f t="shared" si="2"/>
        <v>0</v>
      </c>
      <c r="AZ8" s="302">
        <f t="shared" si="2"/>
        <v>0</v>
      </c>
      <c r="BA8" s="302">
        <f t="shared" si="2"/>
        <v>0</v>
      </c>
      <c r="BB8" s="302">
        <f t="shared" si="2"/>
        <v>0</v>
      </c>
      <c r="BD8" s="301">
        <f t="shared" si="3"/>
        <v>0</v>
      </c>
    </row>
    <row r="9" spans="1:56" x14ac:dyDescent="0.25">
      <c r="A9" s="297" t="s">
        <v>149</v>
      </c>
      <c r="B9" s="309" t="str">
        <f>VLOOKUP(A9,'DFP-Com'!$A$16:$B$50,2,1)</f>
        <v xml:space="preserve">     2.1.a  Tax and Customs</v>
      </c>
      <c r="C9" s="297" t="s">
        <v>232</v>
      </c>
      <c r="D9" s="234">
        <v>140000</v>
      </c>
      <c r="E9" s="297" t="s">
        <v>213</v>
      </c>
      <c r="G9" s="300"/>
      <c r="H9" s="317"/>
      <c r="I9" s="300">
        <v>0.25</v>
      </c>
      <c r="J9" s="300">
        <v>0.25</v>
      </c>
      <c r="K9" s="300">
        <v>0.25</v>
      </c>
      <c r="L9" s="300">
        <v>0.25</v>
      </c>
      <c r="M9" s="300"/>
      <c r="N9" s="300"/>
      <c r="O9" s="300"/>
      <c r="P9" s="300"/>
      <c r="Q9" s="300"/>
      <c r="U9" s="300">
        <f t="shared" si="0"/>
        <v>1</v>
      </c>
      <c r="X9" s="302">
        <f t="shared" si="1"/>
        <v>0</v>
      </c>
      <c r="Y9" s="302">
        <f t="shared" si="1"/>
        <v>0</v>
      </c>
      <c r="Z9" s="302">
        <f t="shared" si="1"/>
        <v>0</v>
      </c>
      <c r="AA9" s="302">
        <f t="shared" si="1"/>
        <v>35000</v>
      </c>
      <c r="AB9" s="302">
        <f t="shared" si="1"/>
        <v>35000</v>
      </c>
      <c r="AC9" s="302">
        <f t="shared" si="1"/>
        <v>35000</v>
      </c>
      <c r="AD9" s="302">
        <f t="shared" si="1"/>
        <v>35000</v>
      </c>
      <c r="AE9" s="302">
        <f t="shared" si="1"/>
        <v>0</v>
      </c>
      <c r="AF9" s="302">
        <f t="shared" si="1"/>
        <v>0</v>
      </c>
      <c r="AG9" s="302">
        <f t="shared" si="1"/>
        <v>0</v>
      </c>
      <c r="AH9" s="302">
        <f t="shared" si="1"/>
        <v>0</v>
      </c>
      <c r="AI9" s="302">
        <f t="shared" si="1"/>
        <v>0</v>
      </c>
      <c r="AJ9" s="302">
        <f t="shared" si="1"/>
        <v>0</v>
      </c>
      <c r="AK9" s="302">
        <f t="shared" si="1"/>
        <v>0</v>
      </c>
      <c r="AL9" s="302">
        <f t="shared" si="1"/>
        <v>0</v>
      </c>
      <c r="AM9" s="240"/>
      <c r="AN9" s="302">
        <f t="shared" si="2"/>
        <v>0</v>
      </c>
      <c r="AO9" s="302">
        <f t="shared" si="2"/>
        <v>0</v>
      </c>
      <c r="AP9" s="302">
        <f t="shared" si="2"/>
        <v>0</v>
      </c>
      <c r="AQ9" s="302">
        <f t="shared" si="2"/>
        <v>140000</v>
      </c>
      <c r="AR9" s="302">
        <f t="shared" si="2"/>
        <v>0</v>
      </c>
      <c r="AS9" s="302">
        <f t="shared" si="2"/>
        <v>0</v>
      </c>
      <c r="AT9" s="302">
        <f t="shared" si="2"/>
        <v>0</v>
      </c>
      <c r="AU9" s="302">
        <f t="shared" si="2"/>
        <v>0</v>
      </c>
      <c r="AV9" s="302">
        <f t="shared" si="2"/>
        <v>0</v>
      </c>
      <c r="AW9" s="302">
        <f t="shared" si="2"/>
        <v>0</v>
      </c>
      <c r="AX9" s="302">
        <f t="shared" si="2"/>
        <v>0</v>
      </c>
      <c r="AY9" s="302">
        <f t="shared" si="2"/>
        <v>0</v>
      </c>
      <c r="AZ9" s="302">
        <f t="shared" si="2"/>
        <v>0</v>
      </c>
      <c r="BA9" s="302">
        <f t="shared" si="2"/>
        <v>0</v>
      </c>
      <c r="BB9" s="302">
        <f t="shared" si="2"/>
        <v>0</v>
      </c>
      <c r="BD9" s="301">
        <f t="shared" si="3"/>
        <v>0</v>
      </c>
    </row>
    <row r="10" spans="1:56" x14ac:dyDescent="0.25">
      <c r="A10" s="297" t="s">
        <v>149</v>
      </c>
      <c r="B10" s="309" t="str">
        <f>VLOOKUP(A10,'DFP-Com'!$A$16:$B$50,2,1)</f>
        <v xml:space="preserve">     2.1.a  Tax and Customs</v>
      </c>
      <c r="C10" s="297" t="s">
        <v>248</v>
      </c>
      <c r="D10" s="234">
        <v>140000</v>
      </c>
      <c r="E10" s="297" t="s">
        <v>195</v>
      </c>
      <c r="G10" s="300"/>
      <c r="H10" s="317"/>
      <c r="I10" s="300"/>
      <c r="J10" s="300"/>
      <c r="K10" s="300"/>
      <c r="L10" s="300">
        <v>0.25</v>
      </c>
      <c r="M10" s="300">
        <v>0.25</v>
      </c>
      <c r="N10" s="300">
        <v>0.25</v>
      </c>
      <c r="O10" s="300">
        <v>0.25</v>
      </c>
      <c r="P10" s="300"/>
      <c r="Q10" s="300"/>
      <c r="U10" s="300">
        <f t="shared" si="0"/>
        <v>1</v>
      </c>
      <c r="X10" s="302">
        <f t="shared" si="1"/>
        <v>0</v>
      </c>
      <c r="Y10" s="302">
        <f t="shared" si="1"/>
        <v>0</v>
      </c>
      <c r="Z10" s="302">
        <f t="shared" si="1"/>
        <v>0</v>
      </c>
      <c r="AA10" s="302">
        <f t="shared" si="1"/>
        <v>0</v>
      </c>
      <c r="AB10" s="302">
        <f t="shared" si="1"/>
        <v>0</v>
      </c>
      <c r="AC10" s="302">
        <f t="shared" si="1"/>
        <v>0</v>
      </c>
      <c r="AD10" s="302">
        <f t="shared" si="1"/>
        <v>35000</v>
      </c>
      <c r="AE10" s="302">
        <f t="shared" si="1"/>
        <v>35000</v>
      </c>
      <c r="AF10" s="302">
        <f t="shared" si="1"/>
        <v>35000</v>
      </c>
      <c r="AG10" s="302">
        <f t="shared" si="1"/>
        <v>35000</v>
      </c>
      <c r="AH10" s="302">
        <f t="shared" si="1"/>
        <v>0</v>
      </c>
      <c r="AI10" s="302">
        <f t="shared" si="1"/>
        <v>0</v>
      </c>
      <c r="AJ10" s="302">
        <f t="shared" si="1"/>
        <v>0</v>
      </c>
      <c r="AK10" s="302">
        <f t="shared" si="1"/>
        <v>0</v>
      </c>
      <c r="AL10" s="302">
        <f t="shared" si="1"/>
        <v>0</v>
      </c>
      <c r="AM10" s="240"/>
      <c r="AN10" s="302">
        <f t="shared" si="2"/>
        <v>0</v>
      </c>
      <c r="AO10" s="302">
        <f t="shared" si="2"/>
        <v>0</v>
      </c>
      <c r="AP10" s="302">
        <f t="shared" si="2"/>
        <v>0</v>
      </c>
      <c r="AQ10" s="302">
        <f t="shared" si="2"/>
        <v>0</v>
      </c>
      <c r="AR10" s="302">
        <f t="shared" si="2"/>
        <v>0</v>
      </c>
      <c r="AS10" s="302">
        <f t="shared" si="2"/>
        <v>0</v>
      </c>
      <c r="AT10" s="302">
        <f t="shared" si="2"/>
        <v>140000</v>
      </c>
      <c r="AU10" s="302">
        <f t="shared" si="2"/>
        <v>0</v>
      </c>
      <c r="AV10" s="302">
        <f t="shared" si="2"/>
        <v>0</v>
      </c>
      <c r="AW10" s="302">
        <f t="shared" si="2"/>
        <v>0</v>
      </c>
      <c r="AX10" s="302">
        <f t="shared" si="2"/>
        <v>0</v>
      </c>
      <c r="AY10" s="302">
        <f t="shared" si="2"/>
        <v>0</v>
      </c>
      <c r="AZ10" s="302">
        <f t="shared" si="2"/>
        <v>0</v>
      </c>
      <c r="BA10" s="302">
        <f t="shared" si="2"/>
        <v>0</v>
      </c>
      <c r="BB10" s="302">
        <f t="shared" si="2"/>
        <v>0</v>
      </c>
      <c r="BD10" s="301">
        <f t="shared" si="3"/>
        <v>0</v>
      </c>
    </row>
    <row r="11" spans="1:56" x14ac:dyDescent="0.25">
      <c r="A11" s="297" t="s">
        <v>149</v>
      </c>
      <c r="B11" s="309" t="str">
        <f>VLOOKUP(A11,'DFP-Com'!$A$16:$B$50,2,1)</f>
        <v xml:space="preserve">     2.1.a  Tax and Customs</v>
      </c>
      <c r="C11" s="297" t="s">
        <v>230</v>
      </c>
      <c r="D11" s="234">
        <v>4000</v>
      </c>
      <c r="E11" s="297" t="s">
        <v>181</v>
      </c>
      <c r="G11" s="300"/>
      <c r="H11" s="317">
        <v>1</v>
      </c>
      <c r="I11" s="300"/>
      <c r="J11" s="300"/>
      <c r="K11" s="300"/>
      <c r="L11" s="300"/>
      <c r="M11" s="300"/>
      <c r="N11" s="300"/>
      <c r="U11" s="300">
        <f t="shared" si="0"/>
        <v>1</v>
      </c>
      <c r="X11" s="302">
        <f t="shared" si="1"/>
        <v>0</v>
      </c>
      <c r="Y11" s="302">
        <f t="shared" si="1"/>
        <v>0</v>
      </c>
      <c r="Z11" s="302">
        <f t="shared" si="1"/>
        <v>4000</v>
      </c>
      <c r="AA11" s="302">
        <f t="shared" si="1"/>
        <v>0</v>
      </c>
      <c r="AB11" s="302">
        <f t="shared" si="1"/>
        <v>0</v>
      </c>
      <c r="AC11" s="302">
        <f t="shared" si="1"/>
        <v>0</v>
      </c>
      <c r="AD11" s="302">
        <f t="shared" si="1"/>
        <v>0</v>
      </c>
      <c r="AE11" s="302">
        <f t="shared" si="1"/>
        <v>0</v>
      </c>
      <c r="AF11" s="302">
        <f t="shared" si="1"/>
        <v>0</v>
      </c>
      <c r="AG11" s="302">
        <f t="shared" si="1"/>
        <v>0</v>
      </c>
      <c r="AH11" s="302">
        <f t="shared" si="1"/>
        <v>0</v>
      </c>
      <c r="AI11" s="302">
        <f t="shared" si="1"/>
        <v>0</v>
      </c>
      <c r="AJ11" s="302">
        <f t="shared" si="1"/>
        <v>0</v>
      </c>
      <c r="AK11" s="302">
        <f t="shared" si="1"/>
        <v>0</v>
      </c>
      <c r="AL11" s="302">
        <f t="shared" si="1"/>
        <v>0</v>
      </c>
      <c r="AM11" s="240"/>
      <c r="AN11" s="302">
        <f t="shared" si="2"/>
        <v>0</v>
      </c>
      <c r="AO11" s="302">
        <f t="shared" si="2"/>
        <v>0</v>
      </c>
      <c r="AP11" s="302">
        <f t="shared" si="2"/>
        <v>4000</v>
      </c>
      <c r="AQ11" s="302">
        <f t="shared" si="2"/>
        <v>0</v>
      </c>
      <c r="AR11" s="302">
        <f t="shared" si="2"/>
        <v>0</v>
      </c>
      <c r="AS11" s="302">
        <f t="shared" si="2"/>
        <v>0</v>
      </c>
      <c r="AT11" s="302">
        <f t="shared" si="2"/>
        <v>0</v>
      </c>
      <c r="AU11" s="302">
        <f t="shared" si="2"/>
        <v>0</v>
      </c>
      <c r="AV11" s="302">
        <f t="shared" si="2"/>
        <v>0</v>
      </c>
      <c r="AW11" s="302">
        <f t="shared" si="2"/>
        <v>0</v>
      </c>
      <c r="AX11" s="302">
        <f t="shared" si="2"/>
        <v>0</v>
      </c>
      <c r="AY11" s="302">
        <f t="shared" si="2"/>
        <v>0</v>
      </c>
      <c r="AZ11" s="302">
        <f t="shared" si="2"/>
        <v>0</v>
      </c>
      <c r="BA11" s="302">
        <f t="shared" si="2"/>
        <v>0</v>
      </c>
      <c r="BB11" s="302">
        <f t="shared" si="2"/>
        <v>0</v>
      </c>
      <c r="BD11" s="301">
        <f t="shared" si="3"/>
        <v>0</v>
      </c>
    </row>
    <row r="12" spans="1:56" x14ac:dyDescent="0.25">
      <c r="A12" s="297" t="s">
        <v>149</v>
      </c>
      <c r="B12" s="309" t="str">
        <f>VLOOKUP(A12,'DFP-Com'!$A$16:$B$50,2,1)</f>
        <v xml:space="preserve">     2.1.a  Tax and Customs</v>
      </c>
      <c r="C12" s="297" t="s">
        <v>231</v>
      </c>
      <c r="D12" s="234">
        <v>100000</v>
      </c>
      <c r="E12" s="297" t="s">
        <v>181</v>
      </c>
      <c r="G12" s="300"/>
      <c r="H12" s="317">
        <v>0.25</v>
      </c>
      <c r="I12" s="300">
        <v>0.25</v>
      </c>
      <c r="J12" s="300">
        <v>0.25</v>
      </c>
      <c r="K12" s="300">
        <v>0.25</v>
      </c>
      <c r="L12" s="300"/>
      <c r="M12" s="300"/>
      <c r="N12" s="300"/>
      <c r="U12" s="300">
        <f t="shared" si="0"/>
        <v>1</v>
      </c>
      <c r="X12" s="302">
        <f t="shared" si="1"/>
        <v>0</v>
      </c>
      <c r="Y12" s="302">
        <f t="shared" si="1"/>
        <v>0</v>
      </c>
      <c r="Z12" s="302">
        <f t="shared" si="1"/>
        <v>25000</v>
      </c>
      <c r="AA12" s="302">
        <f t="shared" si="1"/>
        <v>25000</v>
      </c>
      <c r="AB12" s="302">
        <f t="shared" si="1"/>
        <v>25000</v>
      </c>
      <c r="AC12" s="302">
        <f t="shared" si="1"/>
        <v>25000</v>
      </c>
      <c r="AD12" s="302">
        <f t="shared" si="1"/>
        <v>0</v>
      </c>
      <c r="AE12" s="302">
        <f t="shared" si="1"/>
        <v>0</v>
      </c>
      <c r="AF12" s="302">
        <f t="shared" si="1"/>
        <v>0</v>
      </c>
      <c r="AG12" s="302">
        <f t="shared" si="1"/>
        <v>0</v>
      </c>
      <c r="AH12" s="302">
        <f t="shared" si="1"/>
        <v>0</v>
      </c>
      <c r="AI12" s="302">
        <f t="shared" si="1"/>
        <v>0</v>
      </c>
      <c r="AJ12" s="302">
        <f t="shared" si="1"/>
        <v>0</v>
      </c>
      <c r="AK12" s="302">
        <f t="shared" si="1"/>
        <v>0</v>
      </c>
      <c r="AL12" s="302">
        <f t="shared" si="1"/>
        <v>0</v>
      </c>
      <c r="AM12" s="240"/>
      <c r="AN12" s="302">
        <f t="shared" si="2"/>
        <v>0</v>
      </c>
      <c r="AO12" s="302">
        <f t="shared" si="2"/>
        <v>0</v>
      </c>
      <c r="AP12" s="302">
        <f t="shared" si="2"/>
        <v>100000</v>
      </c>
      <c r="AQ12" s="302">
        <f t="shared" si="2"/>
        <v>0</v>
      </c>
      <c r="AR12" s="302">
        <f t="shared" si="2"/>
        <v>0</v>
      </c>
      <c r="AS12" s="302">
        <f t="shared" si="2"/>
        <v>0</v>
      </c>
      <c r="AT12" s="302">
        <f t="shared" si="2"/>
        <v>0</v>
      </c>
      <c r="AU12" s="302">
        <f t="shared" si="2"/>
        <v>0</v>
      </c>
      <c r="AV12" s="302">
        <f t="shared" si="2"/>
        <v>0</v>
      </c>
      <c r="AW12" s="302">
        <f t="shared" si="2"/>
        <v>0</v>
      </c>
      <c r="AX12" s="302">
        <f t="shared" si="2"/>
        <v>0</v>
      </c>
      <c r="AY12" s="302">
        <f t="shared" si="2"/>
        <v>0</v>
      </c>
      <c r="AZ12" s="302">
        <f t="shared" si="2"/>
        <v>0</v>
      </c>
      <c r="BA12" s="302">
        <f t="shared" si="2"/>
        <v>0</v>
      </c>
      <c r="BB12" s="302">
        <f t="shared" si="2"/>
        <v>0</v>
      </c>
      <c r="BD12" s="301">
        <f t="shared" si="3"/>
        <v>0</v>
      </c>
    </row>
    <row r="13" spans="1:56" x14ac:dyDescent="0.25">
      <c r="A13" s="297" t="s">
        <v>149</v>
      </c>
      <c r="B13" s="309" t="str">
        <f>VLOOKUP(A13,'DFP-Com'!$A$16:$B$50,2,1)</f>
        <v xml:space="preserve">     2.1.a  Tax and Customs</v>
      </c>
      <c r="D13" s="234"/>
      <c r="G13" s="300"/>
      <c r="H13" s="317"/>
      <c r="I13" s="300"/>
      <c r="J13" s="300"/>
      <c r="K13" s="300"/>
      <c r="L13" s="300"/>
      <c r="M13" s="300"/>
      <c r="N13" s="300"/>
      <c r="O13" s="300"/>
      <c r="P13" s="300"/>
      <c r="Q13" s="300"/>
      <c r="U13" s="300">
        <f t="shared" si="0"/>
        <v>0</v>
      </c>
      <c r="X13" s="302">
        <f t="shared" si="1"/>
        <v>0</v>
      </c>
      <c r="Y13" s="302">
        <f t="shared" si="1"/>
        <v>0</v>
      </c>
      <c r="Z13" s="302">
        <f t="shared" si="1"/>
        <v>0</v>
      </c>
      <c r="AA13" s="302">
        <f t="shared" si="1"/>
        <v>0</v>
      </c>
      <c r="AB13" s="302">
        <f t="shared" si="1"/>
        <v>0</v>
      </c>
      <c r="AC13" s="302">
        <f t="shared" si="1"/>
        <v>0</v>
      </c>
      <c r="AD13" s="302">
        <f t="shared" si="1"/>
        <v>0</v>
      </c>
      <c r="AE13" s="302">
        <f t="shared" si="1"/>
        <v>0</v>
      </c>
      <c r="AF13" s="302">
        <f t="shared" si="1"/>
        <v>0</v>
      </c>
      <c r="AG13" s="302">
        <f t="shared" si="1"/>
        <v>0</v>
      </c>
      <c r="AH13" s="302">
        <f t="shared" si="1"/>
        <v>0</v>
      </c>
      <c r="AI13" s="302">
        <f t="shared" si="1"/>
        <v>0</v>
      </c>
      <c r="AJ13" s="302">
        <f t="shared" si="1"/>
        <v>0</v>
      </c>
      <c r="AK13" s="302">
        <f t="shared" si="1"/>
        <v>0</v>
      </c>
      <c r="AL13" s="302">
        <f t="shared" si="1"/>
        <v>0</v>
      </c>
      <c r="AM13" s="240"/>
      <c r="AN13" s="302">
        <f t="shared" si="2"/>
        <v>0</v>
      </c>
      <c r="AO13" s="302">
        <f t="shared" si="2"/>
        <v>0</v>
      </c>
      <c r="AP13" s="302">
        <f t="shared" si="2"/>
        <v>0</v>
      </c>
      <c r="AQ13" s="302">
        <f t="shared" si="2"/>
        <v>0</v>
      </c>
      <c r="AR13" s="302">
        <f t="shared" si="2"/>
        <v>0</v>
      </c>
      <c r="AS13" s="302">
        <f t="shared" si="2"/>
        <v>0</v>
      </c>
      <c r="AT13" s="302">
        <f t="shared" si="2"/>
        <v>0</v>
      </c>
      <c r="AU13" s="302">
        <f t="shared" si="2"/>
        <v>0</v>
      </c>
      <c r="AV13" s="302">
        <f t="shared" si="2"/>
        <v>0</v>
      </c>
      <c r="AW13" s="302">
        <f t="shared" si="2"/>
        <v>0</v>
      </c>
      <c r="AX13" s="302">
        <f t="shared" si="2"/>
        <v>0</v>
      </c>
      <c r="AY13" s="302">
        <f t="shared" si="2"/>
        <v>0</v>
      </c>
      <c r="AZ13" s="302">
        <f t="shared" si="2"/>
        <v>0</v>
      </c>
      <c r="BA13" s="302">
        <f t="shared" si="2"/>
        <v>0</v>
      </c>
      <c r="BB13" s="302">
        <f t="shared" si="2"/>
        <v>0</v>
      </c>
      <c r="BD13" s="301">
        <f t="shared" si="3"/>
        <v>0</v>
      </c>
    </row>
    <row r="14" spans="1:56" x14ac:dyDescent="0.25">
      <c r="A14" s="297" t="s">
        <v>150</v>
      </c>
      <c r="B14" s="310" t="str">
        <f>VLOOKUP(A14,'DFP-Com'!$A$16:$B$50,2,1)</f>
        <v xml:space="preserve">     2.2.a  Advisors</v>
      </c>
      <c r="C14" s="297" t="s">
        <v>194</v>
      </c>
      <c r="D14" s="234">
        <v>150000</v>
      </c>
      <c r="E14" s="297" t="s">
        <v>181</v>
      </c>
      <c r="G14" s="300"/>
      <c r="H14" s="317">
        <v>0.25</v>
      </c>
      <c r="I14" s="300">
        <v>0.25</v>
      </c>
      <c r="J14" s="300">
        <v>0.25</v>
      </c>
      <c r="K14" s="300">
        <v>0.25</v>
      </c>
      <c r="U14" s="300">
        <f t="shared" si="0"/>
        <v>1</v>
      </c>
      <c r="X14" s="302">
        <f t="shared" si="1"/>
        <v>0</v>
      </c>
      <c r="Y14" s="302">
        <f t="shared" si="1"/>
        <v>0</v>
      </c>
      <c r="Z14" s="302">
        <f t="shared" si="1"/>
        <v>37500</v>
      </c>
      <c r="AA14" s="302">
        <f t="shared" si="1"/>
        <v>37500</v>
      </c>
      <c r="AB14" s="302">
        <f t="shared" si="1"/>
        <v>37500</v>
      </c>
      <c r="AC14" s="302">
        <f t="shared" si="1"/>
        <v>37500</v>
      </c>
      <c r="AD14" s="302">
        <f t="shared" si="1"/>
        <v>0</v>
      </c>
      <c r="AE14" s="302">
        <f t="shared" si="1"/>
        <v>0</v>
      </c>
      <c r="AF14" s="302">
        <f t="shared" si="1"/>
        <v>0</v>
      </c>
      <c r="AG14" s="302">
        <f t="shared" si="1"/>
        <v>0</v>
      </c>
      <c r="AH14" s="302">
        <f t="shared" si="1"/>
        <v>0</v>
      </c>
      <c r="AI14" s="302">
        <f t="shared" si="1"/>
        <v>0</v>
      </c>
      <c r="AJ14" s="302">
        <f t="shared" si="1"/>
        <v>0</v>
      </c>
      <c r="AK14" s="302">
        <f t="shared" si="1"/>
        <v>0</v>
      </c>
      <c r="AL14" s="302">
        <f t="shared" si="1"/>
        <v>0</v>
      </c>
      <c r="AM14" s="240"/>
      <c r="AN14" s="302">
        <f t="shared" si="2"/>
        <v>0</v>
      </c>
      <c r="AO14" s="302">
        <f t="shared" si="2"/>
        <v>0</v>
      </c>
      <c r="AP14" s="302">
        <f t="shared" si="2"/>
        <v>150000</v>
      </c>
      <c r="AQ14" s="302">
        <f t="shared" si="2"/>
        <v>0</v>
      </c>
      <c r="AR14" s="302">
        <f t="shared" si="2"/>
        <v>0</v>
      </c>
      <c r="AS14" s="302">
        <f t="shared" si="2"/>
        <v>0</v>
      </c>
      <c r="AT14" s="302">
        <f t="shared" si="2"/>
        <v>0</v>
      </c>
      <c r="AU14" s="302">
        <f t="shared" si="2"/>
        <v>0</v>
      </c>
      <c r="AV14" s="302">
        <f t="shared" si="2"/>
        <v>0</v>
      </c>
      <c r="AW14" s="302">
        <f t="shared" si="2"/>
        <v>0</v>
      </c>
      <c r="AX14" s="302">
        <f t="shared" si="2"/>
        <v>0</v>
      </c>
      <c r="AY14" s="302">
        <f t="shared" si="2"/>
        <v>0</v>
      </c>
      <c r="AZ14" s="302">
        <f t="shared" si="2"/>
        <v>0</v>
      </c>
      <c r="BA14" s="302">
        <f t="shared" si="2"/>
        <v>0</v>
      </c>
      <c r="BB14" s="302">
        <f t="shared" si="2"/>
        <v>0</v>
      </c>
      <c r="BD14" s="301">
        <f t="shared" si="3"/>
        <v>0</v>
      </c>
    </row>
    <row r="15" spans="1:56" x14ac:dyDescent="0.25">
      <c r="A15" s="297" t="s">
        <v>150</v>
      </c>
      <c r="B15" s="310" t="str">
        <f>VLOOKUP(A15,'DFP-Com'!$A$16:$B$50,2,1)</f>
        <v xml:space="preserve">     2.2.a  Advisors</v>
      </c>
      <c r="C15" s="297" t="s">
        <v>212</v>
      </c>
      <c r="D15" s="234">
        <v>150000</v>
      </c>
      <c r="E15" s="297" t="s">
        <v>183</v>
      </c>
      <c r="K15" s="300">
        <v>0.25</v>
      </c>
      <c r="L15" s="300">
        <v>0.25</v>
      </c>
      <c r="M15" s="300">
        <v>0.25</v>
      </c>
      <c r="N15" s="300">
        <v>0.25</v>
      </c>
      <c r="U15" s="300">
        <f t="shared" si="0"/>
        <v>1</v>
      </c>
      <c r="X15" s="302">
        <f t="shared" si="1"/>
        <v>0</v>
      </c>
      <c r="Y15" s="302">
        <f t="shared" si="1"/>
        <v>0</v>
      </c>
      <c r="Z15" s="302">
        <f t="shared" si="1"/>
        <v>0</v>
      </c>
      <c r="AA15" s="302">
        <f t="shared" si="1"/>
        <v>0</v>
      </c>
      <c r="AB15" s="302">
        <f t="shared" si="1"/>
        <v>0</v>
      </c>
      <c r="AC15" s="302">
        <f t="shared" si="1"/>
        <v>37500</v>
      </c>
      <c r="AD15" s="302">
        <f t="shared" si="1"/>
        <v>37500</v>
      </c>
      <c r="AE15" s="302">
        <f t="shared" si="1"/>
        <v>37500</v>
      </c>
      <c r="AF15" s="302">
        <f t="shared" si="1"/>
        <v>37500</v>
      </c>
      <c r="AG15" s="302">
        <f t="shared" si="1"/>
        <v>0</v>
      </c>
      <c r="AH15" s="302">
        <f t="shared" si="1"/>
        <v>0</v>
      </c>
      <c r="AI15" s="302">
        <f t="shared" si="1"/>
        <v>0</v>
      </c>
      <c r="AJ15" s="302">
        <f t="shared" si="1"/>
        <v>0</v>
      </c>
      <c r="AK15" s="302">
        <f t="shared" si="1"/>
        <v>0</v>
      </c>
      <c r="AL15" s="302">
        <f t="shared" si="1"/>
        <v>0</v>
      </c>
      <c r="AM15" s="240"/>
      <c r="AN15" s="302">
        <f t="shared" si="2"/>
        <v>0</v>
      </c>
      <c r="AO15" s="302">
        <f t="shared" si="2"/>
        <v>0</v>
      </c>
      <c r="AP15" s="302">
        <f t="shared" si="2"/>
        <v>0</v>
      </c>
      <c r="AQ15" s="302">
        <f t="shared" si="2"/>
        <v>0</v>
      </c>
      <c r="AR15" s="302">
        <f t="shared" si="2"/>
        <v>0</v>
      </c>
      <c r="AS15" s="302">
        <f t="shared" si="2"/>
        <v>150000</v>
      </c>
      <c r="AT15" s="302">
        <f t="shared" si="2"/>
        <v>0</v>
      </c>
      <c r="AU15" s="302">
        <f t="shared" si="2"/>
        <v>0</v>
      </c>
      <c r="AV15" s="302">
        <f t="shared" si="2"/>
        <v>0</v>
      </c>
      <c r="AW15" s="302">
        <f t="shared" si="2"/>
        <v>0</v>
      </c>
      <c r="AX15" s="302">
        <f t="shared" si="2"/>
        <v>0</v>
      </c>
      <c r="AY15" s="302">
        <f t="shared" si="2"/>
        <v>0</v>
      </c>
      <c r="AZ15" s="302">
        <f t="shared" si="2"/>
        <v>0</v>
      </c>
      <c r="BA15" s="302">
        <f t="shared" si="2"/>
        <v>0</v>
      </c>
      <c r="BB15" s="302">
        <f t="shared" si="2"/>
        <v>0</v>
      </c>
      <c r="BD15" s="301">
        <f t="shared" si="3"/>
        <v>0</v>
      </c>
    </row>
    <row r="16" spans="1:56" x14ac:dyDescent="0.25">
      <c r="A16" s="297" t="s">
        <v>150</v>
      </c>
      <c r="B16" s="310" t="str">
        <f>VLOOKUP(A16,'DFP-Com'!$A$16:$B$50,2,1)</f>
        <v xml:space="preserve">     2.2.a  Advisors</v>
      </c>
      <c r="C16" s="297" t="s">
        <v>186</v>
      </c>
      <c r="D16" s="234">
        <v>73500</v>
      </c>
      <c r="E16" s="297" t="s">
        <v>181</v>
      </c>
      <c r="F16" s="300"/>
      <c r="G16" s="300"/>
      <c r="H16" s="317">
        <v>0.16666666666666699</v>
      </c>
      <c r="I16" s="300">
        <v>0.25</v>
      </c>
      <c r="J16" s="300">
        <v>0.25</v>
      </c>
      <c r="K16" s="300">
        <v>0.25</v>
      </c>
      <c r="L16" s="300">
        <v>8.3333333333333329E-2</v>
      </c>
      <c r="M16" s="300"/>
      <c r="N16" s="300"/>
      <c r="O16" s="300"/>
      <c r="P16" s="300"/>
      <c r="Q16" s="300"/>
      <c r="U16" s="300">
        <f t="shared" si="0"/>
        <v>1.0000000000000002</v>
      </c>
      <c r="X16" s="251">
        <f t="shared" si="1"/>
        <v>0</v>
      </c>
      <c r="Y16" s="302">
        <f t="shared" si="1"/>
        <v>0</v>
      </c>
      <c r="Z16" s="302">
        <f t="shared" si="1"/>
        <v>12250.000000000024</v>
      </c>
      <c r="AA16" s="302">
        <f t="shared" si="1"/>
        <v>18375</v>
      </c>
      <c r="AB16" s="302">
        <f t="shared" si="1"/>
        <v>18375</v>
      </c>
      <c r="AC16" s="302">
        <f t="shared" si="1"/>
        <v>18375</v>
      </c>
      <c r="AD16" s="302">
        <f t="shared" si="1"/>
        <v>6125</v>
      </c>
      <c r="AE16" s="302">
        <f t="shared" si="1"/>
        <v>0</v>
      </c>
      <c r="AF16" s="302">
        <f t="shared" si="1"/>
        <v>0</v>
      </c>
      <c r="AG16" s="302">
        <f t="shared" si="1"/>
        <v>0</v>
      </c>
      <c r="AH16" s="302">
        <f t="shared" si="1"/>
        <v>0</v>
      </c>
      <c r="AI16" s="302">
        <f t="shared" si="1"/>
        <v>0</v>
      </c>
      <c r="AJ16" s="302">
        <f t="shared" si="1"/>
        <v>0</v>
      </c>
      <c r="AK16" s="302">
        <f t="shared" si="1"/>
        <v>0</v>
      </c>
      <c r="AL16" s="302">
        <f t="shared" si="1"/>
        <v>0</v>
      </c>
      <c r="AM16" s="240"/>
      <c r="AN16" s="302">
        <f t="shared" si="2"/>
        <v>0</v>
      </c>
      <c r="AO16" s="302">
        <f t="shared" si="2"/>
        <v>0</v>
      </c>
      <c r="AP16" s="302">
        <f t="shared" si="2"/>
        <v>73500</v>
      </c>
      <c r="AQ16" s="302">
        <f t="shared" si="2"/>
        <v>0</v>
      </c>
      <c r="AR16" s="302">
        <f t="shared" si="2"/>
        <v>0</v>
      </c>
      <c r="AS16" s="302">
        <f t="shared" si="2"/>
        <v>0</v>
      </c>
      <c r="AT16" s="302">
        <f t="shared" si="2"/>
        <v>0</v>
      </c>
      <c r="AU16" s="302">
        <f t="shared" si="2"/>
        <v>0</v>
      </c>
      <c r="AV16" s="302">
        <f t="shared" si="2"/>
        <v>0</v>
      </c>
      <c r="AW16" s="302">
        <f t="shared" si="2"/>
        <v>0</v>
      </c>
      <c r="AX16" s="302">
        <f t="shared" si="2"/>
        <v>0</v>
      </c>
      <c r="AY16" s="302">
        <f t="shared" si="2"/>
        <v>0</v>
      </c>
      <c r="AZ16" s="302">
        <f t="shared" si="2"/>
        <v>0</v>
      </c>
      <c r="BA16" s="302">
        <f t="shared" si="2"/>
        <v>0</v>
      </c>
      <c r="BB16" s="302">
        <f t="shared" si="2"/>
        <v>0</v>
      </c>
      <c r="BD16" s="301">
        <f t="shared" si="3"/>
        <v>0</v>
      </c>
    </row>
    <row r="17" spans="1:56" x14ac:dyDescent="0.25">
      <c r="A17" s="297" t="s">
        <v>150</v>
      </c>
      <c r="B17" s="310" t="str">
        <f>VLOOKUP(A17,'DFP-Com'!$A$16:$B$50,2,1)</f>
        <v xml:space="preserve">     2.2.a  Advisors</v>
      </c>
      <c r="C17" s="297" t="s">
        <v>233</v>
      </c>
      <c r="D17" s="234">
        <f>12250*12</f>
        <v>147000</v>
      </c>
      <c r="E17" s="297" t="s">
        <v>183</v>
      </c>
      <c r="F17" s="300"/>
      <c r="G17" s="300"/>
      <c r="H17" s="317"/>
      <c r="I17" s="300"/>
      <c r="J17" s="300"/>
      <c r="K17" s="300">
        <v>0.16666666666666699</v>
      </c>
      <c r="L17" s="300">
        <v>0.25</v>
      </c>
      <c r="M17" s="300">
        <v>0.25</v>
      </c>
      <c r="N17" s="300">
        <v>0.25</v>
      </c>
      <c r="O17" s="300">
        <v>8.3333333333333329E-2</v>
      </c>
      <c r="P17" s="300"/>
      <c r="Q17" s="300"/>
      <c r="U17" s="300">
        <f t="shared" si="0"/>
        <v>1.0000000000000002</v>
      </c>
      <c r="X17" s="251">
        <f t="shared" si="1"/>
        <v>0</v>
      </c>
      <c r="Y17" s="302">
        <f t="shared" si="1"/>
        <v>0</v>
      </c>
      <c r="Z17" s="302">
        <f t="shared" si="1"/>
        <v>0</v>
      </c>
      <c r="AA17" s="302">
        <f t="shared" si="1"/>
        <v>0</v>
      </c>
      <c r="AB17" s="302">
        <f t="shared" si="1"/>
        <v>0</v>
      </c>
      <c r="AC17" s="302">
        <f t="shared" si="1"/>
        <v>24500.000000000047</v>
      </c>
      <c r="AD17" s="302">
        <f t="shared" si="1"/>
        <v>36750</v>
      </c>
      <c r="AE17" s="302">
        <f t="shared" si="1"/>
        <v>36750</v>
      </c>
      <c r="AF17" s="302">
        <f t="shared" si="1"/>
        <v>36750</v>
      </c>
      <c r="AG17" s="302">
        <f t="shared" si="1"/>
        <v>12250</v>
      </c>
      <c r="AH17" s="302">
        <f t="shared" si="1"/>
        <v>0</v>
      </c>
      <c r="AI17" s="302">
        <f t="shared" si="1"/>
        <v>0</v>
      </c>
      <c r="AJ17" s="302">
        <f t="shared" si="1"/>
        <v>0</v>
      </c>
      <c r="AK17" s="302">
        <f t="shared" si="1"/>
        <v>0</v>
      </c>
      <c r="AL17" s="302">
        <f t="shared" si="1"/>
        <v>0</v>
      </c>
      <c r="AM17" s="240"/>
      <c r="AN17" s="302">
        <f t="shared" si="2"/>
        <v>0</v>
      </c>
      <c r="AO17" s="302">
        <f t="shared" si="2"/>
        <v>0</v>
      </c>
      <c r="AP17" s="302">
        <f t="shared" si="2"/>
        <v>0</v>
      </c>
      <c r="AQ17" s="302">
        <f t="shared" si="2"/>
        <v>0</v>
      </c>
      <c r="AR17" s="302">
        <f t="shared" si="2"/>
        <v>0</v>
      </c>
      <c r="AS17" s="302">
        <f t="shared" si="2"/>
        <v>147000</v>
      </c>
      <c r="AT17" s="302">
        <f t="shared" si="2"/>
        <v>0</v>
      </c>
      <c r="AU17" s="302">
        <f t="shared" si="2"/>
        <v>0</v>
      </c>
      <c r="AV17" s="302">
        <f t="shared" si="2"/>
        <v>0</v>
      </c>
      <c r="AW17" s="302">
        <f t="shared" si="2"/>
        <v>0</v>
      </c>
      <c r="AX17" s="302">
        <f t="shared" si="2"/>
        <v>0</v>
      </c>
      <c r="AY17" s="302">
        <f t="shared" si="2"/>
        <v>0</v>
      </c>
      <c r="AZ17" s="302">
        <f t="shared" si="2"/>
        <v>0</v>
      </c>
      <c r="BA17" s="302">
        <f t="shared" si="2"/>
        <v>0</v>
      </c>
      <c r="BB17" s="302">
        <f t="shared" si="2"/>
        <v>0</v>
      </c>
      <c r="BD17" s="301">
        <f t="shared" si="3"/>
        <v>0</v>
      </c>
    </row>
    <row r="18" spans="1:56" x14ac:dyDescent="0.25">
      <c r="A18" s="297" t="s">
        <v>150</v>
      </c>
      <c r="B18" s="310" t="str">
        <f>VLOOKUP(A18,'DFP-Com'!$A$16:$B$50,2,1)</f>
        <v xml:space="preserve">     2.2.a  Advisors</v>
      </c>
      <c r="C18" s="297" t="s">
        <v>234</v>
      </c>
      <c r="D18" s="234">
        <f>12250*12</f>
        <v>147000</v>
      </c>
      <c r="E18" s="297" t="s">
        <v>235</v>
      </c>
      <c r="F18" s="300"/>
      <c r="G18" s="300"/>
      <c r="H18" s="317"/>
      <c r="I18" s="300"/>
      <c r="J18" s="300"/>
      <c r="K18" s="300"/>
      <c r="L18" s="300"/>
      <c r="M18" s="300"/>
      <c r="N18" s="300"/>
      <c r="O18" s="300">
        <v>0.16666666666666699</v>
      </c>
      <c r="P18" s="300">
        <v>0.25</v>
      </c>
      <c r="Q18" s="300">
        <v>0.25</v>
      </c>
      <c r="R18" s="300">
        <v>0.25</v>
      </c>
      <c r="S18" s="300">
        <v>8.3333333333333329E-2</v>
      </c>
      <c r="U18" s="300">
        <f t="shared" si="0"/>
        <v>1.0000000000000002</v>
      </c>
      <c r="X18" s="251">
        <f t="shared" si="1"/>
        <v>0</v>
      </c>
      <c r="Y18" s="302">
        <f t="shared" si="1"/>
        <v>0</v>
      </c>
      <c r="Z18" s="302">
        <f t="shared" si="1"/>
        <v>0</v>
      </c>
      <c r="AA18" s="302">
        <f t="shared" si="1"/>
        <v>0</v>
      </c>
      <c r="AB18" s="302">
        <f t="shared" si="1"/>
        <v>0</v>
      </c>
      <c r="AC18" s="302">
        <f t="shared" si="1"/>
        <v>0</v>
      </c>
      <c r="AD18" s="302">
        <f t="shared" si="1"/>
        <v>0</v>
      </c>
      <c r="AE18" s="302">
        <f t="shared" si="1"/>
        <v>0</v>
      </c>
      <c r="AF18" s="302">
        <f t="shared" si="1"/>
        <v>0</v>
      </c>
      <c r="AG18" s="302">
        <f t="shared" si="1"/>
        <v>24500.000000000047</v>
      </c>
      <c r="AH18" s="302">
        <f t="shared" si="1"/>
        <v>36750</v>
      </c>
      <c r="AI18" s="302">
        <f t="shared" si="1"/>
        <v>36750</v>
      </c>
      <c r="AJ18" s="302">
        <f t="shared" si="1"/>
        <v>36750</v>
      </c>
      <c r="AK18" s="302">
        <f t="shared" si="1"/>
        <v>12250</v>
      </c>
      <c r="AL18" s="302">
        <f t="shared" si="1"/>
        <v>0</v>
      </c>
      <c r="AM18" s="240"/>
      <c r="AN18" s="302">
        <f t="shared" si="2"/>
        <v>0</v>
      </c>
      <c r="AO18" s="302">
        <f t="shared" si="2"/>
        <v>0</v>
      </c>
      <c r="AP18" s="302">
        <f t="shared" si="2"/>
        <v>0</v>
      </c>
      <c r="AQ18" s="302">
        <f t="shared" si="2"/>
        <v>0</v>
      </c>
      <c r="AR18" s="302">
        <f t="shared" si="2"/>
        <v>0</v>
      </c>
      <c r="AS18" s="302">
        <f t="shared" si="2"/>
        <v>0</v>
      </c>
      <c r="AT18" s="302">
        <f t="shared" si="2"/>
        <v>0</v>
      </c>
      <c r="AU18" s="302">
        <f t="shared" si="2"/>
        <v>147000</v>
      </c>
      <c r="AV18" s="302">
        <f t="shared" si="2"/>
        <v>0</v>
      </c>
      <c r="AW18" s="302">
        <f t="shared" si="2"/>
        <v>0</v>
      </c>
      <c r="AX18" s="302">
        <f t="shared" si="2"/>
        <v>0</v>
      </c>
      <c r="AY18" s="302">
        <f t="shared" si="2"/>
        <v>0</v>
      </c>
      <c r="AZ18" s="302">
        <f t="shared" si="2"/>
        <v>0</v>
      </c>
      <c r="BA18" s="302">
        <f t="shared" si="2"/>
        <v>0</v>
      </c>
      <c r="BB18" s="302">
        <f t="shared" si="2"/>
        <v>0</v>
      </c>
      <c r="BD18" s="301">
        <f t="shared" si="3"/>
        <v>0</v>
      </c>
    </row>
    <row r="19" spans="1:56" x14ac:dyDescent="0.25">
      <c r="A19" s="297" t="s">
        <v>150</v>
      </c>
      <c r="B19" s="310" t="str">
        <f>VLOOKUP(A19,'DFP-Com'!$A$16:$B$50,2,1)</f>
        <v xml:space="preserve">     2.2.a  Advisors</v>
      </c>
      <c r="C19" s="297" t="s">
        <v>187</v>
      </c>
      <c r="D19" s="234">
        <v>61250</v>
      </c>
      <c r="E19" s="297" t="s">
        <v>209</v>
      </c>
      <c r="F19" s="300"/>
      <c r="G19" s="300">
        <v>0.2</v>
      </c>
      <c r="H19" s="317">
        <v>0.6</v>
      </c>
      <c r="I19" s="300">
        <v>0.2</v>
      </c>
      <c r="J19" s="300"/>
      <c r="K19" s="300"/>
      <c r="L19" s="300"/>
      <c r="M19" s="300"/>
      <c r="N19" s="300"/>
      <c r="O19" s="300"/>
      <c r="P19" s="300"/>
      <c r="Q19" s="300"/>
      <c r="U19" s="300">
        <f t="shared" si="0"/>
        <v>1</v>
      </c>
      <c r="X19" s="302">
        <f t="shared" si="1"/>
        <v>0</v>
      </c>
      <c r="Y19" s="302">
        <f t="shared" si="1"/>
        <v>12250</v>
      </c>
      <c r="Z19" s="302">
        <f t="shared" si="1"/>
        <v>36750</v>
      </c>
      <c r="AA19" s="302">
        <f t="shared" si="1"/>
        <v>12250</v>
      </c>
      <c r="AB19" s="302">
        <f t="shared" si="1"/>
        <v>0</v>
      </c>
      <c r="AC19" s="302">
        <f t="shared" si="1"/>
        <v>0</v>
      </c>
      <c r="AD19" s="302">
        <f t="shared" si="1"/>
        <v>0</v>
      </c>
      <c r="AE19" s="302">
        <f t="shared" si="1"/>
        <v>0</v>
      </c>
      <c r="AF19" s="302">
        <f t="shared" si="1"/>
        <v>0</v>
      </c>
      <c r="AG19" s="302">
        <f t="shared" si="1"/>
        <v>0</v>
      </c>
      <c r="AH19" s="302">
        <f t="shared" si="1"/>
        <v>0</v>
      </c>
      <c r="AI19" s="302">
        <f t="shared" si="1"/>
        <v>0</v>
      </c>
      <c r="AJ19" s="302">
        <f t="shared" si="1"/>
        <v>0</v>
      </c>
      <c r="AK19" s="302">
        <f t="shared" si="1"/>
        <v>0</v>
      </c>
      <c r="AL19" s="302">
        <f t="shared" si="1"/>
        <v>0</v>
      </c>
      <c r="AM19" s="240"/>
      <c r="AN19" s="302">
        <f t="shared" si="2"/>
        <v>0</v>
      </c>
      <c r="AO19" s="302">
        <f t="shared" si="2"/>
        <v>61250</v>
      </c>
      <c r="AP19" s="302">
        <f t="shared" si="2"/>
        <v>0</v>
      </c>
      <c r="AQ19" s="302">
        <f t="shared" si="2"/>
        <v>0</v>
      </c>
      <c r="AR19" s="302">
        <f t="shared" si="2"/>
        <v>0</v>
      </c>
      <c r="AS19" s="302">
        <f t="shared" si="2"/>
        <v>0</v>
      </c>
      <c r="AT19" s="302">
        <f t="shared" si="2"/>
        <v>0</v>
      </c>
      <c r="AU19" s="302">
        <f t="shared" si="2"/>
        <v>0</v>
      </c>
      <c r="AV19" s="302">
        <f t="shared" si="2"/>
        <v>0</v>
      </c>
      <c r="AW19" s="302">
        <f t="shared" si="2"/>
        <v>0</v>
      </c>
      <c r="AX19" s="302">
        <f t="shared" si="2"/>
        <v>0</v>
      </c>
      <c r="AY19" s="302">
        <f t="shared" si="2"/>
        <v>0</v>
      </c>
      <c r="AZ19" s="302">
        <f t="shared" si="2"/>
        <v>0</v>
      </c>
      <c r="BA19" s="302">
        <f t="shared" si="2"/>
        <v>0</v>
      </c>
      <c r="BB19" s="302">
        <f t="shared" si="2"/>
        <v>0</v>
      </c>
      <c r="BD19" s="301">
        <f t="shared" si="3"/>
        <v>0</v>
      </c>
    </row>
    <row r="20" spans="1:56" x14ac:dyDescent="0.25">
      <c r="A20" s="297" t="s">
        <v>151</v>
      </c>
      <c r="B20" s="310" t="str">
        <f>VLOOKUP(A20,'DFP-Com'!$A$16:$B$50,2,1)</f>
        <v xml:space="preserve">     2.2.b  Feasiblity Studies/  Transaction Advisory Services</v>
      </c>
      <c r="C20" s="297" t="s">
        <v>188</v>
      </c>
      <c r="D20" s="234">
        <v>500000</v>
      </c>
      <c r="E20" s="297" t="s">
        <v>181</v>
      </c>
      <c r="F20" s="300"/>
      <c r="G20" s="300"/>
      <c r="H20" s="317">
        <v>0.25</v>
      </c>
      <c r="I20" s="300">
        <v>0.25</v>
      </c>
      <c r="J20" s="300">
        <v>0.25</v>
      </c>
      <c r="K20" s="300">
        <v>0.25</v>
      </c>
      <c r="L20" s="300"/>
      <c r="M20" s="300"/>
      <c r="N20" s="300"/>
      <c r="U20" s="300">
        <f t="shared" si="0"/>
        <v>1</v>
      </c>
      <c r="X20" s="302">
        <f t="shared" si="1"/>
        <v>0</v>
      </c>
      <c r="Y20" s="302">
        <f t="shared" si="1"/>
        <v>0</v>
      </c>
      <c r="Z20" s="302">
        <f t="shared" si="1"/>
        <v>125000</v>
      </c>
      <c r="AA20" s="302">
        <f t="shared" si="1"/>
        <v>125000</v>
      </c>
      <c r="AB20" s="302">
        <f t="shared" si="1"/>
        <v>125000</v>
      </c>
      <c r="AC20" s="302">
        <f t="shared" si="1"/>
        <v>125000</v>
      </c>
      <c r="AD20" s="302">
        <f t="shared" si="1"/>
        <v>0</v>
      </c>
      <c r="AE20" s="302">
        <f t="shared" si="1"/>
        <v>0</v>
      </c>
      <c r="AF20" s="302">
        <f t="shared" si="1"/>
        <v>0</v>
      </c>
      <c r="AG20" s="302">
        <f t="shared" si="1"/>
        <v>0</v>
      </c>
      <c r="AH20" s="302">
        <f t="shared" si="1"/>
        <v>0</v>
      </c>
      <c r="AI20" s="302">
        <f t="shared" si="1"/>
        <v>0</v>
      </c>
      <c r="AJ20" s="302">
        <f t="shared" si="1"/>
        <v>0</v>
      </c>
      <c r="AK20" s="302">
        <f t="shared" si="1"/>
        <v>0</v>
      </c>
      <c r="AL20" s="302">
        <f t="shared" si="1"/>
        <v>0</v>
      </c>
      <c r="AM20" s="240"/>
      <c r="AN20" s="302">
        <f t="shared" ref="AN20:BB35" si="4">IF(AN$3=$E20,$D20,0)</f>
        <v>0</v>
      </c>
      <c r="AO20" s="302">
        <f t="shared" si="4"/>
        <v>0</v>
      </c>
      <c r="AP20" s="302">
        <f t="shared" si="4"/>
        <v>500000</v>
      </c>
      <c r="AQ20" s="302">
        <f t="shared" si="4"/>
        <v>0</v>
      </c>
      <c r="AR20" s="302">
        <f t="shared" si="4"/>
        <v>0</v>
      </c>
      <c r="AS20" s="302">
        <f t="shared" si="4"/>
        <v>0</v>
      </c>
      <c r="AT20" s="302">
        <f t="shared" si="4"/>
        <v>0</v>
      </c>
      <c r="AU20" s="302">
        <f t="shared" si="4"/>
        <v>0</v>
      </c>
      <c r="AV20" s="302">
        <f t="shared" si="4"/>
        <v>0</v>
      </c>
      <c r="AW20" s="302">
        <f t="shared" si="4"/>
        <v>0</v>
      </c>
      <c r="AX20" s="302">
        <f t="shared" si="4"/>
        <v>0</v>
      </c>
      <c r="AY20" s="302">
        <f t="shared" si="4"/>
        <v>0</v>
      </c>
      <c r="AZ20" s="302">
        <f t="shared" si="4"/>
        <v>0</v>
      </c>
      <c r="BA20" s="302">
        <f t="shared" si="4"/>
        <v>0</v>
      </c>
      <c r="BB20" s="302">
        <f t="shared" si="4"/>
        <v>0</v>
      </c>
      <c r="BD20" s="301">
        <f t="shared" si="3"/>
        <v>0</v>
      </c>
    </row>
    <row r="21" spans="1:56" x14ac:dyDescent="0.25">
      <c r="A21" s="297" t="s">
        <v>151</v>
      </c>
      <c r="B21" s="310" t="str">
        <f>VLOOKUP(A21,'DFP-Com'!$A$16:$B$50,2,1)</f>
        <v xml:space="preserve">     2.2.b  Feasiblity Studies/  Transaction Advisory Services</v>
      </c>
      <c r="C21" s="297" t="s">
        <v>189</v>
      </c>
      <c r="D21" s="234">
        <v>200000</v>
      </c>
      <c r="E21" s="297" t="s">
        <v>181</v>
      </c>
      <c r="F21" s="300"/>
      <c r="G21" s="300"/>
      <c r="H21" s="317"/>
      <c r="I21" s="300"/>
      <c r="J21" s="300">
        <v>0.25</v>
      </c>
      <c r="K21" s="300">
        <v>0.25</v>
      </c>
      <c r="L21" s="300">
        <v>0.25</v>
      </c>
      <c r="M21" s="300">
        <v>0.25</v>
      </c>
      <c r="U21" s="300">
        <f t="shared" si="0"/>
        <v>1</v>
      </c>
      <c r="X21" s="302">
        <f t="shared" ref="X21:AL37" si="5">F21*$D21</f>
        <v>0</v>
      </c>
      <c r="Y21" s="302">
        <f t="shared" si="5"/>
        <v>0</v>
      </c>
      <c r="Z21" s="302">
        <f t="shared" si="5"/>
        <v>0</v>
      </c>
      <c r="AA21" s="302">
        <f t="shared" si="5"/>
        <v>0</v>
      </c>
      <c r="AB21" s="302">
        <f t="shared" si="5"/>
        <v>50000</v>
      </c>
      <c r="AC21" s="302">
        <f t="shared" si="5"/>
        <v>50000</v>
      </c>
      <c r="AD21" s="302">
        <f t="shared" si="5"/>
        <v>50000</v>
      </c>
      <c r="AE21" s="302">
        <f t="shared" si="5"/>
        <v>50000</v>
      </c>
      <c r="AF21" s="302">
        <f t="shared" si="5"/>
        <v>0</v>
      </c>
      <c r="AG21" s="302">
        <f t="shared" si="5"/>
        <v>0</v>
      </c>
      <c r="AH21" s="302">
        <f t="shared" si="5"/>
        <v>0</v>
      </c>
      <c r="AI21" s="302">
        <f t="shared" si="5"/>
        <v>0</v>
      </c>
      <c r="AJ21" s="302">
        <f t="shared" si="5"/>
        <v>0</v>
      </c>
      <c r="AK21" s="302">
        <f t="shared" si="5"/>
        <v>0</v>
      </c>
      <c r="AL21" s="302">
        <f t="shared" si="5"/>
        <v>0</v>
      </c>
      <c r="AM21" s="240"/>
      <c r="AN21" s="302">
        <f t="shared" si="4"/>
        <v>0</v>
      </c>
      <c r="AO21" s="302">
        <f t="shared" si="4"/>
        <v>0</v>
      </c>
      <c r="AP21" s="302">
        <f t="shared" si="4"/>
        <v>200000</v>
      </c>
      <c r="AQ21" s="302">
        <f t="shared" si="4"/>
        <v>0</v>
      </c>
      <c r="AR21" s="302">
        <f t="shared" si="4"/>
        <v>0</v>
      </c>
      <c r="AS21" s="302">
        <f t="shared" si="4"/>
        <v>0</v>
      </c>
      <c r="AT21" s="302">
        <f t="shared" si="4"/>
        <v>0</v>
      </c>
      <c r="AU21" s="302">
        <f t="shared" si="4"/>
        <v>0</v>
      </c>
      <c r="AV21" s="302">
        <f t="shared" si="4"/>
        <v>0</v>
      </c>
      <c r="AW21" s="302">
        <f t="shared" si="4"/>
        <v>0</v>
      </c>
      <c r="AX21" s="302">
        <f t="shared" si="4"/>
        <v>0</v>
      </c>
      <c r="AY21" s="302">
        <f t="shared" si="4"/>
        <v>0</v>
      </c>
      <c r="AZ21" s="302">
        <f t="shared" si="4"/>
        <v>0</v>
      </c>
      <c r="BA21" s="302">
        <f t="shared" si="4"/>
        <v>0</v>
      </c>
      <c r="BB21" s="302">
        <f t="shared" si="4"/>
        <v>0</v>
      </c>
      <c r="BD21" s="301">
        <f t="shared" si="3"/>
        <v>0</v>
      </c>
    </row>
    <row r="22" spans="1:56" x14ac:dyDescent="0.25">
      <c r="A22" s="297" t="s">
        <v>151</v>
      </c>
      <c r="B22" s="310" t="str">
        <f>VLOOKUP(A22,'DFP-Com'!$A$16:$B$50,2,1)</f>
        <v xml:space="preserve">     2.2.b  Feasiblity Studies/  Transaction Advisory Services</v>
      </c>
      <c r="C22" s="297" t="s">
        <v>190</v>
      </c>
      <c r="D22" s="234">
        <v>350000</v>
      </c>
      <c r="U22" s="300">
        <f t="shared" si="0"/>
        <v>0</v>
      </c>
      <c r="X22" s="302">
        <f t="shared" si="5"/>
        <v>0</v>
      </c>
      <c r="Y22" s="302">
        <f t="shared" si="5"/>
        <v>0</v>
      </c>
      <c r="Z22" s="302">
        <f t="shared" si="5"/>
        <v>0</v>
      </c>
      <c r="AA22" s="302">
        <f t="shared" si="5"/>
        <v>0</v>
      </c>
      <c r="AB22" s="302">
        <f t="shared" si="5"/>
        <v>0</v>
      </c>
      <c r="AC22" s="302">
        <f t="shared" si="5"/>
        <v>0</v>
      </c>
      <c r="AD22" s="302">
        <f t="shared" si="5"/>
        <v>0</v>
      </c>
      <c r="AE22" s="302">
        <f t="shared" si="5"/>
        <v>0</v>
      </c>
      <c r="AF22" s="302">
        <f t="shared" si="5"/>
        <v>0</v>
      </c>
      <c r="AG22" s="302">
        <f t="shared" si="5"/>
        <v>0</v>
      </c>
      <c r="AH22" s="302">
        <f t="shared" si="5"/>
        <v>0</v>
      </c>
      <c r="AI22" s="302">
        <f t="shared" si="5"/>
        <v>0</v>
      </c>
      <c r="AJ22" s="302">
        <f t="shared" si="5"/>
        <v>0</v>
      </c>
      <c r="AK22" s="302">
        <f t="shared" si="5"/>
        <v>0</v>
      </c>
      <c r="AL22" s="302">
        <f t="shared" si="5"/>
        <v>0</v>
      </c>
      <c r="AM22" s="240"/>
      <c r="AN22" s="302">
        <f t="shared" si="4"/>
        <v>0</v>
      </c>
      <c r="AO22" s="302">
        <f t="shared" si="4"/>
        <v>0</v>
      </c>
      <c r="AP22" s="302">
        <f t="shared" si="4"/>
        <v>0</v>
      </c>
      <c r="AQ22" s="302">
        <f t="shared" si="4"/>
        <v>0</v>
      </c>
      <c r="AR22" s="302">
        <f t="shared" si="4"/>
        <v>0</v>
      </c>
      <c r="AS22" s="302">
        <f t="shared" si="4"/>
        <v>0</v>
      </c>
      <c r="AT22" s="302">
        <f t="shared" si="4"/>
        <v>0</v>
      </c>
      <c r="AU22" s="302">
        <f t="shared" si="4"/>
        <v>0</v>
      </c>
      <c r="AV22" s="302">
        <f t="shared" si="4"/>
        <v>0</v>
      </c>
      <c r="AW22" s="302">
        <f t="shared" si="4"/>
        <v>0</v>
      </c>
      <c r="AX22" s="302">
        <f t="shared" si="4"/>
        <v>0</v>
      </c>
      <c r="AY22" s="302">
        <f t="shared" si="4"/>
        <v>0</v>
      </c>
      <c r="AZ22" s="302">
        <f t="shared" si="4"/>
        <v>0</v>
      </c>
      <c r="BA22" s="302">
        <f t="shared" si="4"/>
        <v>0</v>
      </c>
      <c r="BB22" s="302">
        <f t="shared" si="4"/>
        <v>0</v>
      </c>
      <c r="BD22" s="301">
        <f t="shared" si="3"/>
        <v>0</v>
      </c>
    </row>
    <row r="23" spans="1:56" x14ac:dyDescent="0.25">
      <c r="A23" s="297" t="s">
        <v>151</v>
      </c>
      <c r="B23" s="310" t="str">
        <f>VLOOKUP(A23,'DFP-Com'!$A$16:$B$50,2,1)</f>
        <v xml:space="preserve">     2.2.b  Feasiblity Studies/  Transaction Advisory Services</v>
      </c>
      <c r="C23" s="297" t="s">
        <v>191</v>
      </c>
      <c r="D23" s="234">
        <v>200000</v>
      </c>
      <c r="E23" s="297" t="s">
        <v>213</v>
      </c>
      <c r="I23" s="300">
        <v>0.25</v>
      </c>
      <c r="J23" s="300">
        <v>0.25</v>
      </c>
      <c r="K23" s="300">
        <v>0.25</v>
      </c>
      <c r="L23" s="300">
        <v>0.25</v>
      </c>
      <c r="U23" s="300">
        <f t="shared" si="0"/>
        <v>1</v>
      </c>
      <c r="X23" s="302">
        <f t="shared" si="5"/>
        <v>0</v>
      </c>
      <c r="Y23" s="302">
        <f t="shared" si="5"/>
        <v>0</v>
      </c>
      <c r="Z23" s="302">
        <f t="shared" si="5"/>
        <v>0</v>
      </c>
      <c r="AA23" s="302">
        <f t="shared" si="5"/>
        <v>50000</v>
      </c>
      <c r="AB23" s="302">
        <f t="shared" si="5"/>
        <v>50000</v>
      </c>
      <c r="AC23" s="302">
        <f t="shared" si="5"/>
        <v>50000</v>
      </c>
      <c r="AD23" s="302">
        <f t="shared" si="5"/>
        <v>50000</v>
      </c>
      <c r="AE23" s="302">
        <f t="shared" si="5"/>
        <v>0</v>
      </c>
      <c r="AF23" s="302">
        <f t="shared" si="5"/>
        <v>0</v>
      </c>
      <c r="AG23" s="302">
        <f t="shared" si="5"/>
        <v>0</v>
      </c>
      <c r="AH23" s="302">
        <f t="shared" si="5"/>
        <v>0</v>
      </c>
      <c r="AI23" s="302">
        <f t="shared" si="5"/>
        <v>0</v>
      </c>
      <c r="AJ23" s="302">
        <f t="shared" si="5"/>
        <v>0</v>
      </c>
      <c r="AK23" s="302">
        <f t="shared" si="5"/>
        <v>0</v>
      </c>
      <c r="AL23" s="302">
        <f t="shared" si="5"/>
        <v>0</v>
      </c>
      <c r="AM23" s="240"/>
      <c r="AN23" s="302">
        <f t="shared" si="4"/>
        <v>0</v>
      </c>
      <c r="AO23" s="302">
        <f t="shared" si="4"/>
        <v>0</v>
      </c>
      <c r="AP23" s="302">
        <f t="shared" si="4"/>
        <v>0</v>
      </c>
      <c r="AQ23" s="302">
        <f t="shared" si="4"/>
        <v>200000</v>
      </c>
      <c r="AR23" s="302">
        <f t="shared" si="4"/>
        <v>0</v>
      </c>
      <c r="AS23" s="302">
        <f t="shared" si="4"/>
        <v>0</v>
      </c>
      <c r="AT23" s="302">
        <f t="shared" si="4"/>
        <v>0</v>
      </c>
      <c r="AU23" s="302">
        <f t="shared" si="4"/>
        <v>0</v>
      </c>
      <c r="AV23" s="302">
        <f t="shared" si="4"/>
        <v>0</v>
      </c>
      <c r="AW23" s="302">
        <f t="shared" si="4"/>
        <v>0</v>
      </c>
      <c r="AX23" s="302">
        <f t="shared" si="4"/>
        <v>0</v>
      </c>
      <c r="AY23" s="302">
        <f t="shared" si="4"/>
        <v>0</v>
      </c>
      <c r="AZ23" s="302">
        <f t="shared" si="4"/>
        <v>0</v>
      </c>
      <c r="BA23" s="302">
        <f t="shared" si="4"/>
        <v>0</v>
      </c>
      <c r="BB23" s="302">
        <f t="shared" si="4"/>
        <v>0</v>
      </c>
      <c r="BD23" s="301">
        <f t="shared" si="3"/>
        <v>0</v>
      </c>
    </row>
    <row r="24" spans="1:56" x14ac:dyDescent="0.25">
      <c r="A24" s="297" t="s">
        <v>151</v>
      </c>
      <c r="B24" s="310" t="str">
        <f>VLOOKUP(A24,'DFP-Com'!$A$16:$B$50,2,1)</f>
        <v xml:space="preserve">     2.2.b  Feasiblity Studies/  Transaction Advisory Services</v>
      </c>
      <c r="C24" s="297" t="s">
        <v>192</v>
      </c>
      <c r="D24" s="234">
        <v>350000</v>
      </c>
      <c r="E24" s="297" t="s">
        <v>213</v>
      </c>
      <c r="H24" s="317"/>
      <c r="I24" s="300">
        <v>0.25</v>
      </c>
      <c r="J24" s="300">
        <v>0.25</v>
      </c>
      <c r="K24" s="300">
        <v>0.25</v>
      </c>
      <c r="L24" s="300">
        <v>0.25</v>
      </c>
      <c r="U24" s="300">
        <f t="shared" si="0"/>
        <v>1</v>
      </c>
      <c r="X24" s="302">
        <f t="shared" si="5"/>
        <v>0</v>
      </c>
      <c r="Y24" s="302">
        <f t="shared" si="5"/>
        <v>0</v>
      </c>
      <c r="Z24" s="302">
        <f t="shared" si="5"/>
        <v>0</v>
      </c>
      <c r="AA24" s="302">
        <f t="shared" si="5"/>
        <v>87500</v>
      </c>
      <c r="AB24" s="302">
        <f t="shared" si="5"/>
        <v>87500</v>
      </c>
      <c r="AC24" s="302">
        <f t="shared" si="5"/>
        <v>87500</v>
      </c>
      <c r="AD24" s="302">
        <f t="shared" si="5"/>
        <v>87500</v>
      </c>
      <c r="AE24" s="302">
        <f t="shared" si="5"/>
        <v>0</v>
      </c>
      <c r="AF24" s="302">
        <f t="shared" si="5"/>
        <v>0</v>
      </c>
      <c r="AG24" s="302">
        <f t="shared" si="5"/>
        <v>0</v>
      </c>
      <c r="AH24" s="302">
        <f t="shared" si="5"/>
        <v>0</v>
      </c>
      <c r="AI24" s="302">
        <f t="shared" si="5"/>
        <v>0</v>
      </c>
      <c r="AJ24" s="302">
        <f t="shared" si="5"/>
        <v>0</v>
      </c>
      <c r="AK24" s="302">
        <f t="shared" si="5"/>
        <v>0</v>
      </c>
      <c r="AL24" s="302">
        <f t="shared" si="5"/>
        <v>0</v>
      </c>
      <c r="AM24" s="240"/>
      <c r="AN24" s="302">
        <f t="shared" si="4"/>
        <v>0</v>
      </c>
      <c r="AO24" s="302">
        <f t="shared" si="4"/>
        <v>0</v>
      </c>
      <c r="AP24" s="302">
        <f t="shared" si="4"/>
        <v>0</v>
      </c>
      <c r="AQ24" s="302">
        <f t="shared" si="4"/>
        <v>350000</v>
      </c>
      <c r="AR24" s="302">
        <f t="shared" si="4"/>
        <v>0</v>
      </c>
      <c r="AS24" s="302">
        <f t="shared" si="4"/>
        <v>0</v>
      </c>
      <c r="AT24" s="302">
        <f t="shared" si="4"/>
        <v>0</v>
      </c>
      <c r="AU24" s="302">
        <f t="shared" si="4"/>
        <v>0</v>
      </c>
      <c r="AV24" s="302">
        <f t="shared" si="4"/>
        <v>0</v>
      </c>
      <c r="AW24" s="302">
        <f t="shared" si="4"/>
        <v>0</v>
      </c>
      <c r="AX24" s="302">
        <f t="shared" si="4"/>
        <v>0</v>
      </c>
      <c r="AY24" s="302">
        <f t="shared" si="4"/>
        <v>0</v>
      </c>
      <c r="AZ24" s="302">
        <f t="shared" si="4"/>
        <v>0</v>
      </c>
      <c r="BA24" s="302">
        <f t="shared" si="4"/>
        <v>0</v>
      </c>
      <c r="BB24" s="302">
        <f t="shared" si="4"/>
        <v>0</v>
      </c>
      <c r="BD24" s="301">
        <f t="shared" si="3"/>
        <v>0</v>
      </c>
    </row>
    <row r="25" spans="1:56" x14ac:dyDescent="0.25">
      <c r="A25" s="297" t="s">
        <v>151</v>
      </c>
      <c r="B25" s="310" t="str">
        <f>VLOOKUP(A25,'DFP-Com'!$A$16:$B$50,2,1)</f>
        <v xml:space="preserve">     2.2.b  Feasiblity Studies/  Transaction Advisory Services</v>
      </c>
      <c r="C25" s="297" t="s">
        <v>193</v>
      </c>
      <c r="D25" s="234">
        <v>50000</v>
      </c>
      <c r="E25" s="297" t="s">
        <v>210</v>
      </c>
      <c r="J25" s="300">
        <v>0.25</v>
      </c>
      <c r="K25" s="300">
        <v>0.25</v>
      </c>
      <c r="L25" s="300">
        <v>0.25</v>
      </c>
      <c r="M25" s="300">
        <v>0.25</v>
      </c>
      <c r="U25" s="300">
        <f t="shared" si="0"/>
        <v>1</v>
      </c>
      <c r="X25" s="302">
        <f t="shared" si="5"/>
        <v>0</v>
      </c>
      <c r="Y25" s="302">
        <f t="shared" si="5"/>
        <v>0</v>
      </c>
      <c r="Z25" s="302">
        <f t="shared" si="5"/>
        <v>0</v>
      </c>
      <c r="AA25" s="302">
        <f t="shared" si="5"/>
        <v>0</v>
      </c>
      <c r="AB25" s="302">
        <f t="shared" si="5"/>
        <v>12500</v>
      </c>
      <c r="AC25" s="302">
        <f t="shared" si="5"/>
        <v>12500</v>
      </c>
      <c r="AD25" s="302">
        <f t="shared" si="5"/>
        <v>12500</v>
      </c>
      <c r="AE25" s="302">
        <f t="shared" si="5"/>
        <v>12500</v>
      </c>
      <c r="AF25" s="302">
        <f t="shared" si="5"/>
        <v>0</v>
      </c>
      <c r="AG25" s="302">
        <f t="shared" si="5"/>
        <v>0</v>
      </c>
      <c r="AH25" s="302">
        <f t="shared" si="5"/>
        <v>0</v>
      </c>
      <c r="AI25" s="302">
        <f t="shared" si="5"/>
        <v>0</v>
      </c>
      <c r="AJ25" s="302">
        <f t="shared" si="5"/>
        <v>0</v>
      </c>
      <c r="AK25" s="302">
        <f t="shared" si="5"/>
        <v>0</v>
      </c>
      <c r="AL25" s="302">
        <f t="shared" si="5"/>
        <v>0</v>
      </c>
      <c r="AM25" s="240"/>
      <c r="AN25" s="302">
        <f t="shared" si="4"/>
        <v>0</v>
      </c>
      <c r="AO25" s="302">
        <f t="shared" si="4"/>
        <v>0</v>
      </c>
      <c r="AP25" s="302">
        <f t="shared" si="4"/>
        <v>0</v>
      </c>
      <c r="AQ25" s="302">
        <f t="shared" si="4"/>
        <v>0</v>
      </c>
      <c r="AR25" s="302">
        <f t="shared" si="4"/>
        <v>50000</v>
      </c>
      <c r="AS25" s="302">
        <f t="shared" si="4"/>
        <v>0</v>
      </c>
      <c r="AT25" s="302">
        <f t="shared" si="4"/>
        <v>0</v>
      </c>
      <c r="AU25" s="302">
        <f t="shared" si="4"/>
        <v>0</v>
      </c>
      <c r="AV25" s="302">
        <f t="shared" si="4"/>
        <v>0</v>
      </c>
      <c r="AW25" s="302">
        <f t="shared" si="4"/>
        <v>0</v>
      </c>
      <c r="AX25" s="302">
        <f t="shared" si="4"/>
        <v>0</v>
      </c>
      <c r="AY25" s="302">
        <f t="shared" si="4"/>
        <v>0</v>
      </c>
      <c r="AZ25" s="302">
        <f t="shared" si="4"/>
        <v>0</v>
      </c>
      <c r="BA25" s="302">
        <f t="shared" si="4"/>
        <v>0</v>
      </c>
      <c r="BB25" s="302">
        <f t="shared" si="4"/>
        <v>0</v>
      </c>
      <c r="BD25" s="301">
        <f t="shared" si="3"/>
        <v>0</v>
      </c>
    </row>
    <row r="26" spans="1:56" x14ac:dyDescent="0.25">
      <c r="A26" s="297" t="s">
        <v>153</v>
      </c>
      <c r="B26" s="256" t="str">
        <f>VLOOKUP(A26,'DFP-Com'!$A$16:$B$50,2,1)</f>
        <v xml:space="preserve">     3.1.a  Student Assessment</v>
      </c>
      <c r="C26" s="247" t="s">
        <v>226</v>
      </c>
      <c r="D26" s="303">
        <v>100000</v>
      </c>
      <c r="E26" s="297" t="s">
        <v>213</v>
      </c>
      <c r="H26" s="317"/>
      <c r="I26" s="300">
        <v>0.25</v>
      </c>
      <c r="J26" s="300">
        <v>0.25</v>
      </c>
      <c r="K26" s="300">
        <v>0.25</v>
      </c>
      <c r="L26" s="300">
        <v>0.25</v>
      </c>
      <c r="U26" s="300">
        <f t="shared" si="0"/>
        <v>1</v>
      </c>
      <c r="X26" s="302">
        <f t="shared" si="5"/>
        <v>0</v>
      </c>
      <c r="Y26" s="302">
        <f t="shared" si="5"/>
        <v>0</v>
      </c>
      <c r="Z26" s="302">
        <f t="shared" si="5"/>
        <v>0</v>
      </c>
      <c r="AA26" s="302">
        <f t="shared" si="5"/>
        <v>25000</v>
      </c>
      <c r="AB26" s="302">
        <f t="shared" si="5"/>
        <v>25000</v>
      </c>
      <c r="AC26" s="302">
        <f t="shared" si="5"/>
        <v>25000</v>
      </c>
      <c r="AD26" s="302">
        <f t="shared" si="5"/>
        <v>25000</v>
      </c>
      <c r="AE26" s="302">
        <f t="shared" si="5"/>
        <v>0</v>
      </c>
      <c r="AF26" s="302">
        <f t="shared" si="5"/>
        <v>0</v>
      </c>
      <c r="AG26" s="302">
        <f t="shared" si="5"/>
        <v>0</v>
      </c>
      <c r="AH26" s="302">
        <f t="shared" si="5"/>
        <v>0</v>
      </c>
      <c r="AI26" s="302">
        <f t="shared" si="5"/>
        <v>0</v>
      </c>
      <c r="AJ26" s="302">
        <f t="shared" si="5"/>
        <v>0</v>
      </c>
      <c r="AK26" s="302">
        <f t="shared" si="5"/>
        <v>0</v>
      </c>
      <c r="AL26" s="302">
        <f t="shared" si="5"/>
        <v>0</v>
      </c>
      <c r="AM26" s="240"/>
      <c r="AN26" s="302">
        <f t="shared" si="4"/>
        <v>0</v>
      </c>
      <c r="AO26" s="302">
        <f t="shared" si="4"/>
        <v>0</v>
      </c>
      <c r="AP26" s="302">
        <f t="shared" si="4"/>
        <v>0</v>
      </c>
      <c r="AQ26" s="302">
        <f t="shared" si="4"/>
        <v>100000</v>
      </c>
      <c r="AR26" s="302">
        <f t="shared" si="4"/>
        <v>0</v>
      </c>
      <c r="AS26" s="302">
        <f t="shared" si="4"/>
        <v>0</v>
      </c>
      <c r="AT26" s="302">
        <f t="shared" si="4"/>
        <v>0</v>
      </c>
      <c r="AU26" s="302">
        <f t="shared" si="4"/>
        <v>0</v>
      </c>
      <c r="AV26" s="302">
        <f t="shared" si="4"/>
        <v>0</v>
      </c>
      <c r="AW26" s="302">
        <f t="shared" si="4"/>
        <v>0</v>
      </c>
      <c r="AX26" s="302">
        <f t="shared" si="4"/>
        <v>0</v>
      </c>
      <c r="AY26" s="302">
        <f t="shared" si="4"/>
        <v>0</v>
      </c>
      <c r="AZ26" s="302">
        <f t="shared" si="4"/>
        <v>0</v>
      </c>
      <c r="BA26" s="302">
        <f t="shared" si="4"/>
        <v>0</v>
      </c>
      <c r="BB26" s="302">
        <f t="shared" si="4"/>
        <v>0</v>
      </c>
      <c r="BD26" s="301">
        <f t="shared" si="3"/>
        <v>0</v>
      </c>
    </row>
    <row r="27" spans="1:56" x14ac:dyDescent="0.25">
      <c r="A27" s="297" t="s">
        <v>153</v>
      </c>
      <c r="B27" s="256" t="str">
        <f>VLOOKUP(A27,'DFP-Com'!$A$16:$B$50,2,1)</f>
        <v xml:space="preserve">     3.1.a  Student Assessment</v>
      </c>
      <c r="C27" s="247" t="s">
        <v>226</v>
      </c>
      <c r="D27" s="303">
        <v>500000</v>
      </c>
      <c r="E27" s="297" t="s">
        <v>250</v>
      </c>
      <c r="Q27" s="300">
        <v>0.25</v>
      </c>
      <c r="R27" s="300">
        <v>0.25</v>
      </c>
      <c r="S27" s="300">
        <v>0.25</v>
      </c>
      <c r="T27" s="300">
        <v>0.25</v>
      </c>
      <c r="U27" s="300">
        <f t="shared" si="0"/>
        <v>1</v>
      </c>
      <c r="X27" s="302">
        <f t="shared" si="5"/>
        <v>0</v>
      </c>
      <c r="Y27" s="302">
        <f t="shared" si="5"/>
        <v>0</v>
      </c>
      <c r="Z27" s="302">
        <f t="shared" si="5"/>
        <v>0</v>
      </c>
      <c r="AA27" s="302">
        <f t="shared" si="5"/>
        <v>0</v>
      </c>
      <c r="AB27" s="302">
        <f t="shared" si="5"/>
        <v>0</v>
      </c>
      <c r="AC27" s="302">
        <f t="shared" si="5"/>
        <v>0</v>
      </c>
      <c r="AD27" s="302">
        <f t="shared" si="5"/>
        <v>0</v>
      </c>
      <c r="AE27" s="302">
        <f t="shared" si="5"/>
        <v>0</v>
      </c>
      <c r="AF27" s="302">
        <f t="shared" si="5"/>
        <v>0</v>
      </c>
      <c r="AG27" s="302">
        <f t="shared" si="5"/>
        <v>0</v>
      </c>
      <c r="AH27" s="302">
        <f t="shared" si="5"/>
        <v>0</v>
      </c>
      <c r="AI27" s="302">
        <f t="shared" si="5"/>
        <v>125000</v>
      </c>
      <c r="AJ27" s="302">
        <f t="shared" si="5"/>
        <v>125000</v>
      </c>
      <c r="AK27" s="302">
        <f t="shared" si="5"/>
        <v>125000</v>
      </c>
      <c r="AL27" s="302">
        <f t="shared" si="5"/>
        <v>125000</v>
      </c>
      <c r="AM27" s="240"/>
      <c r="AN27" s="302">
        <f t="shared" si="4"/>
        <v>0</v>
      </c>
      <c r="AO27" s="302">
        <f t="shared" si="4"/>
        <v>0</v>
      </c>
      <c r="AP27" s="302">
        <f t="shared" si="4"/>
        <v>0</v>
      </c>
      <c r="AQ27" s="302">
        <f t="shared" si="4"/>
        <v>0</v>
      </c>
      <c r="AR27" s="302">
        <f t="shared" si="4"/>
        <v>0</v>
      </c>
      <c r="AS27" s="302">
        <f t="shared" si="4"/>
        <v>0</v>
      </c>
      <c r="AT27" s="302">
        <f t="shared" si="4"/>
        <v>0</v>
      </c>
      <c r="AU27" s="302">
        <f t="shared" si="4"/>
        <v>0</v>
      </c>
      <c r="AV27" s="302">
        <f t="shared" si="4"/>
        <v>0</v>
      </c>
      <c r="AW27" s="302">
        <f t="shared" si="4"/>
        <v>0</v>
      </c>
      <c r="AX27" s="302">
        <f t="shared" si="4"/>
        <v>0</v>
      </c>
      <c r="AY27" s="302">
        <f t="shared" si="4"/>
        <v>500000</v>
      </c>
      <c r="AZ27" s="302">
        <f t="shared" si="4"/>
        <v>0</v>
      </c>
      <c r="BA27" s="302">
        <f t="shared" si="4"/>
        <v>0</v>
      </c>
      <c r="BB27" s="302">
        <f t="shared" si="4"/>
        <v>0</v>
      </c>
      <c r="BD27" s="301">
        <f t="shared" si="3"/>
        <v>0</v>
      </c>
    </row>
    <row r="28" spans="1:56" x14ac:dyDescent="0.25">
      <c r="A28" s="297" t="s">
        <v>153</v>
      </c>
      <c r="B28" s="256" t="str">
        <f>VLOOKUP(A28,'DFP-Com'!$A$16:$B$50,2,1)</f>
        <v xml:space="preserve">     3.1.a  Student Assessment</v>
      </c>
      <c r="C28" s="297" t="s">
        <v>237</v>
      </c>
      <c r="D28" s="234">
        <v>7200</v>
      </c>
      <c r="E28" s="297" t="s">
        <v>213</v>
      </c>
      <c r="H28" s="317"/>
      <c r="I28" s="300">
        <v>0.3</v>
      </c>
      <c r="J28" s="300">
        <v>0.7</v>
      </c>
      <c r="K28" s="300"/>
      <c r="Q28" s="300"/>
      <c r="R28" s="300"/>
      <c r="S28" s="300"/>
      <c r="T28" s="300"/>
      <c r="U28" s="300">
        <f t="shared" si="0"/>
        <v>1</v>
      </c>
      <c r="X28" s="302">
        <f t="shared" si="5"/>
        <v>0</v>
      </c>
      <c r="Y28" s="302">
        <f t="shared" si="5"/>
        <v>0</v>
      </c>
      <c r="Z28" s="302">
        <f t="shared" si="5"/>
        <v>0</v>
      </c>
      <c r="AA28" s="302">
        <f t="shared" si="5"/>
        <v>2160</v>
      </c>
      <c r="AB28" s="302">
        <f t="shared" si="5"/>
        <v>5040</v>
      </c>
      <c r="AC28" s="302">
        <f t="shared" si="5"/>
        <v>0</v>
      </c>
      <c r="AD28" s="302">
        <f t="shared" si="5"/>
        <v>0</v>
      </c>
      <c r="AE28" s="302">
        <f t="shared" si="5"/>
        <v>0</v>
      </c>
      <c r="AF28" s="302">
        <f t="shared" si="5"/>
        <v>0</v>
      </c>
      <c r="AG28" s="302">
        <f t="shared" si="5"/>
        <v>0</v>
      </c>
      <c r="AH28" s="302">
        <f t="shared" si="5"/>
        <v>0</v>
      </c>
      <c r="AI28" s="302">
        <f t="shared" si="5"/>
        <v>0</v>
      </c>
      <c r="AJ28" s="302">
        <f t="shared" si="5"/>
        <v>0</v>
      </c>
      <c r="AK28" s="302">
        <f t="shared" si="5"/>
        <v>0</v>
      </c>
      <c r="AL28" s="302">
        <f t="shared" si="5"/>
        <v>0</v>
      </c>
      <c r="AM28" s="240"/>
      <c r="AN28" s="302">
        <f t="shared" si="4"/>
        <v>0</v>
      </c>
      <c r="AO28" s="302">
        <f t="shared" si="4"/>
        <v>0</v>
      </c>
      <c r="AP28" s="302">
        <f t="shared" si="4"/>
        <v>0</v>
      </c>
      <c r="AQ28" s="302">
        <f t="shared" si="4"/>
        <v>7200</v>
      </c>
      <c r="AR28" s="302">
        <f t="shared" si="4"/>
        <v>0</v>
      </c>
      <c r="AS28" s="302">
        <f t="shared" si="4"/>
        <v>0</v>
      </c>
      <c r="AT28" s="302">
        <f t="shared" si="4"/>
        <v>0</v>
      </c>
      <c r="AU28" s="302">
        <f t="shared" si="4"/>
        <v>0</v>
      </c>
      <c r="AV28" s="302">
        <f t="shared" si="4"/>
        <v>0</v>
      </c>
      <c r="AW28" s="302">
        <f t="shared" si="4"/>
        <v>0</v>
      </c>
      <c r="AX28" s="302">
        <f t="shared" si="4"/>
        <v>0</v>
      </c>
      <c r="AY28" s="302">
        <f t="shared" si="4"/>
        <v>0</v>
      </c>
      <c r="AZ28" s="302">
        <f t="shared" si="4"/>
        <v>0</v>
      </c>
      <c r="BA28" s="302">
        <f t="shared" si="4"/>
        <v>0</v>
      </c>
      <c r="BB28" s="302">
        <f t="shared" si="4"/>
        <v>0</v>
      </c>
      <c r="BD28" s="301"/>
    </row>
    <row r="29" spans="1:56" x14ac:dyDescent="0.25">
      <c r="A29" s="297" t="s">
        <v>153</v>
      </c>
      <c r="B29" s="256" t="str">
        <f>VLOOKUP(A29,'DFP-Com'!$A$16:$B$50,2,1)</f>
        <v xml:space="preserve">     3.1.a  Student Assessment</v>
      </c>
      <c r="C29" s="297" t="s">
        <v>238</v>
      </c>
      <c r="D29" s="234">
        <v>19200</v>
      </c>
      <c r="E29" s="297" t="s">
        <v>213</v>
      </c>
      <c r="H29" s="317"/>
      <c r="I29" s="300">
        <v>0.3</v>
      </c>
      <c r="J29" s="300">
        <v>0.7</v>
      </c>
      <c r="K29" s="300"/>
      <c r="Q29" s="300"/>
      <c r="R29" s="300"/>
      <c r="S29" s="300"/>
      <c r="T29" s="300"/>
      <c r="U29" s="300">
        <f t="shared" si="0"/>
        <v>1</v>
      </c>
      <c r="X29" s="302">
        <f t="shared" si="5"/>
        <v>0</v>
      </c>
      <c r="Y29" s="302">
        <f t="shared" si="5"/>
        <v>0</v>
      </c>
      <c r="Z29" s="302">
        <f t="shared" si="5"/>
        <v>0</v>
      </c>
      <c r="AA29" s="302">
        <f t="shared" si="5"/>
        <v>5760</v>
      </c>
      <c r="AB29" s="302">
        <f t="shared" si="5"/>
        <v>13440</v>
      </c>
      <c r="AC29" s="302">
        <f t="shared" si="5"/>
        <v>0</v>
      </c>
      <c r="AD29" s="302">
        <f t="shared" si="5"/>
        <v>0</v>
      </c>
      <c r="AE29" s="302">
        <f t="shared" si="5"/>
        <v>0</v>
      </c>
      <c r="AF29" s="302">
        <f t="shared" si="5"/>
        <v>0</v>
      </c>
      <c r="AG29" s="302">
        <f t="shared" si="5"/>
        <v>0</v>
      </c>
      <c r="AH29" s="302">
        <f t="shared" si="5"/>
        <v>0</v>
      </c>
      <c r="AI29" s="302">
        <f t="shared" si="5"/>
        <v>0</v>
      </c>
      <c r="AJ29" s="302">
        <f t="shared" si="5"/>
        <v>0</v>
      </c>
      <c r="AK29" s="302">
        <f t="shared" si="5"/>
        <v>0</v>
      </c>
      <c r="AL29" s="302">
        <f t="shared" si="5"/>
        <v>0</v>
      </c>
      <c r="AM29" s="240"/>
      <c r="AN29" s="302">
        <f t="shared" si="4"/>
        <v>0</v>
      </c>
      <c r="AO29" s="302">
        <f t="shared" si="4"/>
        <v>0</v>
      </c>
      <c r="AP29" s="302">
        <f t="shared" si="4"/>
        <v>0</v>
      </c>
      <c r="AQ29" s="302">
        <f t="shared" si="4"/>
        <v>19200</v>
      </c>
      <c r="AR29" s="302">
        <f t="shared" si="4"/>
        <v>0</v>
      </c>
      <c r="AS29" s="302">
        <f t="shared" si="4"/>
        <v>0</v>
      </c>
      <c r="AT29" s="302">
        <f t="shared" si="4"/>
        <v>0</v>
      </c>
      <c r="AU29" s="302">
        <f t="shared" si="4"/>
        <v>0</v>
      </c>
      <c r="AV29" s="302">
        <f t="shared" si="4"/>
        <v>0</v>
      </c>
      <c r="AW29" s="302">
        <f t="shared" si="4"/>
        <v>0</v>
      </c>
      <c r="AX29" s="302">
        <f t="shared" si="4"/>
        <v>0</v>
      </c>
      <c r="AY29" s="302">
        <f t="shared" si="4"/>
        <v>0</v>
      </c>
      <c r="AZ29" s="302">
        <f t="shared" si="4"/>
        <v>0</v>
      </c>
      <c r="BA29" s="302">
        <f t="shared" si="4"/>
        <v>0</v>
      </c>
      <c r="BB29" s="302">
        <f t="shared" si="4"/>
        <v>0</v>
      </c>
      <c r="BD29" s="301"/>
    </row>
    <row r="30" spans="1:56" x14ac:dyDescent="0.25">
      <c r="A30" s="297" t="s">
        <v>153</v>
      </c>
      <c r="B30" s="256" t="str">
        <f>VLOOKUP(A30,'DFP-Com'!$A$16:$B$50,2,1)</f>
        <v xml:space="preserve">     3.1.a  Student Assessment</v>
      </c>
      <c r="C30" s="297" t="s">
        <v>239</v>
      </c>
      <c r="D30" s="234">
        <v>8000</v>
      </c>
      <c r="E30" s="297" t="s">
        <v>181</v>
      </c>
      <c r="H30" s="317">
        <v>0.5</v>
      </c>
      <c r="I30" s="300">
        <v>0.5</v>
      </c>
      <c r="Q30" s="300"/>
      <c r="R30" s="300"/>
      <c r="S30" s="300"/>
      <c r="T30" s="300"/>
      <c r="U30" s="300">
        <f t="shared" si="0"/>
        <v>1</v>
      </c>
      <c r="X30" s="302">
        <f t="shared" si="5"/>
        <v>0</v>
      </c>
      <c r="Y30" s="302">
        <f t="shared" si="5"/>
        <v>0</v>
      </c>
      <c r="Z30" s="302">
        <f t="shared" si="5"/>
        <v>4000</v>
      </c>
      <c r="AA30" s="302">
        <f t="shared" si="5"/>
        <v>4000</v>
      </c>
      <c r="AB30" s="302">
        <f t="shared" si="5"/>
        <v>0</v>
      </c>
      <c r="AC30" s="302">
        <f t="shared" si="5"/>
        <v>0</v>
      </c>
      <c r="AD30" s="302">
        <f t="shared" si="5"/>
        <v>0</v>
      </c>
      <c r="AE30" s="302">
        <f t="shared" si="5"/>
        <v>0</v>
      </c>
      <c r="AF30" s="302">
        <f t="shared" si="5"/>
        <v>0</v>
      </c>
      <c r="AG30" s="302">
        <f t="shared" si="5"/>
        <v>0</v>
      </c>
      <c r="AH30" s="302">
        <f t="shared" si="5"/>
        <v>0</v>
      </c>
      <c r="AI30" s="302">
        <f t="shared" si="5"/>
        <v>0</v>
      </c>
      <c r="AJ30" s="302">
        <f t="shared" si="5"/>
        <v>0</v>
      </c>
      <c r="AK30" s="302">
        <f t="shared" si="5"/>
        <v>0</v>
      </c>
      <c r="AL30" s="302">
        <f t="shared" si="5"/>
        <v>0</v>
      </c>
      <c r="AM30" s="240"/>
      <c r="AN30" s="302">
        <f t="shared" si="4"/>
        <v>0</v>
      </c>
      <c r="AO30" s="302">
        <f t="shared" si="4"/>
        <v>0</v>
      </c>
      <c r="AP30" s="302">
        <f t="shared" si="4"/>
        <v>8000</v>
      </c>
      <c r="AQ30" s="302">
        <f t="shared" si="4"/>
        <v>0</v>
      </c>
      <c r="AR30" s="302">
        <f t="shared" si="4"/>
        <v>0</v>
      </c>
      <c r="AS30" s="302">
        <f t="shared" si="4"/>
        <v>0</v>
      </c>
      <c r="AT30" s="302">
        <f t="shared" si="4"/>
        <v>0</v>
      </c>
      <c r="AU30" s="302">
        <f t="shared" si="4"/>
        <v>0</v>
      </c>
      <c r="AV30" s="302">
        <f t="shared" si="4"/>
        <v>0</v>
      </c>
      <c r="AW30" s="302">
        <f t="shared" si="4"/>
        <v>0</v>
      </c>
      <c r="AX30" s="302">
        <f t="shared" si="4"/>
        <v>0</v>
      </c>
      <c r="AY30" s="302">
        <f t="shared" si="4"/>
        <v>0</v>
      </c>
      <c r="AZ30" s="302">
        <f t="shared" si="4"/>
        <v>0</v>
      </c>
      <c r="BA30" s="302">
        <f t="shared" si="4"/>
        <v>0</v>
      </c>
      <c r="BB30" s="302">
        <f t="shared" si="4"/>
        <v>0</v>
      </c>
      <c r="BD30" s="301"/>
    </row>
    <row r="31" spans="1:56" x14ac:dyDescent="0.25">
      <c r="A31" s="297" t="s">
        <v>153</v>
      </c>
      <c r="B31" s="256" t="str">
        <f>VLOOKUP(A31,'DFP-Com'!$A$16:$B$50,2,1)</f>
        <v xml:space="preserve">     3.1.a  Student Assessment</v>
      </c>
      <c r="C31" s="297" t="s">
        <v>240</v>
      </c>
      <c r="D31" s="234">
        <v>72000</v>
      </c>
      <c r="E31" s="297" t="s">
        <v>181</v>
      </c>
      <c r="H31" s="317">
        <v>8.3333333333333301E-2</v>
      </c>
      <c r="I31" s="300">
        <v>8.3333333333333301E-2</v>
      </c>
      <c r="J31" s="300">
        <v>8.3333333333333301E-2</v>
      </c>
      <c r="K31" s="300">
        <v>8.3333333333333301E-2</v>
      </c>
      <c r="L31" s="300">
        <v>8.3333333333333301E-2</v>
      </c>
      <c r="M31" s="300">
        <v>8.3333333333333301E-2</v>
      </c>
      <c r="N31" s="300">
        <v>8.3333333333333301E-2</v>
      </c>
      <c r="O31" s="300">
        <v>8.3333333333333301E-2</v>
      </c>
      <c r="P31" s="300">
        <v>8.3333333333333301E-2</v>
      </c>
      <c r="Q31" s="300">
        <v>8.3333333333333301E-2</v>
      </c>
      <c r="R31" s="300">
        <v>8.3333333333333301E-2</v>
      </c>
      <c r="S31" s="300">
        <v>8.3333333333333301E-2</v>
      </c>
      <c r="T31" s="300"/>
      <c r="U31" s="300">
        <f t="shared" si="0"/>
        <v>0.99999999999999944</v>
      </c>
      <c r="X31" s="302">
        <f t="shared" si="5"/>
        <v>0</v>
      </c>
      <c r="Y31" s="302">
        <f t="shared" si="5"/>
        <v>0</v>
      </c>
      <c r="Z31" s="302">
        <f t="shared" si="5"/>
        <v>5999.9999999999973</v>
      </c>
      <c r="AA31" s="302">
        <f t="shared" si="5"/>
        <v>5999.9999999999973</v>
      </c>
      <c r="AB31" s="302">
        <f t="shared" si="5"/>
        <v>5999.9999999999973</v>
      </c>
      <c r="AC31" s="302">
        <f t="shared" si="5"/>
        <v>5999.9999999999973</v>
      </c>
      <c r="AD31" s="302">
        <f t="shared" si="5"/>
        <v>5999.9999999999973</v>
      </c>
      <c r="AE31" s="302">
        <f t="shared" si="5"/>
        <v>5999.9999999999973</v>
      </c>
      <c r="AF31" s="302">
        <f t="shared" si="5"/>
        <v>5999.9999999999973</v>
      </c>
      <c r="AG31" s="302">
        <f t="shared" si="5"/>
        <v>5999.9999999999973</v>
      </c>
      <c r="AH31" s="302">
        <f t="shared" si="5"/>
        <v>5999.9999999999973</v>
      </c>
      <c r="AI31" s="302">
        <f t="shared" si="5"/>
        <v>5999.9999999999973</v>
      </c>
      <c r="AJ31" s="302">
        <f t="shared" si="5"/>
        <v>5999.9999999999973</v>
      </c>
      <c r="AK31" s="302">
        <f t="shared" si="5"/>
        <v>5999.9999999999973</v>
      </c>
      <c r="AL31" s="302">
        <f t="shared" si="5"/>
        <v>0</v>
      </c>
      <c r="AM31" s="240"/>
      <c r="AN31" s="302">
        <f t="shared" si="4"/>
        <v>0</v>
      </c>
      <c r="AO31" s="302">
        <f t="shared" si="4"/>
        <v>0</v>
      </c>
      <c r="AP31" s="302">
        <f t="shared" si="4"/>
        <v>72000</v>
      </c>
      <c r="AQ31" s="302">
        <f t="shared" si="4"/>
        <v>0</v>
      </c>
      <c r="AR31" s="302">
        <f t="shared" si="4"/>
        <v>0</v>
      </c>
      <c r="AS31" s="302">
        <f t="shared" si="4"/>
        <v>0</v>
      </c>
      <c r="AT31" s="302">
        <f t="shared" si="4"/>
        <v>0</v>
      </c>
      <c r="AU31" s="302">
        <f t="shared" si="4"/>
        <v>0</v>
      </c>
      <c r="AV31" s="302">
        <f t="shared" si="4"/>
        <v>0</v>
      </c>
      <c r="AW31" s="302">
        <f t="shared" si="4"/>
        <v>0</v>
      </c>
      <c r="AX31" s="302">
        <f t="shared" si="4"/>
        <v>0</v>
      </c>
      <c r="AY31" s="302">
        <f t="shared" si="4"/>
        <v>0</v>
      </c>
      <c r="AZ31" s="302">
        <f t="shared" si="4"/>
        <v>0</v>
      </c>
      <c r="BA31" s="302">
        <f t="shared" si="4"/>
        <v>0</v>
      </c>
      <c r="BB31" s="302">
        <f t="shared" si="4"/>
        <v>0</v>
      </c>
      <c r="BD31" s="301"/>
    </row>
    <row r="32" spans="1:56" x14ac:dyDescent="0.25">
      <c r="A32" s="297" t="s">
        <v>154</v>
      </c>
      <c r="B32" s="256" t="str">
        <f>VLOOKUP(A32,'DFP-Com'!$A$16:$B$50,2,1)</f>
        <v xml:space="preserve">     3.1.b  Teacher Evaluations</v>
      </c>
      <c r="C32" s="247" t="s">
        <v>226</v>
      </c>
      <c r="D32" s="234">
        <v>100000</v>
      </c>
      <c r="E32" s="297" t="s">
        <v>213</v>
      </c>
      <c r="I32" s="300">
        <v>0.25</v>
      </c>
      <c r="J32" s="300">
        <v>0.25</v>
      </c>
      <c r="K32" s="300">
        <v>0.25</v>
      </c>
      <c r="L32" s="300">
        <v>0.25</v>
      </c>
      <c r="U32" s="300">
        <f t="shared" si="0"/>
        <v>1</v>
      </c>
      <c r="X32" s="302">
        <f t="shared" si="5"/>
        <v>0</v>
      </c>
      <c r="Y32" s="302">
        <f t="shared" si="5"/>
        <v>0</v>
      </c>
      <c r="Z32" s="302">
        <f t="shared" si="5"/>
        <v>0</v>
      </c>
      <c r="AA32" s="302">
        <f t="shared" si="5"/>
        <v>25000</v>
      </c>
      <c r="AB32" s="302">
        <f t="shared" si="5"/>
        <v>25000</v>
      </c>
      <c r="AC32" s="302">
        <f t="shared" si="5"/>
        <v>25000</v>
      </c>
      <c r="AD32" s="302">
        <f t="shared" si="5"/>
        <v>25000</v>
      </c>
      <c r="AE32" s="302">
        <f t="shared" si="5"/>
        <v>0</v>
      </c>
      <c r="AF32" s="302">
        <f t="shared" si="5"/>
        <v>0</v>
      </c>
      <c r="AG32" s="302">
        <f t="shared" si="5"/>
        <v>0</v>
      </c>
      <c r="AH32" s="302">
        <f t="shared" si="5"/>
        <v>0</v>
      </c>
      <c r="AI32" s="302">
        <f t="shared" si="5"/>
        <v>0</v>
      </c>
      <c r="AJ32" s="302">
        <f t="shared" si="5"/>
        <v>0</v>
      </c>
      <c r="AK32" s="302">
        <f t="shared" si="5"/>
        <v>0</v>
      </c>
      <c r="AL32" s="302">
        <f t="shared" si="5"/>
        <v>0</v>
      </c>
      <c r="AM32" s="240"/>
      <c r="AN32" s="302">
        <f t="shared" si="4"/>
        <v>0</v>
      </c>
      <c r="AO32" s="302">
        <f t="shared" si="4"/>
        <v>0</v>
      </c>
      <c r="AP32" s="302">
        <f t="shared" si="4"/>
        <v>0</v>
      </c>
      <c r="AQ32" s="302">
        <f t="shared" si="4"/>
        <v>100000</v>
      </c>
      <c r="AR32" s="302">
        <f t="shared" si="4"/>
        <v>0</v>
      </c>
      <c r="AS32" s="302">
        <f t="shared" si="4"/>
        <v>0</v>
      </c>
      <c r="AT32" s="302">
        <f t="shared" si="4"/>
        <v>0</v>
      </c>
      <c r="AU32" s="302">
        <f t="shared" si="4"/>
        <v>0</v>
      </c>
      <c r="AV32" s="302">
        <f t="shared" si="4"/>
        <v>0</v>
      </c>
      <c r="AW32" s="302">
        <f t="shared" si="4"/>
        <v>0</v>
      </c>
      <c r="AX32" s="302">
        <f t="shared" si="4"/>
        <v>0</v>
      </c>
      <c r="AY32" s="302">
        <f t="shared" si="4"/>
        <v>0</v>
      </c>
      <c r="AZ32" s="302">
        <f t="shared" si="4"/>
        <v>0</v>
      </c>
      <c r="BA32" s="302">
        <f t="shared" si="4"/>
        <v>0</v>
      </c>
      <c r="BB32" s="302">
        <f t="shared" si="4"/>
        <v>0</v>
      </c>
      <c r="BD32" s="301">
        <f t="shared" ref="BD32:BD38" si="6">SUM(X32:AL32)-SUM(AN32:BB32)</f>
        <v>0</v>
      </c>
    </row>
    <row r="33" spans="1:56" x14ac:dyDescent="0.25">
      <c r="A33" s="297" t="s">
        <v>154</v>
      </c>
      <c r="B33" s="256" t="str">
        <f>VLOOKUP(A33,'DFP-Com'!$A$16:$B$50,2,1)</f>
        <v xml:space="preserve">     3.1.b  Teacher Evaluations</v>
      </c>
      <c r="C33" s="247" t="s">
        <v>226</v>
      </c>
      <c r="D33" s="234">
        <v>200000</v>
      </c>
      <c r="E33" s="297" t="s">
        <v>227</v>
      </c>
      <c r="Q33" s="300">
        <v>0.25</v>
      </c>
      <c r="R33" s="300">
        <v>0.25</v>
      </c>
      <c r="S33" s="300">
        <v>0.25</v>
      </c>
      <c r="T33" s="300">
        <v>0.25</v>
      </c>
      <c r="U33" s="300">
        <f t="shared" si="0"/>
        <v>1</v>
      </c>
      <c r="X33" s="302">
        <f t="shared" si="5"/>
        <v>0</v>
      </c>
      <c r="Y33" s="302">
        <f t="shared" si="5"/>
        <v>0</v>
      </c>
      <c r="Z33" s="302">
        <f t="shared" si="5"/>
        <v>0</v>
      </c>
      <c r="AA33" s="302">
        <f t="shared" si="5"/>
        <v>0</v>
      </c>
      <c r="AB33" s="302">
        <f t="shared" si="5"/>
        <v>0</v>
      </c>
      <c r="AC33" s="302">
        <f t="shared" si="5"/>
        <v>0</v>
      </c>
      <c r="AD33" s="302">
        <f t="shared" si="5"/>
        <v>0</v>
      </c>
      <c r="AE33" s="302">
        <f t="shared" si="5"/>
        <v>0</v>
      </c>
      <c r="AF33" s="302">
        <f t="shared" si="5"/>
        <v>0</v>
      </c>
      <c r="AG33" s="302">
        <f t="shared" si="5"/>
        <v>0</v>
      </c>
      <c r="AH33" s="302">
        <f t="shared" si="5"/>
        <v>0</v>
      </c>
      <c r="AI33" s="302">
        <f t="shared" si="5"/>
        <v>50000</v>
      </c>
      <c r="AJ33" s="302">
        <f t="shared" si="5"/>
        <v>50000</v>
      </c>
      <c r="AK33" s="302">
        <f t="shared" si="5"/>
        <v>50000</v>
      </c>
      <c r="AL33" s="302">
        <f t="shared" si="5"/>
        <v>50000</v>
      </c>
      <c r="AM33" s="240"/>
      <c r="AN33" s="302">
        <f t="shared" si="4"/>
        <v>0</v>
      </c>
      <c r="AO33" s="302">
        <f t="shared" si="4"/>
        <v>0</v>
      </c>
      <c r="AP33" s="302">
        <f t="shared" si="4"/>
        <v>0</v>
      </c>
      <c r="AQ33" s="302">
        <f t="shared" si="4"/>
        <v>0</v>
      </c>
      <c r="AR33" s="302">
        <f t="shared" si="4"/>
        <v>0</v>
      </c>
      <c r="AS33" s="302">
        <f t="shared" si="4"/>
        <v>0</v>
      </c>
      <c r="AT33" s="302">
        <f t="shared" si="4"/>
        <v>0</v>
      </c>
      <c r="AU33" s="302">
        <f t="shared" si="4"/>
        <v>0</v>
      </c>
      <c r="AV33" s="302">
        <f t="shared" si="4"/>
        <v>0</v>
      </c>
      <c r="AW33" s="302">
        <f t="shared" si="4"/>
        <v>0</v>
      </c>
      <c r="AX33" s="302">
        <f t="shared" si="4"/>
        <v>0</v>
      </c>
      <c r="AY33" s="302">
        <f t="shared" si="4"/>
        <v>0</v>
      </c>
      <c r="AZ33" s="302">
        <f t="shared" si="4"/>
        <v>0</v>
      </c>
      <c r="BA33" s="302">
        <f t="shared" si="4"/>
        <v>0</v>
      </c>
      <c r="BB33" s="302">
        <f t="shared" si="4"/>
        <v>200000</v>
      </c>
      <c r="BD33" s="301">
        <f t="shared" si="6"/>
        <v>0</v>
      </c>
    </row>
    <row r="34" spans="1:56" x14ac:dyDescent="0.25">
      <c r="A34" s="297" t="s">
        <v>155</v>
      </c>
      <c r="B34" s="256" t="str">
        <f>VLOOKUP(A34,'DFP-Com'!$A$16:$B$50,2,1)</f>
        <v xml:space="preserve">     3.1.c  Voc Ed Tracer Studies</v>
      </c>
      <c r="C34" s="247" t="s">
        <v>226</v>
      </c>
      <c r="D34" s="234">
        <v>100000</v>
      </c>
      <c r="E34" s="297" t="s">
        <v>195</v>
      </c>
      <c r="L34" s="300">
        <v>0.25</v>
      </c>
      <c r="M34" s="300">
        <v>0.25</v>
      </c>
      <c r="N34" s="300">
        <v>0.25</v>
      </c>
      <c r="O34" s="300">
        <v>0.25</v>
      </c>
      <c r="U34" s="300">
        <f t="shared" si="0"/>
        <v>1</v>
      </c>
      <c r="X34" s="302">
        <f t="shared" si="5"/>
        <v>0</v>
      </c>
      <c r="Y34" s="302">
        <f t="shared" si="5"/>
        <v>0</v>
      </c>
      <c r="Z34" s="302">
        <f t="shared" si="5"/>
        <v>0</v>
      </c>
      <c r="AA34" s="302">
        <f t="shared" si="5"/>
        <v>0</v>
      </c>
      <c r="AB34" s="302">
        <f t="shared" si="5"/>
        <v>0</v>
      </c>
      <c r="AC34" s="302">
        <f t="shared" si="5"/>
        <v>0</v>
      </c>
      <c r="AD34" s="302">
        <f t="shared" si="5"/>
        <v>25000</v>
      </c>
      <c r="AE34" s="302">
        <f t="shared" si="5"/>
        <v>25000</v>
      </c>
      <c r="AF34" s="302">
        <f t="shared" si="5"/>
        <v>25000</v>
      </c>
      <c r="AG34" s="302">
        <f t="shared" si="5"/>
        <v>25000</v>
      </c>
      <c r="AH34" s="302">
        <f t="shared" si="5"/>
        <v>0</v>
      </c>
      <c r="AI34" s="302">
        <f t="shared" si="5"/>
        <v>0</v>
      </c>
      <c r="AJ34" s="302">
        <f t="shared" si="5"/>
        <v>0</v>
      </c>
      <c r="AK34" s="302">
        <f t="shared" si="5"/>
        <v>0</v>
      </c>
      <c r="AL34" s="302">
        <f t="shared" si="5"/>
        <v>0</v>
      </c>
      <c r="AM34" s="240"/>
      <c r="AN34" s="302">
        <f t="shared" si="4"/>
        <v>0</v>
      </c>
      <c r="AO34" s="302">
        <f t="shared" si="4"/>
        <v>0</v>
      </c>
      <c r="AP34" s="302">
        <f t="shared" si="4"/>
        <v>0</v>
      </c>
      <c r="AQ34" s="302">
        <f t="shared" si="4"/>
        <v>0</v>
      </c>
      <c r="AR34" s="302">
        <f t="shared" si="4"/>
        <v>0</v>
      </c>
      <c r="AS34" s="302">
        <f t="shared" si="4"/>
        <v>0</v>
      </c>
      <c r="AT34" s="302">
        <f t="shared" si="4"/>
        <v>100000</v>
      </c>
      <c r="AU34" s="302">
        <f t="shared" si="4"/>
        <v>0</v>
      </c>
      <c r="AV34" s="302">
        <f t="shared" si="4"/>
        <v>0</v>
      </c>
      <c r="AW34" s="302">
        <f t="shared" si="4"/>
        <v>0</v>
      </c>
      <c r="AX34" s="302">
        <f t="shared" si="4"/>
        <v>0</v>
      </c>
      <c r="AY34" s="302">
        <f t="shared" si="4"/>
        <v>0</v>
      </c>
      <c r="AZ34" s="302">
        <f t="shared" si="4"/>
        <v>0</v>
      </c>
      <c r="BA34" s="302">
        <f t="shared" si="4"/>
        <v>0</v>
      </c>
      <c r="BB34" s="302">
        <f t="shared" si="4"/>
        <v>0</v>
      </c>
      <c r="BD34" s="301">
        <f t="shared" si="6"/>
        <v>0</v>
      </c>
    </row>
    <row r="35" spans="1:56" x14ac:dyDescent="0.25">
      <c r="A35" s="297" t="s">
        <v>155</v>
      </c>
      <c r="B35" s="256" t="str">
        <f>VLOOKUP(A35,'DFP-Com'!$A$16:$B$50,2,1)</f>
        <v xml:space="preserve">     3.1.c  Voc Ed Tracer Studies</v>
      </c>
      <c r="C35" s="247" t="s">
        <v>226</v>
      </c>
      <c r="D35" s="234">
        <v>200000</v>
      </c>
      <c r="E35" s="297" t="s">
        <v>227</v>
      </c>
      <c r="Q35" s="300">
        <v>0.25</v>
      </c>
      <c r="R35" s="300">
        <v>0.25</v>
      </c>
      <c r="S35" s="300">
        <v>0.25</v>
      </c>
      <c r="T35" s="300">
        <v>0.25</v>
      </c>
      <c r="U35" s="300">
        <f t="shared" si="0"/>
        <v>1</v>
      </c>
      <c r="X35" s="302">
        <f t="shared" si="5"/>
        <v>0</v>
      </c>
      <c r="Y35" s="302">
        <f t="shared" si="5"/>
        <v>0</v>
      </c>
      <c r="Z35" s="302">
        <f t="shared" si="5"/>
        <v>0</v>
      </c>
      <c r="AA35" s="302">
        <f t="shared" si="5"/>
        <v>0</v>
      </c>
      <c r="AB35" s="302">
        <f t="shared" si="5"/>
        <v>0</v>
      </c>
      <c r="AC35" s="302">
        <f t="shared" si="5"/>
        <v>0</v>
      </c>
      <c r="AD35" s="302">
        <f t="shared" si="5"/>
        <v>0</v>
      </c>
      <c r="AE35" s="302">
        <f t="shared" si="5"/>
        <v>0</v>
      </c>
      <c r="AF35" s="302">
        <f t="shared" si="5"/>
        <v>0</v>
      </c>
      <c r="AG35" s="302">
        <f t="shared" si="5"/>
        <v>0</v>
      </c>
      <c r="AH35" s="302">
        <f t="shared" si="5"/>
        <v>0</v>
      </c>
      <c r="AI35" s="302">
        <f t="shared" si="5"/>
        <v>50000</v>
      </c>
      <c r="AJ35" s="302">
        <f t="shared" si="5"/>
        <v>50000</v>
      </c>
      <c r="AK35" s="302">
        <f t="shared" si="5"/>
        <v>50000</v>
      </c>
      <c r="AL35" s="302">
        <f t="shared" si="5"/>
        <v>50000</v>
      </c>
      <c r="AM35" s="240"/>
      <c r="AN35" s="302">
        <f t="shared" si="4"/>
        <v>0</v>
      </c>
      <c r="AO35" s="302">
        <f t="shared" si="4"/>
        <v>0</v>
      </c>
      <c r="AP35" s="302">
        <f t="shared" si="4"/>
        <v>0</v>
      </c>
      <c r="AQ35" s="302">
        <f t="shared" si="4"/>
        <v>0</v>
      </c>
      <c r="AR35" s="302">
        <f t="shared" si="4"/>
        <v>0</v>
      </c>
      <c r="AS35" s="302">
        <f t="shared" si="4"/>
        <v>0</v>
      </c>
      <c r="AT35" s="302">
        <f t="shared" si="4"/>
        <v>0</v>
      </c>
      <c r="AU35" s="302">
        <f t="shared" si="4"/>
        <v>0</v>
      </c>
      <c r="AV35" s="302">
        <f t="shared" si="4"/>
        <v>0</v>
      </c>
      <c r="AW35" s="302">
        <f t="shared" si="4"/>
        <v>0</v>
      </c>
      <c r="AX35" s="302">
        <f t="shared" si="4"/>
        <v>0</v>
      </c>
      <c r="AY35" s="302">
        <f t="shared" si="4"/>
        <v>0</v>
      </c>
      <c r="AZ35" s="302">
        <f t="shared" si="4"/>
        <v>0</v>
      </c>
      <c r="BA35" s="302">
        <f t="shared" si="4"/>
        <v>0</v>
      </c>
      <c r="BB35" s="302">
        <f t="shared" si="4"/>
        <v>200000</v>
      </c>
      <c r="BD35" s="301">
        <f t="shared" si="6"/>
        <v>0</v>
      </c>
    </row>
    <row r="36" spans="1:56" x14ac:dyDescent="0.25">
      <c r="A36" s="297" t="s">
        <v>156</v>
      </c>
      <c r="B36" s="256" t="str">
        <f>VLOOKUP(A36,'DFP-Com'!$A$16:$B$50,2,1)</f>
        <v xml:space="preserve">     3.1 d Other</v>
      </c>
      <c r="C36" s="247" t="s">
        <v>226</v>
      </c>
      <c r="D36" s="234">
        <v>200000</v>
      </c>
      <c r="E36" s="297" t="s">
        <v>227</v>
      </c>
      <c r="Q36" s="300">
        <v>0.25</v>
      </c>
      <c r="R36" s="300">
        <v>0.25</v>
      </c>
      <c r="S36" s="300">
        <v>0.25</v>
      </c>
      <c r="T36" s="300">
        <v>0.25</v>
      </c>
      <c r="U36" s="300">
        <f t="shared" si="0"/>
        <v>1</v>
      </c>
      <c r="X36" s="302">
        <f t="shared" si="5"/>
        <v>0</v>
      </c>
      <c r="Y36" s="302">
        <f t="shared" si="5"/>
        <v>0</v>
      </c>
      <c r="Z36" s="302">
        <f t="shared" si="5"/>
        <v>0</v>
      </c>
      <c r="AA36" s="302">
        <f t="shared" si="5"/>
        <v>0</v>
      </c>
      <c r="AB36" s="302">
        <f t="shared" si="5"/>
        <v>0</v>
      </c>
      <c r="AC36" s="302">
        <f t="shared" si="5"/>
        <v>0</v>
      </c>
      <c r="AD36" s="302">
        <f t="shared" si="5"/>
        <v>0</v>
      </c>
      <c r="AE36" s="302">
        <f t="shared" si="5"/>
        <v>0</v>
      </c>
      <c r="AF36" s="302">
        <f t="shared" si="5"/>
        <v>0</v>
      </c>
      <c r="AG36" s="302">
        <f t="shared" si="5"/>
        <v>0</v>
      </c>
      <c r="AH36" s="302">
        <f t="shared" si="5"/>
        <v>0</v>
      </c>
      <c r="AI36" s="302">
        <f t="shared" si="5"/>
        <v>50000</v>
      </c>
      <c r="AJ36" s="302">
        <f t="shared" si="5"/>
        <v>50000</v>
      </c>
      <c r="AK36" s="302">
        <f t="shared" si="5"/>
        <v>50000</v>
      </c>
      <c r="AL36" s="302">
        <f t="shared" si="5"/>
        <v>50000</v>
      </c>
      <c r="AM36" s="240"/>
      <c r="AN36" s="302">
        <f t="shared" ref="AN36:BB38" si="7">IF(AN$3=$E36,$D36,0)</f>
        <v>0</v>
      </c>
      <c r="AO36" s="302">
        <f t="shared" si="7"/>
        <v>0</v>
      </c>
      <c r="AP36" s="302">
        <f t="shared" si="7"/>
        <v>0</v>
      </c>
      <c r="AQ36" s="302">
        <f t="shared" si="7"/>
        <v>0</v>
      </c>
      <c r="AR36" s="302">
        <f t="shared" si="7"/>
        <v>0</v>
      </c>
      <c r="AS36" s="302">
        <f t="shared" si="7"/>
        <v>0</v>
      </c>
      <c r="AT36" s="302">
        <f t="shared" si="7"/>
        <v>0</v>
      </c>
      <c r="AU36" s="302">
        <f t="shared" si="7"/>
        <v>0</v>
      </c>
      <c r="AV36" s="302">
        <f t="shared" si="7"/>
        <v>0</v>
      </c>
      <c r="AW36" s="302">
        <f t="shared" si="7"/>
        <v>0</v>
      </c>
      <c r="AX36" s="302">
        <f t="shared" si="7"/>
        <v>0</v>
      </c>
      <c r="AY36" s="302">
        <f t="shared" si="7"/>
        <v>0</v>
      </c>
      <c r="AZ36" s="302">
        <f t="shared" si="7"/>
        <v>0</v>
      </c>
      <c r="BA36" s="302">
        <f t="shared" si="7"/>
        <v>0</v>
      </c>
      <c r="BB36" s="302">
        <f t="shared" si="7"/>
        <v>200000</v>
      </c>
      <c r="BD36" s="301">
        <f t="shared" si="6"/>
        <v>0</v>
      </c>
    </row>
    <row r="37" spans="1:56" x14ac:dyDescent="0.25">
      <c r="A37" s="297" t="s">
        <v>159</v>
      </c>
      <c r="B37" s="256" t="str">
        <f>VLOOKUP(A37,'DFP-Com'!$A$16:$B$50,2,1)</f>
        <v xml:space="preserve">     4.1.c  Audit</v>
      </c>
      <c r="C37" s="247" t="s">
        <v>197</v>
      </c>
      <c r="D37" s="323">
        <v>90000</v>
      </c>
      <c r="E37" s="297" t="s">
        <v>210</v>
      </c>
      <c r="K37" s="238"/>
      <c r="L37" s="238">
        <f>1/6</f>
        <v>0.16666666666666666</v>
      </c>
      <c r="M37" s="238">
        <f>1/6</f>
        <v>0.16666666666666666</v>
      </c>
      <c r="P37" s="238">
        <f>1/6</f>
        <v>0.16666666666666666</v>
      </c>
      <c r="Q37" s="238">
        <f>1/6</f>
        <v>0.16666666666666666</v>
      </c>
      <c r="T37" s="238">
        <f>1/3</f>
        <v>0.33333333333333331</v>
      </c>
      <c r="U37" s="300">
        <f t="shared" si="0"/>
        <v>1</v>
      </c>
      <c r="X37" s="302">
        <f t="shared" si="5"/>
        <v>0</v>
      </c>
      <c r="Y37" s="302">
        <f t="shared" si="5"/>
        <v>0</v>
      </c>
      <c r="Z37" s="302">
        <f t="shared" si="5"/>
        <v>0</v>
      </c>
      <c r="AA37" s="302">
        <f t="shared" si="5"/>
        <v>0</v>
      </c>
      <c r="AB37" s="302">
        <f t="shared" si="5"/>
        <v>0</v>
      </c>
      <c r="AC37" s="302">
        <f t="shared" si="5"/>
        <v>0</v>
      </c>
      <c r="AD37" s="302">
        <f t="shared" si="5"/>
        <v>15000</v>
      </c>
      <c r="AE37" s="302">
        <f t="shared" si="5"/>
        <v>15000</v>
      </c>
      <c r="AF37" s="302">
        <f t="shared" si="5"/>
        <v>0</v>
      </c>
      <c r="AG37" s="302">
        <f t="shared" si="5"/>
        <v>0</v>
      </c>
      <c r="AH37" s="302">
        <f t="shared" si="5"/>
        <v>15000</v>
      </c>
      <c r="AI37" s="302">
        <f t="shared" si="5"/>
        <v>15000</v>
      </c>
      <c r="AJ37" s="302">
        <f t="shared" si="5"/>
        <v>0</v>
      </c>
      <c r="AK37" s="302">
        <f t="shared" si="5"/>
        <v>0</v>
      </c>
      <c r="AL37" s="302">
        <f t="shared" si="5"/>
        <v>30000</v>
      </c>
      <c r="AM37" s="240"/>
      <c r="AN37" s="302">
        <f t="shared" si="7"/>
        <v>0</v>
      </c>
      <c r="AO37" s="302">
        <f t="shared" si="7"/>
        <v>0</v>
      </c>
      <c r="AP37" s="302">
        <f t="shared" si="7"/>
        <v>0</v>
      </c>
      <c r="AQ37" s="302">
        <f t="shared" si="7"/>
        <v>0</v>
      </c>
      <c r="AR37" s="302">
        <f t="shared" si="7"/>
        <v>90000</v>
      </c>
      <c r="AS37" s="302">
        <f t="shared" si="7"/>
        <v>0</v>
      </c>
      <c r="AT37" s="302">
        <f t="shared" si="7"/>
        <v>0</v>
      </c>
      <c r="AU37" s="302">
        <f t="shared" si="7"/>
        <v>0</v>
      </c>
      <c r="AV37" s="302">
        <f t="shared" si="7"/>
        <v>0</v>
      </c>
      <c r="AW37" s="302">
        <f t="shared" si="7"/>
        <v>0</v>
      </c>
      <c r="AX37" s="302">
        <f t="shared" si="7"/>
        <v>0</v>
      </c>
      <c r="AY37" s="302">
        <f t="shared" si="7"/>
        <v>0</v>
      </c>
      <c r="AZ37" s="302">
        <f t="shared" si="7"/>
        <v>0</v>
      </c>
      <c r="BA37" s="302">
        <f t="shared" si="7"/>
        <v>0</v>
      </c>
      <c r="BB37" s="302">
        <f t="shared" si="7"/>
        <v>0</v>
      </c>
      <c r="BD37" s="301">
        <f t="shared" si="6"/>
        <v>0</v>
      </c>
    </row>
    <row r="38" spans="1:56" x14ac:dyDescent="0.25">
      <c r="A38" s="297" t="s">
        <v>160</v>
      </c>
      <c r="B38" s="256" t="str">
        <f>VLOOKUP(A38,'DFP-Com'!$A$16:$B$50,2,1)</f>
        <v xml:space="preserve">     4.1.d  Other</v>
      </c>
      <c r="C38" s="247" t="s">
        <v>198</v>
      </c>
      <c r="D38" s="313">
        <v>11500</v>
      </c>
      <c r="E38" s="297" t="s">
        <v>209</v>
      </c>
      <c r="G38" s="312">
        <v>0.67</v>
      </c>
      <c r="H38" s="318">
        <v>0.33</v>
      </c>
      <c r="U38" s="300">
        <f t="shared" si="0"/>
        <v>1</v>
      </c>
      <c r="X38" s="302">
        <f t="shared" ref="X38:AL38" si="8">F38*$D38</f>
        <v>0</v>
      </c>
      <c r="Y38" s="302">
        <f t="shared" si="8"/>
        <v>7705.0000000000009</v>
      </c>
      <c r="Z38" s="302">
        <f t="shared" si="8"/>
        <v>3795</v>
      </c>
      <c r="AA38" s="302">
        <f t="shared" si="8"/>
        <v>0</v>
      </c>
      <c r="AB38" s="302">
        <f t="shared" si="8"/>
        <v>0</v>
      </c>
      <c r="AC38" s="302">
        <f t="shared" si="8"/>
        <v>0</v>
      </c>
      <c r="AD38" s="302">
        <f t="shared" si="8"/>
        <v>0</v>
      </c>
      <c r="AE38" s="302">
        <f t="shared" si="8"/>
        <v>0</v>
      </c>
      <c r="AF38" s="302">
        <f t="shared" si="8"/>
        <v>0</v>
      </c>
      <c r="AG38" s="302">
        <f t="shared" si="8"/>
        <v>0</v>
      </c>
      <c r="AH38" s="302">
        <f t="shared" si="8"/>
        <v>0</v>
      </c>
      <c r="AI38" s="302">
        <f t="shared" si="8"/>
        <v>0</v>
      </c>
      <c r="AJ38" s="302">
        <f t="shared" si="8"/>
        <v>0</v>
      </c>
      <c r="AK38" s="302">
        <f t="shared" si="8"/>
        <v>0</v>
      </c>
      <c r="AL38" s="302">
        <f t="shared" si="8"/>
        <v>0</v>
      </c>
      <c r="AM38" s="240"/>
      <c r="AN38" s="302">
        <f t="shared" si="7"/>
        <v>0</v>
      </c>
      <c r="AO38" s="302">
        <f t="shared" si="7"/>
        <v>11500</v>
      </c>
      <c r="AP38" s="302">
        <f t="shared" si="7"/>
        <v>0</v>
      </c>
      <c r="AQ38" s="302">
        <f t="shared" si="7"/>
        <v>0</v>
      </c>
      <c r="AR38" s="302">
        <f t="shared" si="7"/>
        <v>0</v>
      </c>
      <c r="AS38" s="302">
        <f t="shared" si="7"/>
        <v>0</v>
      </c>
      <c r="AT38" s="302">
        <f t="shared" si="7"/>
        <v>0</v>
      </c>
      <c r="AU38" s="302">
        <f t="shared" si="7"/>
        <v>0</v>
      </c>
      <c r="AV38" s="302">
        <f t="shared" si="7"/>
        <v>0</v>
      </c>
      <c r="AW38" s="302">
        <f t="shared" si="7"/>
        <v>0</v>
      </c>
      <c r="AX38" s="302">
        <f t="shared" si="7"/>
        <v>0</v>
      </c>
      <c r="AY38" s="302">
        <f t="shared" si="7"/>
        <v>0</v>
      </c>
      <c r="AZ38" s="302">
        <f t="shared" si="7"/>
        <v>0</v>
      </c>
      <c r="BA38" s="302">
        <f t="shared" si="7"/>
        <v>0</v>
      </c>
      <c r="BB38" s="302">
        <f t="shared" si="7"/>
        <v>0</v>
      </c>
      <c r="BD38" s="301">
        <f t="shared" si="6"/>
        <v>0</v>
      </c>
    </row>
    <row r="39" spans="1:56" x14ac:dyDescent="0.25">
      <c r="B39" s="256"/>
      <c r="C39" s="247"/>
      <c r="D39" s="234"/>
      <c r="Q39" s="300"/>
      <c r="R39" s="300"/>
      <c r="S39" s="300"/>
      <c r="T39" s="300"/>
      <c r="U39" s="300"/>
      <c r="X39" s="302"/>
      <c r="Y39" s="302"/>
      <c r="Z39" s="302"/>
      <c r="AA39" s="302"/>
      <c r="AB39" s="302"/>
      <c r="AC39" s="302"/>
      <c r="AD39" s="302"/>
      <c r="AE39" s="302"/>
      <c r="AF39" s="302"/>
      <c r="AG39" s="302"/>
      <c r="AH39" s="302"/>
      <c r="AI39" s="302"/>
      <c r="AJ39" s="302"/>
      <c r="AK39" s="302"/>
      <c r="AL39" s="302"/>
      <c r="AM39" s="240"/>
      <c r="AN39" s="302"/>
      <c r="AO39" s="302"/>
      <c r="AP39" s="302"/>
      <c r="AQ39" s="302"/>
      <c r="AR39" s="302"/>
      <c r="AS39" s="302"/>
      <c r="AT39" s="302"/>
      <c r="AU39" s="302"/>
      <c r="AV39" s="302"/>
      <c r="AW39" s="302"/>
      <c r="AX39" s="302"/>
      <c r="AY39" s="302"/>
      <c r="AZ39" s="302"/>
      <c r="BA39" s="302"/>
      <c r="BB39" s="302"/>
      <c r="BD39" s="301"/>
    </row>
    <row r="40" spans="1:56" x14ac:dyDescent="0.25">
      <c r="B40" s="237" t="e">
        <f>VLOOKUP(A40,'DFP-Com'!$A$16:$B$50,2,1)</f>
        <v>#N/A</v>
      </c>
      <c r="C40" s="297" t="s">
        <v>214</v>
      </c>
      <c r="D40" s="234"/>
      <c r="X40" s="302">
        <f t="shared" ref="X40:AL40" si="9">F40*$D40</f>
        <v>0</v>
      </c>
      <c r="Y40" s="302">
        <f t="shared" si="9"/>
        <v>0</v>
      </c>
      <c r="Z40" s="302">
        <f t="shared" si="9"/>
        <v>0</v>
      </c>
      <c r="AA40" s="302">
        <f t="shared" si="9"/>
        <v>0</v>
      </c>
      <c r="AB40" s="302">
        <f t="shared" si="9"/>
        <v>0</v>
      </c>
      <c r="AC40" s="302">
        <f t="shared" si="9"/>
        <v>0</v>
      </c>
      <c r="AD40" s="302">
        <f t="shared" si="9"/>
        <v>0</v>
      </c>
      <c r="AE40" s="302">
        <f t="shared" si="9"/>
        <v>0</v>
      </c>
      <c r="AF40" s="302">
        <f t="shared" si="9"/>
        <v>0</v>
      </c>
      <c r="AG40" s="302">
        <f t="shared" si="9"/>
        <v>0</v>
      </c>
      <c r="AH40" s="302">
        <f t="shared" si="9"/>
        <v>0</v>
      </c>
      <c r="AI40" s="302">
        <f t="shared" si="9"/>
        <v>0</v>
      </c>
      <c r="AJ40" s="302">
        <f t="shared" si="9"/>
        <v>0</v>
      </c>
      <c r="AK40" s="302">
        <f t="shared" si="9"/>
        <v>0</v>
      </c>
      <c r="AL40" s="302">
        <f t="shared" si="9"/>
        <v>0</v>
      </c>
      <c r="AM40" s="240"/>
      <c r="AN40" s="302">
        <f t="shared" ref="AN40:BB40" si="10">IF(AN$3=$E40,$D40,0)</f>
        <v>0</v>
      </c>
      <c r="AO40" s="302">
        <f t="shared" si="10"/>
        <v>0</v>
      </c>
      <c r="AP40" s="302">
        <f t="shared" si="10"/>
        <v>0</v>
      </c>
      <c r="AQ40" s="302">
        <f t="shared" si="10"/>
        <v>0</v>
      </c>
      <c r="AR40" s="302">
        <f t="shared" si="10"/>
        <v>0</v>
      </c>
      <c r="AS40" s="302">
        <f t="shared" si="10"/>
        <v>0</v>
      </c>
      <c r="AT40" s="302">
        <f t="shared" si="10"/>
        <v>0</v>
      </c>
      <c r="AU40" s="302">
        <f t="shared" si="10"/>
        <v>0</v>
      </c>
      <c r="AV40" s="302">
        <f t="shared" si="10"/>
        <v>0</v>
      </c>
      <c r="AW40" s="302">
        <f t="shared" si="10"/>
        <v>0</v>
      </c>
      <c r="AX40" s="302">
        <f t="shared" si="10"/>
        <v>0</v>
      </c>
      <c r="AY40" s="302">
        <f t="shared" si="10"/>
        <v>0</v>
      </c>
      <c r="AZ40" s="302">
        <f t="shared" si="10"/>
        <v>0</v>
      </c>
      <c r="BA40" s="302">
        <f t="shared" si="10"/>
        <v>0</v>
      </c>
      <c r="BB40" s="302">
        <f t="shared" si="10"/>
        <v>0</v>
      </c>
      <c r="BD40" s="301">
        <f t="shared" ref="BD40:BD55" si="11">SUM(X40:AL40)-SUM(AN40:BB40)</f>
        <v>0</v>
      </c>
    </row>
    <row r="41" spans="1:56" x14ac:dyDescent="0.25">
      <c r="D41" s="297" t="s">
        <v>179</v>
      </c>
      <c r="F41" s="297" t="s">
        <v>162</v>
      </c>
      <c r="G41" s="297" t="s">
        <v>166</v>
      </c>
      <c r="H41" s="314" t="s">
        <v>167</v>
      </c>
      <c r="I41" s="297" t="s">
        <v>168</v>
      </c>
      <c r="J41" s="297" t="s">
        <v>169</v>
      </c>
      <c r="K41" s="297" t="s">
        <v>170</v>
      </c>
      <c r="L41" s="297" t="s">
        <v>171</v>
      </c>
      <c r="M41" s="297" t="s">
        <v>172</v>
      </c>
      <c r="N41" s="297" t="s">
        <v>173</v>
      </c>
      <c r="O41" s="297" t="s">
        <v>174</v>
      </c>
      <c r="P41" s="297" t="s">
        <v>175</v>
      </c>
      <c r="Q41" s="297" t="s">
        <v>176</v>
      </c>
      <c r="R41" s="297" t="s">
        <v>177</v>
      </c>
      <c r="S41" s="297" t="s">
        <v>178</v>
      </c>
      <c r="T41" s="297" t="s">
        <v>180</v>
      </c>
      <c r="U41" s="297" t="s">
        <v>179</v>
      </c>
      <c r="X41" s="302"/>
      <c r="Y41" s="302"/>
      <c r="Z41" s="302"/>
      <c r="AA41" s="302"/>
      <c r="AB41" s="302"/>
      <c r="AC41" s="302"/>
      <c r="AD41" s="302"/>
      <c r="AE41" s="302"/>
      <c r="AF41" s="302"/>
      <c r="AG41" s="302"/>
      <c r="AH41" s="302"/>
      <c r="AI41" s="302"/>
      <c r="AJ41" s="302"/>
      <c r="AK41" s="302"/>
      <c r="AL41" s="302"/>
      <c r="AM41" s="240"/>
      <c r="AN41" s="240"/>
      <c r="AO41" s="240"/>
      <c r="AP41" s="240"/>
      <c r="AQ41" s="240"/>
      <c r="AR41" s="240"/>
      <c r="AS41" s="240"/>
      <c r="AT41" s="240"/>
      <c r="AU41" s="240"/>
      <c r="AV41" s="240"/>
      <c r="AW41" s="240"/>
      <c r="AX41" s="240"/>
      <c r="AY41" s="240"/>
      <c r="AZ41" s="240"/>
      <c r="BA41" s="240"/>
      <c r="BB41" s="240"/>
      <c r="BD41" s="301">
        <f t="shared" si="11"/>
        <v>0</v>
      </c>
    </row>
    <row r="42" spans="1:56" x14ac:dyDescent="0.25">
      <c r="A42" s="236" t="s">
        <v>206</v>
      </c>
      <c r="B42" s="236"/>
      <c r="D42" s="234"/>
      <c r="X42" s="251"/>
      <c r="Y42" s="302"/>
      <c r="Z42" s="302"/>
      <c r="AA42" s="302"/>
      <c r="AB42" s="302"/>
      <c r="AC42" s="302"/>
      <c r="AD42" s="302"/>
      <c r="AE42" s="302"/>
      <c r="AF42" s="302"/>
      <c r="AG42" s="302"/>
      <c r="AH42" s="302"/>
      <c r="AI42" s="302"/>
      <c r="AJ42" s="302"/>
      <c r="AK42" s="302"/>
      <c r="AL42" s="302"/>
      <c r="AM42" s="240"/>
      <c r="AN42" s="239" t="s">
        <v>162</v>
      </c>
      <c r="AO42" s="239" t="s">
        <v>166</v>
      </c>
      <c r="AP42" s="239" t="s">
        <v>167</v>
      </c>
      <c r="AQ42" s="239" t="s">
        <v>168</v>
      </c>
      <c r="AR42" s="239" t="s">
        <v>162</v>
      </c>
      <c r="AS42" s="239" t="s">
        <v>166</v>
      </c>
      <c r="AT42" s="239" t="s">
        <v>167</v>
      </c>
      <c r="AU42" s="239" t="s">
        <v>168</v>
      </c>
      <c r="AV42" s="239" t="s">
        <v>162</v>
      </c>
      <c r="AW42" s="239" t="s">
        <v>166</v>
      </c>
      <c r="AX42" s="239" t="s">
        <v>167</v>
      </c>
      <c r="AY42" s="239" t="s">
        <v>168</v>
      </c>
      <c r="AZ42" s="239" t="s">
        <v>162</v>
      </c>
      <c r="BA42" s="239" t="s">
        <v>166</v>
      </c>
      <c r="BB42" s="239" t="s">
        <v>167</v>
      </c>
      <c r="BD42" s="301">
        <f t="shared" si="11"/>
        <v>0</v>
      </c>
    </row>
    <row r="43" spans="1:56" x14ac:dyDescent="0.25">
      <c r="A43" s="297" t="s">
        <v>147</v>
      </c>
      <c r="B43" s="245" t="str">
        <f>VLOOKUP(A43,'DFP-Com'!$A$16:$B$50,2,1)</f>
        <v xml:space="preserve">     1.3.b  Education Project Coordination team*</v>
      </c>
      <c r="C43" s="297" t="s">
        <v>185</v>
      </c>
      <c r="D43" s="234">
        <f t="shared" ref="D43:D49" si="12">SUM(F43:T43)</f>
        <v>121400</v>
      </c>
      <c r="E43" s="297" t="s">
        <v>209</v>
      </c>
      <c r="G43" s="304">
        <v>4400</v>
      </c>
      <c r="H43" s="319">
        <v>9000</v>
      </c>
      <c r="I43" s="304">
        <v>9000</v>
      </c>
      <c r="J43" s="304">
        <v>9000</v>
      </c>
      <c r="K43" s="304">
        <v>9000</v>
      </c>
      <c r="L43" s="304">
        <v>9000</v>
      </c>
      <c r="M43" s="304">
        <v>9000</v>
      </c>
      <c r="N43" s="304">
        <v>9000</v>
      </c>
      <c r="O43" s="304">
        <v>9000</v>
      </c>
      <c r="P43" s="304">
        <v>9000</v>
      </c>
      <c r="Q43" s="304">
        <v>9000</v>
      </c>
      <c r="R43" s="304">
        <v>9000</v>
      </c>
      <c r="S43" s="304">
        <v>9000</v>
      </c>
      <c r="T43" s="304">
        <v>9000</v>
      </c>
      <c r="U43" s="304">
        <f>SUM(F43:T43)</f>
        <v>121400</v>
      </c>
      <c r="X43" s="251">
        <f t="shared" ref="X43:AL51" si="13">F43</f>
        <v>0</v>
      </c>
      <c r="Y43" s="302">
        <f t="shared" si="13"/>
        <v>4400</v>
      </c>
      <c r="Z43" s="302">
        <f t="shared" si="13"/>
        <v>9000</v>
      </c>
      <c r="AA43" s="302">
        <f t="shared" si="13"/>
        <v>9000</v>
      </c>
      <c r="AB43" s="302">
        <f t="shared" si="13"/>
        <v>9000</v>
      </c>
      <c r="AC43" s="302">
        <f t="shared" si="13"/>
        <v>9000</v>
      </c>
      <c r="AD43" s="302">
        <f t="shared" si="13"/>
        <v>9000</v>
      </c>
      <c r="AE43" s="302">
        <f t="shared" si="13"/>
        <v>9000</v>
      </c>
      <c r="AF43" s="302">
        <f t="shared" si="13"/>
        <v>9000</v>
      </c>
      <c r="AG43" s="302">
        <f t="shared" si="13"/>
        <v>9000</v>
      </c>
      <c r="AH43" s="302">
        <f t="shared" si="13"/>
        <v>9000</v>
      </c>
      <c r="AI43" s="302">
        <f t="shared" si="13"/>
        <v>9000</v>
      </c>
      <c r="AJ43" s="302">
        <f t="shared" si="13"/>
        <v>9000</v>
      </c>
      <c r="AK43" s="302">
        <f t="shared" si="13"/>
        <v>9000</v>
      </c>
      <c r="AL43" s="302">
        <f t="shared" si="13"/>
        <v>9000</v>
      </c>
      <c r="AM43" s="240"/>
      <c r="AN43" s="302">
        <f>IF(AN$42=$E43,SUM(X43:AA43),0)</f>
        <v>0</v>
      </c>
      <c r="AO43" s="302">
        <f t="shared" ref="AO43:AY51" si="14">IF(AO$42=$E43,SUM(Y43:AB43),0)</f>
        <v>31400</v>
      </c>
      <c r="AP43" s="302">
        <f t="shared" si="14"/>
        <v>0</v>
      </c>
      <c r="AQ43" s="302">
        <f t="shared" si="14"/>
        <v>0</v>
      </c>
      <c r="AR43" s="302">
        <f t="shared" si="14"/>
        <v>0</v>
      </c>
      <c r="AS43" s="302">
        <f t="shared" si="14"/>
        <v>36000</v>
      </c>
      <c r="AT43" s="302">
        <f t="shared" si="14"/>
        <v>0</v>
      </c>
      <c r="AU43" s="302">
        <f t="shared" si="14"/>
        <v>0</v>
      </c>
      <c r="AV43" s="302">
        <f t="shared" si="14"/>
        <v>0</v>
      </c>
      <c r="AW43" s="302">
        <f t="shared" si="14"/>
        <v>36000</v>
      </c>
      <c r="AX43" s="302">
        <f t="shared" si="14"/>
        <v>0</v>
      </c>
      <c r="AY43" s="302">
        <f t="shared" si="14"/>
        <v>0</v>
      </c>
      <c r="AZ43" s="302">
        <f>IF(AZ$42=$E43,SUM(AJ43:$AL43),0)</f>
        <v>0</v>
      </c>
      <c r="BA43" s="302">
        <f>IF(BA$42=$E43,SUM(AK43:$AL43),0)</f>
        <v>18000</v>
      </c>
      <c r="BB43" s="302">
        <f>IF(BB$42=$E43,SUM(AL43:$AL43),0)</f>
        <v>0</v>
      </c>
      <c r="BD43" s="301">
        <f t="shared" si="11"/>
        <v>0</v>
      </c>
    </row>
    <row r="44" spans="1:56" x14ac:dyDescent="0.25">
      <c r="A44" s="297" t="s">
        <v>147</v>
      </c>
      <c r="B44" s="245" t="str">
        <f>VLOOKUP(A44,'DFP-Com'!$A$16:$B$50,2,1)</f>
        <v xml:space="preserve">     1.3.b  Education Project Coordination team*</v>
      </c>
      <c r="C44" s="297" t="s">
        <v>204</v>
      </c>
      <c r="D44" s="234">
        <f t="shared" si="12"/>
        <v>57000</v>
      </c>
      <c r="E44" s="297" t="s">
        <v>181</v>
      </c>
      <c r="G44" s="297">
        <v>0</v>
      </c>
      <c r="H44" s="319">
        <v>3000</v>
      </c>
      <c r="I44" s="304">
        <v>4500</v>
      </c>
      <c r="J44" s="304">
        <v>4500</v>
      </c>
      <c r="K44" s="304">
        <v>4500</v>
      </c>
      <c r="L44" s="304">
        <v>4500</v>
      </c>
      <c r="M44" s="304">
        <v>4500</v>
      </c>
      <c r="N44" s="304">
        <v>4500</v>
      </c>
      <c r="O44" s="304">
        <v>4500</v>
      </c>
      <c r="P44" s="304">
        <v>4500</v>
      </c>
      <c r="Q44" s="304">
        <v>4500</v>
      </c>
      <c r="R44" s="304">
        <v>4500</v>
      </c>
      <c r="S44" s="304">
        <v>4500</v>
      </c>
      <c r="T44" s="304">
        <v>4500</v>
      </c>
      <c r="U44" s="304">
        <f t="shared" ref="U44:U55" si="15">SUM(F44:T44)</f>
        <v>57000</v>
      </c>
      <c r="X44" s="251">
        <f t="shared" si="13"/>
        <v>0</v>
      </c>
      <c r="Y44" s="302">
        <f t="shared" si="13"/>
        <v>0</v>
      </c>
      <c r="Z44" s="302">
        <f t="shared" si="13"/>
        <v>3000</v>
      </c>
      <c r="AA44" s="302">
        <f t="shared" si="13"/>
        <v>4500</v>
      </c>
      <c r="AB44" s="302">
        <f t="shared" si="13"/>
        <v>4500</v>
      </c>
      <c r="AC44" s="302">
        <f t="shared" si="13"/>
        <v>4500</v>
      </c>
      <c r="AD44" s="302">
        <f t="shared" si="13"/>
        <v>4500</v>
      </c>
      <c r="AE44" s="302">
        <f t="shared" si="13"/>
        <v>4500</v>
      </c>
      <c r="AF44" s="302">
        <f t="shared" si="13"/>
        <v>4500</v>
      </c>
      <c r="AG44" s="302">
        <f t="shared" si="13"/>
        <v>4500</v>
      </c>
      <c r="AH44" s="302">
        <f t="shared" si="13"/>
        <v>4500</v>
      </c>
      <c r="AI44" s="302">
        <f t="shared" si="13"/>
        <v>4500</v>
      </c>
      <c r="AJ44" s="302">
        <f t="shared" si="13"/>
        <v>4500</v>
      </c>
      <c r="AK44" s="302">
        <f t="shared" si="13"/>
        <v>4500</v>
      </c>
      <c r="AL44" s="302">
        <f t="shared" si="13"/>
        <v>4500</v>
      </c>
      <c r="AM44" s="240"/>
      <c r="AN44" s="302">
        <f t="shared" ref="AN44:AN51" si="16">IF(AN$42=$E44,SUM(X44:AA44),0)</f>
        <v>0</v>
      </c>
      <c r="AO44" s="302">
        <f t="shared" si="14"/>
        <v>0</v>
      </c>
      <c r="AP44" s="302">
        <f t="shared" si="14"/>
        <v>16500</v>
      </c>
      <c r="AQ44" s="302">
        <f t="shared" si="14"/>
        <v>0</v>
      </c>
      <c r="AR44" s="302">
        <f t="shared" si="14"/>
        <v>0</v>
      </c>
      <c r="AS44" s="302">
        <f t="shared" si="14"/>
        <v>0</v>
      </c>
      <c r="AT44" s="302">
        <f t="shared" si="14"/>
        <v>18000</v>
      </c>
      <c r="AU44" s="302">
        <f t="shared" si="14"/>
        <v>0</v>
      </c>
      <c r="AV44" s="302">
        <f t="shared" si="14"/>
        <v>0</v>
      </c>
      <c r="AW44" s="302">
        <f t="shared" si="14"/>
        <v>0</v>
      </c>
      <c r="AX44" s="302">
        <f t="shared" si="14"/>
        <v>18000</v>
      </c>
      <c r="AY44" s="302">
        <f t="shared" si="14"/>
        <v>0</v>
      </c>
      <c r="AZ44" s="302">
        <f>IF(AZ$42=$E44,SUM(AJ44:$AL44),0)</f>
        <v>0</v>
      </c>
      <c r="BA44" s="302">
        <f>IF(BA$42=$E44,SUM(AK44:$AL44),0)</f>
        <v>0</v>
      </c>
      <c r="BB44" s="302">
        <f>IF(BB$42=$E44,SUM(AL44:$AL44),0)</f>
        <v>4500</v>
      </c>
      <c r="BD44" s="301">
        <f t="shared" si="11"/>
        <v>0</v>
      </c>
    </row>
    <row r="45" spans="1:56" x14ac:dyDescent="0.25">
      <c r="A45" s="297" t="s">
        <v>157</v>
      </c>
      <c r="B45" s="256" t="str">
        <f>VLOOKUP(A45,'DFP-Com'!$A$16:$B$50,2,1)</f>
        <v xml:space="preserve">     4.1.a  Staff Compensation*</v>
      </c>
      <c r="C45" s="297" t="s">
        <v>196</v>
      </c>
      <c r="D45" s="234">
        <f t="shared" si="12"/>
        <v>181000</v>
      </c>
      <c r="E45" s="297" t="s">
        <v>211</v>
      </c>
      <c r="F45" s="304">
        <v>10000</v>
      </c>
      <c r="G45" s="304">
        <f>15000</f>
        <v>15000</v>
      </c>
      <c r="H45" s="319">
        <v>12000</v>
      </c>
      <c r="I45" s="304">
        <v>12000</v>
      </c>
      <c r="J45" s="304">
        <v>12000</v>
      </c>
      <c r="K45" s="304">
        <v>12000</v>
      </c>
      <c r="L45" s="304">
        <v>12000</v>
      </c>
      <c r="M45" s="304">
        <v>12000</v>
      </c>
      <c r="N45" s="304">
        <v>12000</v>
      </c>
      <c r="O45" s="304">
        <v>12000</v>
      </c>
      <c r="P45" s="304">
        <v>12000</v>
      </c>
      <c r="Q45" s="304">
        <v>12000</v>
      </c>
      <c r="R45" s="304">
        <v>12000</v>
      </c>
      <c r="S45" s="304">
        <v>12000</v>
      </c>
      <c r="T45" s="304">
        <v>12000</v>
      </c>
      <c r="U45" s="304">
        <f t="shared" si="15"/>
        <v>181000</v>
      </c>
      <c r="X45" s="251">
        <f t="shared" si="13"/>
        <v>10000</v>
      </c>
      <c r="Y45" s="302">
        <f t="shared" si="13"/>
        <v>15000</v>
      </c>
      <c r="Z45" s="302">
        <f t="shared" si="13"/>
        <v>12000</v>
      </c>
      <c r="AA45" s="302">
        <f t="shared" si="13"/>
        <v>12000</v>
      </c>
      <c r="AB45" s="302">
        <f t="shared" si="13"/>
        <v>12000</v>
      </c>
      <c r="AC45" s="302">
        <f t="shared" si="13"/>
        <v>12000</v>
      </c>
      <c r="AD45" s="302">
        <f t="shared" si="13"/>
        <v>12000</v>
      </c>
      <c r="AE45" s="302">
        <f t="shared" si="13"/>
        <v>12000</v>
      </c>
      <c r="AF45" s="302">
        <f t="shared" si="13"/>
        <v>12000</v>
      </c>
      <c r="AG45" s="302">
        <f t="shared" si="13"/>
        <v>12000</v>
      </c>
      <c r="AH45" s="302">
        <f t="shared" si="13"/>
        <v>12000</v>
      </c>
      <c r="AI45" s="302">
        <f t="shared" si="13"/>
        <v>12000</v>
      </c>
      <c r="AJ45" s="302">
        <f t="shared" si="13"/>
        <v>12000</v>
      </c>
      <c r="AK45" s="302">
        <f t="shared" si="13"/>
        <v>12000</v>
      </c>
      <c r="AL45" s="302">
        <f t="shared" si="13"/>
        <v>12000</v>
      </c>
      <c r="AM45" s="240"/>
      <c r="AN45" s="302">
        <f t="shared" si="16"/>
        <v>49000</v>
      </c>
      <c r="AO45" s="302">
        <f t="shared" si="14"/>
        <v>0</v>
      </c>
      <c r="AP45" s="302">
        <f t="shared" si="14"/>
        <v>0</v>
      </c>
      <c r="AQ45" s="302">
        <f t="shared" si="14"/>
        <v>0</v>
      </c>
      <c r="AR45" s="302">
        <f t="shared" si="14"/>
        <v>48000</v>
      </c>
      <c r="AS45" s="302">
        <f t="shared" si="14"/>
        <v>0</v>
      </c>
      <c r="AT45" s="302">
        <f t="shared" si="14"/>
        <v>0</v>
      </c>
      <c r="AU45" s="302">
        <f t="shared" si="14"/>
        <v>0</v>
      </c>
      <c r="AV45" s="302">
        <f t="shared" si="14"/>
        <v>48000</v>
      </c>
      <c r="AW45" s="302">
        <f t="shared" si="14"/>
        <v>0</v>
      </c>
      <c r="AX45" s="302">
        <f t="shared" si="14"/>
        <v>0</v>
      </c>
      <c r="AY45" s="302">
        <f t="shared" si="14"/>
        <v>0</v>
      </c>
      <c r="AZ45" s="302">
        <f>IF(AZ$42=$E45,SUM(AJ45:$AL45),0)</f>
        <v>36000</v>
      </c>
      <c r="BA45" s="302">
        <f>IF(BA$42=$E45,SUM(AK45:$AL45),0)</f>
        <v>0</v>
      </c>
      <c r="BB45" s="302">
        <f>IF(BB$42=$E45,SUM(AL45:$AL45),0)</f>
        <v>0</v>
      </c>
      <c r="BD45" s="301">
        <f t="shared" si="11"/>
        <v>0</v>
      </c>
    </row>
    <row r="46" spans="1:56" x14ac:dyDescent="0.25">
      <c r="A46" s="297" t="s">
        <v>157</v>
      </c>
      <c r="B46" s="256" t="str">
        <f>VLOOKUP(A46,'DFP-Com'!$A$16:$B$50,2,1)</f>
        <v xml:space="preserve">     4.1.a  Staff Compensation*</v>
      </c>
      <c r="C46" s="297" t="s">
        <v>249</v>
      </c>
      <c r="D46" s="234">
        <f t="shared" si="12"/>
        <v>57000</v>
      </c>
      <c r="E46" s="297" t="s">
        <v>181</v>
      </c>
      <c r="G46" s="304">
        <v>0</v>
      </c>
      <c r="H46" s="319">
        <f>3000</f>
        <v>3000</v>
      </c>
      <c r="I46" s="304">
        <v>4500</v>
      </c>
      <c r="J46" s="304">
        <v>4500</v>
      </c>
      <c r="K46" s="304">
        <v>4500</v>
      </c>
      <c r="L46" s="304">
        <v>4500</v>
      </c>
      <c r="M46" s="304">
        <v>4500</v>
      </c>
      <c r="N46" s="304">
        <v>4500</v>
      </c>
      <c r="O46" s="304">
        <v>4500</v>
      </c>
      <c r="P46" s="304">
        <v>4500</v>
      </c>
      <c r="Q46" s="304">
        <v>4500</v>
      </c>
      <c r="R46" s="304">
        <v>4500</v>
      </c>
      <c r="S46" s="304">
        <v>4500</v>
      </c>
      <c r="T46" s="304">
        <v>4500</v>
      </c>
      <c r="U46" s="304">
        <f t="shared" si="15"/>
        <v>57000</v>
      </c>
      <c r="X46" s="251">
        <f t="shared" si="13"/>
        <v>0</v>
      </c>
      <c r="Y46" s="302">
        <f t="shared" si="13"/>
        <v>0</v>
      </c>
      <c r="Z46" s="302">
        <f t="shared" si="13"/>
        <v>3000</v>
      </c>
      <c r="AA46" s="302">
        <f t="shared" si="13"/>
        <v>4500</v>
      </c>
      <c r="AB46" s="302">
        <f t="shared" si="13"/>
        <v>4500</v>
      </c>
      <c r="AC46" s="302">
        <f t="shared" si="13"/>
        <v>4500</v>
      </c>
      <c r="AD46" s="302">
        <f t="shared" si="13"/>
        <v>4500</v>
      </c>
      <c r="AE46" s="302">
        <f t="shared" si="13"/>
        <v>4500</v>
      </c>
      <c r="AF46" s="302">
        <f t="shared" si="13"/>
        <v>4500</v>
      </c>
      <c r="AG46" s="302">
        <f t="shared" si="13"/>
        <v>4500</v>
      </c>
      <c r="AH46" s="302">
        <f t="shared" si="13"/>
        <v>4500</v>
      </c>
      <c r="AI46" s="302">
        <f t="shared" si="13"/>
        <v>4500</v>
      </c>
      <c r="AJ46" s="302">
        <f t="shared" si="13"/>
        <v>4500</v>
      </c>
      <c r="AK46" s="302">
        <f t="shared" si="13"/>
        <v>4500</v>
      </c>
      <c r="AL46" s="302">
        <f t="shared" si="13"/>
        <v>4500</v>
      </c>
      <c r="AM46" s="240"/>
      <c r="AN46" s="302">
        <f t="shared" si="16"/>
        <v>0</v>
      </c>
      <c r="AO46" s="302">
        <f t="shared" si="14"/>
        <v>0</v>
      </c>
      <c r="AP46" s="302">
        <f>IF(AP$42=$E46,SUM(Z46:AC46),0)</f>
        <v>16500</v>
      </c>
      <c r="AQ46" s="302">
        <f t="shared" si="14"/>
        <v>0</v>
      </c>
      <c r="AR46" s="302">
        <f t="shared" si="14"/>
        <v>0</v>
      </c>
      <c r="AS46" s="302">
        <f t="shared" si="14"/>
        <v>0</v>
      </c>
      <c r="AT46" s="302">
        <f t="shared" si="14"/>
        <v>18000</v>
      </c>
      <c r="AU46" s="302">
        <f t="shared" si="14"/>
        <v>0</v>
      </c>
      <c r="AV46" s="302">
        <f t="shared" si="14"/>
        <v>0</v>
      </c>
      <c r="AW46" s="302">
        <f t="shared" si="14"/>
        <v>0</v>
      </c>
      <c r="AX46" s="302">
        <f t="shared" si="14"/>
        <v>18000</v>
      </c>
      <c r="AY46" s="302">
        <f t="shared" si="14"/>
        <v>0</v>
      </c>
      <c r="AZ46" s="302">
        <f>IF(AZ$42=$E46,SUM(AJ46:$AL46),0)</f>
        <v>0</v>
      </c>
      <c r="BA46" s="302">
        <f>IF(BA$42=$E46,SUM(AK46:$AL46),0)</f>
        <v>0</v>
      </c>
      <c r="BB46" s="302">
        <f>IF(BB$42=$E46,SUM(AL46:$AL46),0)</f>
        <v>4500</v>
      </c>
      <c r="BD46" s="301">
        <f t="shared" si="11"/>
        <v>0</v>
      </c>
    </row>
    <row r="47" spans="1:56" x14ac:dyDescent="0.25">
      <c r="A47" s="297" t="s">
        <v>157</v>
      </c>
      <c r="B47" s="256" t="str">
        <f>VLOOKUP(A47,'DFP-Com'!$A$16:$B$50,2,1)</f>
        <v xml:space="preserve">     4.1.a  Staff Compensation*</v>
      </c>
      <c r="C47" s="297" t="s">
        <v>201</v>
      </c>
      <c r="D47" s="234">
        <f t="shared" si="12"/>
        <v>147000</v>
      </c>
      <c r="E47" s="297" t="s">
        <v>209</v>
      </c>
      <c r="G47" s="304">
        <v>10500</v>
      </c>
      <c r="H47" s="319">
        <f>3500*3</f>
        <v>10500</v>
      </c>
      <c r="I47" s="304">
        <v>10500</v>
      </c>
      <c r="J47" s="304">
        <v>10500</v>
      </c>
      <c r="K47" s="304">
        <v>10500</v>
      </c>
      <c r="L47" s="304">
        <v>10500</v>
      </c>
      <c r="M47" s="304">
        <v>10500</v>
      </c>
      <c r="N47" s="304">
        <v>10500</v>
      </c>
      <c r="O47" s="304">
        <v>10500</v>
      </c>
      <c r="P47" s="304">
        <v>10500</v>
      </c>
      <c r="Q47" s="304">
        <v>10500</v>
      </c>
      <c r="R47" s="304">
        <v>10500</v>
      </c>
      <c r="S47" s="304">
        <v>10500</v>
      </c>
      <c r="T47" s="304">
        <v>10500</v>
      </c>
      <c r="U47" s="304">
        <f t="shared" si="15"/>
        <v>147000</v>
      </c>
      <c r="X47" s="251">
        <f t="shared" si="13"/>
        <v>0</v>
      </c>
      <c r="Y47" s="302">
        <f t="shared" si="13"/>
        <v>10500</v>
      </c>
      <c r="Z47" s="302">
        <f t="shared" si="13"/>
        <v>10500</v>
      </c>
      <c r="AA47" s="302">
        <f t="shared" si="13"/>
        <v>10500</v>
      </c>
      <c r="AB47" s="302">
        <f t="shared" si="13"/>
        <v>10500</v>
      </c>
      <c r="AC47" s="302">
        <f t="shared" si="13"/>
        <v>10500</v>
      </c>
      <c r="AD47" s="302">
        <f t="shared" si="13"/>
        <v>10500</v>
      </c>
      <c r="AE47" s="302">
        <f t="shared" si="13"/>
        <v>10500</v>
      </c>
      <c r="AF47" s="302">
        <f t="shared" si="13"/>
        <v>10500</v>
      </c>
      <c r="AG47" s="302">
        <f t="shared" si="13"/>
        <v>10500</v>
      </c>
      <c r="AH47" s="302">
        <f t="shared" si="13"/>
        <v>10500</v>
      </c>
      <c r="AI47" s="302">
        <f t="shared" si="13"/>
        <v>10500</v>
      </c>
      <c r="AJ47" s="302">
        <f t="shared" si="13"/>
        <v>10500</v>
      </c>
      <c r="AK47" s="302">
        <f t="shared" si="13"/>
        <v>10500</v>
      </c>
      <c r="AL47" s="302">
        <f t="shared" si="13"/>
        <v>10500</v>
      </c>
      <c r="AM47" s="240"/>
      <c r="AN47" s="302">
        <f t="shared" si="16"/>
        <v>0</v>
      </c>
      <c r="AO47" s="302">
        <f t="shared" si="14"/>
        <v>42000</v>
      </c>
      <c r="AP47" s="302">
        <f t="shared" si="14"/>
        <v>0</v>
      </c>
      <c r="AQ47" s="302">
        <f t="shared" si="14"/>
        <v>0</v>
      </c>
      <c r="AR47" s="302">
        <f t="shared" si="14"/>
        <v>0</v>
      </c>
      <c r="AS47" s="302">
        <f t="shared" si="14"/>
        <v>42000</v>
      </c>
      <c r="AT47" s="302">
        <f t="shared" si="14"/>
        <v>0</v>
      </c>
      <c r="AU47" s="302">
        <f t="shared" si="14"/>
        <v>0</v>
      </c>
      <c r="AV47" s="302">
        <f t="shared" si="14"/>
        <v>0</v>
      </c>
      <c r="AW47" s="302">
        <f t="shared" si="14"/>
        <v>42000</v>
      </c>
      <c r="AX47" s="302">
        <f t="shared" si="14"/>
        <v>0</v>
      </c>
      <c r="AY47" s="302">
        <f t="shared" si="14"/>
        <v>0</v>
      </c>
      <c r="AZ47" s="302">
        <f>IF(AZ$42=$E47,SUM(AJ47:$AL47),0)</f>
        <v>0</v>
      </c>
      <c r="BA47" s="302">
        <f>IF(BA$42=$E47,SUM(AK47:$AL47),0)</f>
        <v>21000</v>
      </c>
      <c r="BB47" s="302">
        <f>IF(BB$42=$E47,SUM(AL47:$AL47),0)</f>
        <v>0</v>
      </c>
      <c r="BD47" s="301">
        <f t="shared" si="11"/>
        <v>0</v>
      </c>
    </row>
    <row r="48" spans="1:56" x14ac:dyDescent="0.25">
      <c r="A48" s="297" t="s">
        <v>157</v>
      </c>
      <c r="B48" s="256" t="str">
        <f>VLOOKUP(A48,'DFP-Com'!$A$16:$B$50,2,1)</f>
        <v xml:space="preserve">     4.1.a  Staff Compensation*</v>
      </c>
      <c r="C48" s="297" t="s">
        <v>202</v>
      </c>
      <c r="D48" s="234">
        <f t="shared" si="12"/>
        <v>89760</v>
      </c>
      <c r="E48" s="297" t="s">
        <v>209</v>
      </c>
      <c r="G48" s="304">
        <v>3960</v>
      </c>
      <c r="H48" s="319">
        <f>2200*3</f>
        <v>6600</v>
      </c>
      <c r="I48" s="304">
        <f t="shared" ref="I48:T49" si="17">2200*3</f>
        <v>6600</v>
      </c>
      <c r="J48" s="304">
        <f t="shared" si="17"/>
        <v>6600</v>
      </c>
      <c r="K48" s="304">
        <f t="shared" si="17"/>
        <v>6600</v>
      </c>
      <c r="L48" s="304">
        <f t="shared" si="17"/>
        <v>6600</v>
      </c>
      <c r="M48" s="304">
        <f t="shared" si="17"/>
        <v>6600</v>
      </c>
      <c r="N48" s="304">
        <f t="shared" si="17"/>
        <v>6600</v>
      </c>
      <c r="O48" s="304">
        <f t="shared" si="17"/>
        <v>6600</v>
      </c>
      <c r="P48" s="304">
        <f t="shared" si="17"/>
        <v>6600</v>
      </c>
      <c r="Q48" s="304">
        <f t="shared" si="17"/>
        <v>6600</v>
      </c>
      <c r="R48" s="304">
        <f t="shared" si="17"/>
        <v>6600</v>
      </c>
      <c r="S48" s="304">
        <f t="shared" si="17"/>
        <v>6600</v>
      </c>
      <c r="T48" s="304">
        <f t="shared" si="17"/>
        <v>6600</v>
      </c>
      <c r="U48" s="304">
        <f t="shared" si="15"/>
        <v>89760</v>
      </c>
      <c r="X48" s="251">
        <f t="shared" si="13"/>
        <v>0</v>
      </c>
      <c r="Y48" s="302">
        <f t="shared" si="13"/>
        <v>3960</v>
      </c>
      <c r="Z48" s="302">
        <f t="shared" si="13"/>
        <v>6600</v>
      </c>
      <c r="AA48" s="302">
        <f t="shared" si="13"/>
        <v>6600</v>
      </c>
      <c r="AB48" s="302">
        <f t="shared" si="13"/>
        <v>6600</v>
      </c>
      <c r="AC48" s="302">
        <f t="shared" si="13"/>
        <v>6600</v>
      </c>
      <c r="AD48" s="302">
        <f t="shared" si="13"/>
        <v>6600</v>
      </c>
      <c r="AE48" s="302">
        <f t="shared" si="13"/>
        <v>6600</v>
      </c>
      <c r="AF48" s="302">
        <f t="shared" si="13"/>
        <v>6600</v>
      </c>
      <c r="AG48" s="302">
        <f t="shared" si="13"/>
        <v>6600</v>
      </c>
      <c r="AH48" s="302">
        <f t="shared" si="13"/>
        <v>6600</v>
      </c>
      <c r="AI48" s="302">
        <f t="shared" si="13"/>
        <v>6600</v>
      </c>
      <c r="AJ48" s="302">
        <f t="shared" si="13"/>
        <v>6600</v>
      </c>
      <c r="AK48" s="302">
        <f t="shared" si="13"/>
        <v>6600</v>
      </c>
      <c r="AL48" s="302">
        <f t="shared" si="13"/>
        <v>6600</v>
      </c>
      <c r="AM48" s="240"/>
      <c r="AN48" s="302">
        <f t="shared" si="16"/>
        <v>0</v>
      </c>
      <c r="AO48" s="302">
        <f t="shared" si="14"/>
        <v>23760</v>
      </c>
      <c r="AP48" s="302">
        <f t="shared" si="14"/>
        <v>0</v>
      </c>
      <c r="AQ48" s="302">
        <f t="shared" si="14"/>
        <v>0</v>
      </c>
      <c r="AR48" s="302">
        <f t="shared" si="14"/>
        <v>0</v>
      </c>
      <c r="AS48" s="302">
        <f t="shared" si="14"/>
        <v>26400</v>
      </c>
      <c r="AT48" s="302">
        <f t="shared" si="14"/>
        <v>0</v>
      </c>
      <c r="AU48" s="302">
        <f t="shared" si="14"/>
        <v>0</v>
      </c>
      <c r="AV48" s="302">
        <f t="shared" si="14"/>
        <v>0</v>
      </c>
      <c r="AW48" s="302">
        <f t="shared" si="14"/>
        <v>26400</v>
      </c>
      <c r="AX48" s="302">
        <f t="shared" si="14"/>
        <v>0</v>
      </c>
      <c r="AY48" s="302">
        <f t="shared" si="14"/>
        <v>0</v>
      </c>
      <c r="AZ48" s="302">
        <f>IF(AZ$42=$E48,SUM(AJ48:$AL48),0)</f>
        <v>0</v>
      </c>
      <c r="BA48" s="302">
        <f>IF(BA$42=$E48,SUM(AK48:$AL48),0)</f>
        <v>13200</v>
      </c>
      <c r="BB48" s="302">
        <f>IF(BB$42=$E48,SUM(AL48:$AL48),0)</f>
        <v>0</v>
      </c>
      <c r="BD48" s="301">
        <f t="shared" si="11"/>
        <v>0</v>
      </c>
    </row>
    <row r="49" spans="1:56" x14ac:dyDescent="0.25">
      <c r="A49" s="297" t="s">
        <v>157</v>
      </c>
      <c r="B49" s="256" t="str">
        <f>VLOOKUP(A49,'DFP-Com'!$A$16:$B$50,2,1)</f>
        <v xml:space="preserve">     4.1.a  Staff Compensation*</v>
      </c>
      <c r="C49" s="297" t="s">
        <v>203</v>
      </c>
      <c r="D49" s="234">
        <f t="shared" si="12"/>
        <v>89760</v>
      </c>
      <c r="E49" s="297" t="s">
        <v>209</v>
      </c>
      <c r="G49" s="304">
        <v>3960</v>
      </c>
      <c r="H49" s="319">
        <f>2200*3</f>
        <v>6600</v>
      </c>
      <c r="I49" s="304">
        <f t="shared" si="17"/>
        <v>6600</v>
      </c>
      <c r="J49" s="304">
        <f t="shared" si="17"/>
        <v>6600</v>
      </c>
      <c r="K49" s="304">
        <f t="shared" si="17"/>
        <v>6600</v>
      </c>
      <c r="L49" s="304">
        <f t="shared" si="17"/>
        <v>6600</v>
      </c>
      <c r="M49" s="304">
        <f t="shared" si="17"/>
        <v>6600</v>
      </c>
      <c r="N49" s="304">
        <f t="shared" si="17"/>
        <v>6600</v>
      </c>
      <c r="O49" s="304">
        <f t="shared" si="17"/>
        <v>6600</v>
      </c>
      <c r="P49" s="304">
        <f t="shared" si="17"/>
        <v>6600</v>
      </c>
      <c r="Q49" s="304">
        <f t="shared" si="17"/>
        <v>6600</v>
      </c>
      <c r="R49" s="304">
        <f t="shared" si="17"/>
        <v>6600</v>
      </c>
      <c r="S49" s="304">
        <f t="shared" si="17"/>
        <v>6600</v>
      </c>
      <c r="T49" s="304">
        <f t="shared" si="17"/>
        <v>6600</v>
      </c>
      <c r="U49" s="304">
        <f t="shared" si="15"/>
        <v>89760</v>
      </c>
      <c r="X49" s="251">
        <f t="shared" si="13"/>
        <v>0</v>
      </c>
      <c r="Y49" s="302">
        <f t="shared" si="13"/>
        <v>3960</v>
      </c>
      <c r="Z49" s="302">
        <f t="shared" si="13"/>
        <v>6600</v>
      </c>
      <c r="AA49" s="302">
        <f t="shared" si="13"/>
        <v>6600</v>
      </c>
      <c r="AB49" s="302">
        <f t="shared" si="13"/>
        <v>6600</v>
      </c>
      <c r="AC49" s="302">
        <f t="shared" si="13"/>
        <v>6600</v>
      </c>
      <c r="AD49" s="302">
        <f t="shared" si="13"/>
        <v>6600</v>
      </c>
      <c r="AE49" s="302">
        <f t="shared" si="13"/>
        <v>6600</v>
      </c>
      <c r="AF49" s="302">
        <f t="shared" si="13"/>
        <v>6600</v>
      </c>
      <c r="AG49" s="302">
        <f t="shared" si="13"/>
        <v>6600</v>
      </c>
      <c r="AH49" s="302">
        <f t="shared" si="13"/>
        <v>6600</v>
      </c>
      <c r="AI49" s="302">
        <f t="shared" si="13"/>
        <v>6600</v>
      </c>
      <c r="AJ49" s="302">
        <f t="shared" si="13"/>
        <v>6600</v>
      </c>
      <c r="AK49" s="302">
        <f t="shared" si="13"/>
        <v>6600</v>
      </c>
      <c r="AL49" s="302">
        <f t="shared" si="13"/>
        <v>6600</v>
      </c>
      <c r="AM49" s="240"/>
      <c r="AN49" s="302">
        <f t="shared" si="16"/>
        <v>0</v>
      </c>
      <c r="AO49" s="302">
        <f t="shared" si="14"/>
        <v>23760</v>
      </c>
      <c r="AP49" s="302">
        <f t="shared" si="14"/>
        <v>0</v>
      </c>
      <c r="AQ49" s="302">
        <f t="shared" si="14"/>
        <v>0</v>
      </c>
      <c r="AR49" s="302">
        <f t="shared" si="14"/>
        <v>0</v>
      </c>
      <c r="AS49" s="302">
        <f t="shared" si="14"/>
        <v>26400</v>
      </c>
      <c r="AT49" s="302">
        <f t="shared" si="14"/>
        <v>0</v>
      </c>
      <c r="AU49" s="302">
        <f t="shared" si="14"/>
        <v>0</v>
      </c>
      <c r="AV49" s="302">
        <f t="shared" si="14"/>
        <v>0</v>
      </c>
      <c r="AW49" s="302">
        <f t="shared" si="14"/>
        <v>26400</v>
      </c>
      <c r="AX49" s="302">
        <f t="shared" si="14"/>
        <v>0</v>
      </c>
      <c r="AY49" s="302">
        <f t="shared" si="14"/>
        <v>0</v>
      </c>
      <c r="AZ49" s="302">
        <f>IF(AZ$42=$E49,SUM(AJ49:$AL49),0)</f>
        <v>0</v>
      </c>
      <c r="BA49" s="302">
        <f>IF(BA$42=$E49,SUM(AK49:$AL49),0)</f>
        <v>13200</v>
      </c>
      <c r="BB49" s="302">
        <f>IF(BB$42=$E49,SUM(AL49:$AL49),0)</f>
        <v>0</v>
      </c>
      <c r="BD49" s="301">
        <f t="shared" si="11"/>
        <v>0</v>
      </c>
    </row>
    <row r="50" spans="1:56" x14ac:dyDescent="0.25">
      <c r="A50" s="297" t="s">
        <v>157</v>
      </c>
      <c r="B50" s="256" t="str">
        <f>VLOOKUP(A50,'DFP-Com'!$A$16:$B$50,2,1)</f>
        <v xml:space="preserve">     4.1.a  Staff Compensation*</v>
      </c>
      <c r="C50" s="297" t="s">
        <v>251</v>
      </c>
      <c r="D50" s="234">
        <f>3000*24</f>
        <v>72000</v>
      </c>
      <c r="E50" s="297" t="s">
        <v>213</v>
      </c>
      <c r="G50" s="304"/>
      <c r="H50" s="319"/>
      <c r="I50" s="304">
        <f>3000*3</f>
        <v>9000</v>
      </c>
      <c r="J50" s="304">
        <f t="shared" ref="J50:P50" si="18">3000*3</f>
        <v>9000</v>
      </c>
      <c r="K50" s="304">
        <f t="shared" si="18"/>
        <v>9000</v>
      </c>
      <c r="L50" s="304">
        <f t="shared" si="18"/>
        <v>9000</v>
      </c>
      <c r="M50" s="304">
        <f t="shared" si="18"/>
        <v>9000</v>
      </c>
      <c r="N50" s="304">
        <f t="shared" si="18"/>
        <v>9000</v>
      </c>
      <c r="O50" s="304">
        <f t="shared" si="18"/>
        <v>9000</v>
      </c>
      <c r="P50" s="304">
        <f t="shared" si="18"/>
        <v>9000</v>
      </c>
      <c r="Q50" s="304"/>
      <c r="R50" s="304"/>
      <c r="S50" s="304"/>
      <c r="T50" s="304"/>
      <c r="U50" s="304">
        <f t="shared" si="15"/>
        <v>72000</v>
      </c>
      <c r="X50" s="251"/>
      <c r="Y50" s="302"/>
      <c r="Z50" s="302"/>
      <c r="AA50" s="302"/>
      <c r="AB50" s="302"/>
      <c r="AC50" s="302"/>
      <c r="AD50" s="302"/>
      <c r="AE50" s="302"/>
      <c r="AF50" s="302"/>
      <c r="AG50" s="302"/>
      <c r="AH50" s="302"/>
      <c r="AI50" s="302"/>
      <c r="AJ50" s="302"/>
      <c r="AK50" s="302"/>
      <c r="AL50" s="302"/>
      <c r="AM50" s="240"/>
      <c r="AN50" s="302"/>
      <c r="AO50" s="302"/>
      <c r="AP50" s="302"/>
      <c r="AQ50" s="302"/>
      <c r="AR50" s="302"/>
      <c r="AS50" s="302"/>
      <c r="AT50" s="302"/>
      <c r="AU50" s="302"/>
      <c r="AV50" s="302"/>
      <c r="AW50" s="302"/>
      <c r="AX50" s="302"/>
      <c r="AY50" s="302"/>
      <c r="AZ50" s="302"/>
      <c r="BA50" s="302"/>
      <c r="BB50" s="302"/>
      <c r="BD50" s="301"/>
    </row>
    <row r="51" spans="1:56" x14ac:dyDescent="0.25">
      <c r="A51" s="297" t="s">
        <v>145</v>
      </c>
      <c r="B51" s="245" t="str">
        <f>VLOOKUP(A51,'DFP-Com'!$A$16:$B$50,2,1)</f>
        <v xml:space="preserve">     1.2.a  TVET</v>
      </c>
      <c r="C51" s="297" t="s">
        <v>220</v>
      </c>
      <c r="D51" s="234">
        <f t="shared" ref="D51" si="19">SUM(F51:T51)</f>
        <v>144000</v>
      </c>
      <c r="E51" s="297" t="s">
        <v>213</v>
      </c>
      <c r="G51" s="304"/>
      <c r="H51" s="319">
        <v>0</v>
      </c>
      <c r="I51" s="304">
        <v>12000</v>
      </c>
      <c r="J51" s="304">
        <v>12000</v>
      </c>
      <c r="K51" s="304">
        <v>12000</v>
      </c>
      <c r="L51" s="304">
        <v>12000</v>
      </c>
      <c r="M51" s="304">
        <v>12000</v>
      </c>
      <c r="N51" s="304">
        <v>12000</v>
      </c>
      <c r="O51" s="304">
        <v>12000</v>
      </c>
      <c r="P51" s="304">
        <v>12000</v>
      </c>
      <c r="Q51" s="304">
        <v>12000</v>
      </c>
      <c r="R51" s="304">
        <v>12000</v>
      </c>
      <c r="S51" s="304">
        <v>12000</v>
      </c>
      <c r="T51" s="304">
        <v>12000</v>
      </c>
      <c r="U51" s="304">
        <f t="shared" si="15"/>
        <v>144000</v>
      </c>
      <c r="X51" s="251">
        <f t="shared" si="13"/>
        <v>0</v>
      </c>
      <c r="Y51" s="302">
        <f t="shared" si="13"/>
        <v>0</v>
      </c>
      <c r="Z51" s="302">
        <f t="shared" si="13"/>
        <v>0</v>
      </c>
      <c r="AA51" s="302">
        <f t="shared" si="13"/>
        <v>12000</v>
      </c>
      <c r="AB51" s="302">
        <f t="shared" si="13"/>
        <v>12000</v>
      </c>
      <c r="AC51" s="302">
        <f t="shared" si="13"/>
        <v>12000</v>
      </c>
      <c r="AD51" s="302">
        <f t="shared" si="13"/>
        <v>12000</v>
      </c>
      <c r="AE51" s="302">
        <f t="shared" si="13"/>
        <v>12000</v>
      </c>
      <c r="AF51" s="302">
        <f t="shared" si="13"/>
        <v>12000</v>
      </c>
      <c r="AG51" s="302">
        <f t="shared" si="13"/>
        <v>12000</v>
      </c>
      <c r="AH51" s="302">
        <f t="shared" si="13"/>
        <v>12000</v>
      </c>
      <c r="AI51" s="302">
        <f t="shared" si="13"/>
        <v>12000</v>
      </c>
      <c r="AJ51" s="302">
        <f t="shared" si="13"/>
        <v>12000</v>
      </c>
      <c r="AK51" s="302">
        <f t="shared" si="13"/>
        <v>12000</v>
      </c>
      <c r="AL51" s="302">
        <f t="shared" si="13"/>
        <v>12000</v>
      </c>
      <c r="AM51" s="240"/>
      <c r="AN51" s="302">
        <f t="shared" si="16"/>
        <v>0</v>
      </c>
      <c r="AO51" s="302">
        <f t="shared" si="14"/>
        <v>0</v>
      </c>
      <c r="AP51" s="302">
        <f t="shared" si="14"/>
        <v>0</v>
      </c>
      <c r="AQ51" s="302">
        <f t="shared" si="14"/>
        <v>48000</v>
      </c>
      <c r="AR51" s="302">
        <f t="shared" si="14"/>
        <v>0</v>
      </c>
      <c r="AS51" s="302">
        <f t="shared" si="14"/>
        <v>0</v>
      </c>
      <c r="AT51" s="302">
        <f t="shared" si="14"/>
        <v>0</v>
      </c>
      <c r="AU51" s="302">
        <f t="shared" si="14"/>
        <v>48000</v>
      </c>
      <c r="AV51" s="302">
        <f t="shared" si="14"/>
        <v>0</v>
      </c>
      <c r="AW51" s="302">
        <f t="shared" si="14"/>
        <v>0</v>
      </c>
      <c r="AX51" s="302">
        <f t="shared" si="14"/>
        <v>0</v>
      </c>
      <c r="AY51" s="302">
        <f t="shared" si="14"/>
        <v>48000</v>
      </c>
      <c r="AZ51" s="302">
        <f>IF(AZ$42=$E51,SUM(AJ51:$AL51),0)</f>
        <v>0</v>
      </c>
      <c r="BA51" s="302">
        <f>IF(BA$42=$E51,SUM(AK51:$AL51),0)</f>
        <v>0</v>
      </c>
      <c r="BB51" s="302">
        <f>IF(BB$42=$E51,SUM(AL51:$AL51),0)</f>
        <v>0</v>
      </c>
      <c r="BD51" s="301">
        <f t="shared" si="11"/>
        <v>0</v>
      </c>
    </row>
    <row r="52" spans="1:56" x14ac:dyDescent="0.25">
      <c r="G52" s="304"/>
      <c r="H52" s="319"/>
      <c r="I52" s="304"/>
      <c r="J52" s="304"/>
      <c r="K52" s="304"/>
      <c r="L52" s="304"/>
      <c r="M52" s="304"/>
      <c r="N52" s="304"/>
      <c r="O52" s="304"/>
      <c r="P52" s="304"/>
      <c r="Q52" s="304"/>
      <c r="R52" s="304"/>
      <c r="S52" s="304"/>
      <c r="T52" s="304"/>
      <c r="U52" s="304"/>
      <c r="X52" s="239"/>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D52" s="301">
        <f t="shared" si="11"/>
        <v>0</v>
      </c>
    </row>
    <row r="53" spans="1:56" x14ac:dyDescent="0.25">
      <c r="A53" s="236" t="s">
        <v>205</v>
      </c>
      <c r="B53" s="236"/>
      <c r="C53" s="236"/>
      <c r="D53" s="236"/>
      <c r="E53" s="236"/>
      <c r="G53" s="304"/>
      <c r="H53" s="319"/>
      <c r="I53" s="304"/>
      <c r="J53" s="304"/>
      <c r="K53" s="304"/>
      <c r="L53" s="304"/>
      <c r="M53" s="304"/>
      <c r="N53" s="304"/>
      <c r="O53" s="304"/>
      <c r="P53" s="304"/>
      <c r="Q53" s="304"/>
      <c r="R53" s="304"/>
      <c r="S53" s="304"/>
      <c r="T53" s="304"/>
      <c r="U53" s="304"/>
      <c r="X53" s="239"/>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D53" s="301">
        <f t="shared" si="11"/>
        <v>0</v>
      </c>
    </row>
    <row r="54" spans="1:56" x14ac:dyDescent="0.25">
      <c r="A54" s="297" t="s">
        <v>160</v>
      </c>
      <c r="B54" s="256" t="str">
        <f>VLOOKUP(A54,'DFP-Com'!$A$16:$B$50,2,1)</f>
        <v xml:space="preserve">     4.1.d  Other</v>
      </c>
      <c r="C54" s="297" t="s">
        <v>199</v>
      </c>
      <c r="D54" s="234">
        <v>20000</v>
      </c>
      <c r="G54" s="304">
        <v>1267.82</v>
      </c>
      <c r="H54" s="319">
        <v>2000</v>
      </c>
      <c r="I54" s="304">
        <v>1400</v>
      </c>
      <c r="J54" s="304">
        <v>1400</v>
      </c>
      <c r="K54" s="304">
        <v>1400</v>
      </c>
      <c r="L54" s="304">
        <v>1400</v>
      </c>
      <c r="M54" s="304">
        <v>1400</v>
      </c>
      <c r="N54" s="304">
        <v>1400</v>
      </c>
      <c r="O54" s="304">
        <v>1400</v>
      </c>
      <c r="P54" s="304">
        <v>1400</v>
      </c>
      <c r="Q54" s="304">
        <v>1400</v>
      </c>
      <c r="R54" s="304">
        <v>1400</v>
      </c>
      <c r="S54" s="304">
        <v>1400</v>
      </c>
      <c r="T54" s="304">
        <f>1400-68</f>
        <v>1332</v>
      </c>
      <c r="U54" s="304">
        <f t="shared" si="15"/>
        <v>19999.82</v>
      </c>
      <c r="X54" s="251">
        <f t="shared" ref="X54:AL55" si="20">F54</f>
        <v>0</v>
      </c>
      <c r="Y54" s="302">
        <f t="shared" si="20"/>
        <v>1267.82</v>
      </c>
      <c r="Z54" s="302">
        <f t="shared" si="20"/>
        <v>2000</v>
      </c>
      <c r="AA54" s="302">
        <f t="shared" si="20"/>
        <v>1400</v>
      </c>
      <c r="AB54" s="302">
        <f t="shared" si="20"/>
        <v>1400</v>
      </c>
      <c r="AC54" s="302">
        <f t="shared" si="20"/>
        <v>1400</v>
      </c>
      <c r="AD54" s="302">
        <f t="shared" si="20"/>
        <v>1400</v>
      </c>
      <c r="AE54" s="302">
        <f t="shared" si="20"/>
        <v>1400</v>
      </c>
      <c r="AF54" s="302">
        <f t="shared" si="20"/>
        <v>1400</v>
      </c>
      <c r="AG54" s="302">
        <f t="shared" si="20"/>
        <v>1400</v>
      </c>
      <c r="AH54" s="302">
        <f t="shared" si="20"/>
        <v>1400</v>
      </c>
      <c r="AI54" s="302">
        <f t="shared" si="20"/>
        <v>1400</v>
      </c>
      <c r="AJ54" s="302">
        <f t="shared" si="20"/>
        <v>1400</v>
      </c>
      <c r="AK54" s="302">
        <f t="shared" si="20"/>
        <v>1400</v>
      </c>
      <c r="AL54" s="302">
        <f t="shared" si="20"/>
        <v>1332</v>
      </c>
      <c r="AM54" s="240"/>
      <c r="AN54" s="302">
        <f>X54</f>
        <v>0</v>
      </c>
      <c r="AO54" s="302">
        <f t="shared" ref="AO54:BB55" si="21">Y54</f>
        <v>1267.82</v>
      </c>
      <c r="AP54" s="302">
        <f t="shared" si="21"/>
        <v>2000</v>
      </c>
      <c r="AQ54" s="302">
        <f t="shared" si="21"/>
        <v>1400</v>
      </c>
      <c r="AR54" s="302">
        <f t="shared" si="21"/>
        <v>1400</v>
      </c>
      <c r="AS54" s="302">
        <f t="shared" si="21"/>
        <v>1400</v>
      </c>
      <c r="AT54" s="302">
        <f t="shared" si="21"/>
        <v>1400</v>
      </c>
      <c r="AU54" s="302">
        <f t="shared" si="21"/>
        <v>1400</v>
      </c>
      <c r="AV54" s="302">
        <f t="shared" si="21"/>
        <v>1400</v>
      </c>
      <c r="AW54" s="302">
        <f t="shared" si="21"/>
        <v>1400</v>
      </c>
      <c r="AX54" s="302">
        <f t="shared" si="21"/>
        <v>1400</v>
      </c>
      <c r="AY54" s="302">
        <f t="shared" si="21"/>
        <v>1400</v>
      </c>
      <c r="AZ54" s="302">
        <f t="shared" si="21"/>
        <v>1400</v>
      </c>
      <c r="BA54" s="302">
        <f t="shared" si="21"/>
        <v>1400</v>
      </c>
      <c r="BB54" s="302">
        <f t="shared" si="21"/>
        <v>1332</v>
      </c>
      <c r="BD54" s="301">
        <f t="shared" si="11"/>
        <v>0</v>
      </c>
    </row>
    <row r="55" spans="1:56" x14ac:dyDescent="0.25">
      <c r="A55" s="297" t="s">
        <v>158</v>
      </c>
      <c r="B55" s="256" t="str">
        <f>VLOOKUP(A55,'DFP-Com'!$A$16:$B$50,2,1)</f>
        <v xml:space="preserve">     4.1.b  Travel*</v>
      </c>
      <c r="C55" s="297" t="s">
        <v>200</v>
      </c>
      <c r="D55" s="234">
        <v>35000</v>
      </c>
      <c r="G55" s="304">
        <v>0</v>
      </c>
      <c r="H55" s="319">
        <v>4000</v>
      </c>
      <c r="I55" s="304">
        <v>2500</v>
      </c>
      <c r="J55" s="304">
        <v>2500</v>
      </c>
      <c r="K55" s="304">
        <v>2500</v>
      </c>
      <c r="L55" s="304">
        <v>3500</v>
      </c>
      <c r="M55" s="304">
        <v>2500</v>
      </c>
      <c r="N55" s="304">
        <v>2500</v>
      </c>
      <c r="O55" s="304">
        <v>2500</v>
      </c>
      <c r="P55" s="304">
        <v>2500</v>
      </c>
      <c r="Q55" s="304">
        <v>2500</v>
      </c>
      <c r="R55" s="304">
        <v>2500</v>
      </c>
      <c r="S55" s="304">
        <v>2500</v>
      </c>
      <c r="T55" s="304">
        <v>2500</v>
      </c>
      <c r="U55" s="304">
        <f t="shared" si="15"/>
        <v>35000</v>
      </c>
      <c r="X55" s="251">
        <f t="shared" si="20"/>
        <v>0</v>
      </c>
      <c r="Y55" s="302">
        <f t="shared" si="20"/>
        <v>0</v>
      </c>
      <c r="Z55" s="302">
        <f t="shared" si="20"/>
        <v>4000</v>
      </c>
      <c r="AA55" s="302">
        <f t="shared" si="20"/>
        <v>2500</v>
      </c>
      <c r="AB55" s="302">
        <f t="shared" si="20"/>
        <v>2500</v>
      </c>
      <c r="AC55" s="302">
        <f t="shared" si="20"/>
        <v>2500</v>
      </c>
      <c r="AD55" s="302">
        <f t="shared" si="20"/>
        <v>3500</v>
      </c>
      <c r="AE55" s="302">
        <f t="shared" si="20"/>
        <v>2500</v>
      </c>
      <c r="AF55" s="302">
        <f t="shared" si="20"/>
        <v>2500</v>
      </c>
      <c r="AG55" s="302">
        <f t="shared" si="20"/>
        <v>2500</v>
      </c>
      <c r="AH55" s="302">
        <f t="shared" si="20"/>
        <v>2500</v>
      </c>
      <c r="AI55" s="302">
        <f t="shared" si="20"/>
        <v>2500</v>
      </c>
      <c r="AJ55" s="302">
        <f t="shared" si="20"/>
        <v>2500</v>
      </c>
      <c r="AK55" s="302">
        <f t="shared" si="20"/>
        <v>2500</v>
      </c>
      <c r="AL55" s="302">
        <f t="shared" si="20"/>
        <v>2500</v>
      </c>
      <c r="AM55" s="240"/>
      <c r="AN55" s="302">
        <f>X55</f>
        <v>0</v>
      </c>
      <c r="AO55" s="302">
        <f t="shared" si="21"/>
        <v>0</v>
      </c>
      <c r="AP55" s="302">
        <f t="shared" si="21"/>
        <v>4000</v>
      </c>
      <c r="AQ55" s="302">
        <f t="shared" si="21"/>
        <v>2500</v>
      </c>
      <c r="AR55" s="302">
        <f t="shared" si="21"/>
        <v>2500</v>
      </c>
      <c r="AS55" s="302">
        <f t="shared" si="21"/>
        <v>2500</v>
      </c>
      <c r="AT55" s="302">
        <f t="shared" si="21"/>
        <v>3500</v>
      </c>
      <c r="AU55" s="302">
        <f t="shared" si="21"/>
        <v>2500</v>
      </c>
      <c r="AV55" s="302">
        <f t="shared" si="21"/>
        <v>2500</v>
      </c>
      <c r="AW55" s="302">
        <f t="shared" si="21"/>
        <v>2500</v>
      </c>
      <c r="AX55" s="302">
        <f t="shared" si="21"/>
        <v>2500</v>
      </c>
      <c r="AY55" s="302">
        <f t="shared" si="21"/>
        <v>2500</v>
      </c>
      <c r="AZ55" s="302">
        <f t="shared" si="21"/>
        <v>2500</v>
      </c>
      <c r="BA55" s="302">
        <f t="shared" si="21"/>
        <v>2500</v>
      </c>
      <c r="BB55" s="302">
        <f t="shared" si="21"/>
        <v>2500</v>
      </c>
      <c r="BD55" s="301">
        <f t="shared" si="11"/>
        <v>0</v>
      </c>
    </row>
    <row r="56" spans="1:56" s="247" customFormat="1" x14ac:dyDescent="0.25">
      <c r="A56" s="248"/>
      <c r="D56" s="249"/>
      <c r="H56" s="320"/>
      <c r="U56" s="250"/>
      <c r="V56" s="297"/>
      <c r="W56" s="297"/>
      <c r="X56" s="244"/>
      <c r="Y56" s="244"/>
      <c r="Z56" s="244"/>
      <c r="AA56" s="244"/>
      <c r="AB56" s="244"/>
      <c r="AC56" s="244"/>
      <c r="AD56" s="244"/>
      <c r="AE56" s="244"/>
      <c r="AF56" s="244"/>
      <c r="AG56" s="244"/>
      <c r="AH56" s="244"/>
      <c r="AI56" s="244"/>
      <c r="AJ56" s="244"/>
      <c r="AK56" s="244"/>
      <c r="AL56" s="244"/>
    </row>
    <row r="57" spans="1:56" x14ac:dyDescent="0.25">
      <c r="B57" s="239" t="s">
        <v>224</v>
      </c>
      <c r="D57" s="251">
        <f>SUM(D4:D55)</f>
        <v>23584570</v>
      </c>
      <c r="E57" s="239"/>
      <c r="F57" s="239"/>
      <c r="G57" s="239"/>
      <c r="H57" s="321"/>
      <c r="I57" s="239"/>
      <c r="J57" s="239"/>
      <c r="K57" s="239"/>
      <c r="L57" s="239"/>
      <c r="M57" s="239"/>
      <c r="N57" s="239"/>
      <c r="O57" s="239"/>
      <c r="P57" s="239"/>
      <c r="Q57" s="239"/>
      <c r="R57" s="239"/>
      <c r="T57" s="239"/>
      <c r="U57" s="239"/>
      <c r="X57" s="301" t="s">
        <v>118</v>
      </c>
    </row>
    <row r="58" spans="1:56" x14ac:dyDescent="0.25">
      <c r="D58" s="254"/>
      <c r="E58" s="255"/>
      <c r="F58" s="255"/>
      <c r="G58" s="255"/>
      <c r="H58" s="320"/>
      <c r="I58" s="255"/>
      <c r="J58" s="255"/>
      <c r="K58" s="255"/>
      <c r="L58" s="255"/>
      <c r="M58" s="255"/>
      <c r="N58" s="255"/>
      <c r="O58" s="255"/>
      <c r="P58" s="255"/>
      <c r="Q58" s="255"/>
      <c r="R58" s="255"/>
      <c r="S58" s="255"/>
      <c r="T58" s="255"/>
      <c r="U58" s="255"/>
      <c r="X58" s="301"/>
    </row>
    <row r="59" spans="1:56" x14ac:dyDescent="0.25">
      <c r="A59" s="297" t="s">
        <v>142</v>
      </c>
      <c r="B59" s="428" t="str">
        <f>VLOOKUP(A59,'DFP-Com'!$A$16:$B$50,2,1)</f>
        <v xml:space="preserve">     1.1.a  Education Project Implementation Contract</v>
      </c>
      <c r="C59" s="428"/>
      <c r="D59" s="234">
        <f>SUMIF($A$4:$A$56,"="&amp;A59,$D$4:$D$56)</f>
        <v>8700000</v>
      </c>
    </row>
    <row r="60" spans="1:56" x14ac:dyDescent="0.25">
      <c r="A60" s="297" t="s">
        <v>143</v>
      </c>
      <c r="B60" s="428" t="str">
        <f>VLOOKUP(A60,'DFP-Com'!$A$16:$B$50,2,1)</f>
        <v xml:space="preserve">     1.1.b  Grants to Universities for Teacher Training (Diplomados)</v>
      </c>
      <c r="C60" s="428"/>
      <c r="D60" s="234">
        <f>SUMIF($A$4:$A$56,"="&amp;A60,$D$4:$D$56)</f>
        <v>3000000</v>
      </c>
    </row>
    <row r="61" spans="1:56" x14ac:dyDescent="0.25">
      <c r="A61" s="297" t="s">
        <v>145</v>
      </c>
      <c r="B61" s="428" t="str">
        <f>VLOOKUP(A61,'DFP-Com'!$A$16:$B$50,2,1)</f>
        <v xml:space="preserve">     1.2.a  TVET</v>
      </c>
      <c r="C61" s="428"/>
      <c r="D61" s="234">
        <f>SUMIF($A$4:$A$56,"="&amp;A61,$D$4:$D$56)</f>
        <v>4144000</v>
      </c>
    </row>
    <row r="62" spans="1:56" x14ac:dyDescent="0.25">
      <c r="A62" s="297" t="s">
        <v>146</v>
      </c>
      <c r="B62" s="428" t="str">
        <f>VLOOKUP(A62,'DFP-Com'!$A$16:$B$50,2,1)</f>
        <v xml:space="preserve">     1.3.a  Education Project Implementation Contract</v>
      </c>
      <c r="C62" s="428"/>
      <c r="D62" s="234">
        <f>SUMIF($A$4:$A$56,"="&amp;A62,$D$4:$D$56)</f>
        <v>2500000</v>
      </c>
    </row>
    <row r="63" spans="1:56" x14ac:dyDescent="0.25">
      <c r="A63" s="297" t="s">
        <v>147</v>
      </c>
      <c r="B63" s="428" t="str">
        <f>VLOOKUP(A63,'DFP-Com'!$A$16:$B$50,2,1)</f>
        <v xml:space="preserve">     1.3.b  Education Project Coordination team*</v>
      </c>
      <c r="C63" s="428"/>
      <c r="D63" s="234">
        <f>SUMIF($A$4:$A$56,"="&amp;A63,$D$4:$D$56)</f>
        <v>178400</v>
      </c>
    </row>
    <row r="64" spans="1:56" x14ac:dyDescent="0.25">
      <c r="B64" s="306" t="s">
        <v>241</v>
      </c>
      <c r="C64" s="306"/>
      <c r="D64" s="307">
        <f>SUM(D59:D63)</f>
        <v>18522400</v>
      </c>
      <c r="E64" s="243">
        <f>'QFR - B'!G14</f>
        <v>19300000</v>
      </c>
      <c r="F64" s="301">
        <f>E64-D64</f>
        <v>777600</v>
      </c>
    </row>
    <row r="65" spans="1:6" x14ac:dyDescent="0.25">
      <c r="A65" s="297" t="s">
        <v>149</v>
      </c>
      <c r="B65" s="428" t="str">
        <f>VLOOKUP(A65,'DFP-Com'!$A$16:$B$50,2,1)</f>
        <v xml:space="preserve">     2.1.a  Tax and Customs</v>
      </c>
      <c r="C65" s="428"/>
      <c r="D65" s="234">
        <f>SUMIF($A$4:$A$56,"="&amp;A65,$D$4:$D$56)</f>
        <v>384000</v>
      </c>
    </row>
    <row r="66" spans="1:6" x14ac:dyDescent="0.25">
      <c r="B66" s="306" t="s">
        <v>242</v>
      </c>
      <c r="C66" s="306"/>
      <c r="D66" s="308">
        <f>D65</f>
        <v>384000</v>
      </c>
      <c r="E66" s="243">
        <f>'QFR - B'!G20</f>
        <v>800000</v>
      </c>
      <c r="F66" s="301">
        <f>E66-D66</f>
        <v>416000</v>
      </c>
    </row>
    <row r="67" spans="1:6" x14ac:dyDescent="0.25">
      <c r="A67" s="297" t="s">
        <v>150</v>
      </c>
      <c r="B67" s="428" t="str">
        <f>VLOOKUP(A67,'DFP-Com'!$A$16:$B$50,2,1)</f>
        <v xml:space="preserve">     2.2.a  Advisors</v>
      </c>
      <c r="C67" s="428"/>
      <c r="D67" s="234">
        <f>SUMIF($A$4:$A$56,"="&amp;A67,$D$4:$D$56)</f>
        <v>728750</v>
      </c>
    </row>
    <row r="68" spans="1:6" x14ac:dyDescent="0.25">
      <c r="A68" s="297" t="s">
        <v>151</v>
      </c>
      <c r="B68" s="428" t="str">
        <f>VLOOKUP(A68,'DFP-Com'!$A$16:$B$50,2,1)</f>
        <v xml:space="preserve">     2.2.b  Feasiblity Studies/  Transaction Advisory Services</v>
      </c>
      <c r="C68" s="428"/>
      <c r="D68" s="234">
        <f>SUMIF($A$4:$A$56,"="&amp;A68,$D$4:$D$56)</f>
        <v>1650000</v>
      </c>
    </row>
    <row r="69" spans="1:6" x14ac:dyDescent="0.25">
      <c r="B69" s="306" t="s">
        <v>243</v>
      </c>
      <c r="C69" s="306"/>
      <c r="D69" s="308">
        <f>SUM(D67:D68)</f>
        <v>2378750</v>
      </c>
      <c r="E69" s="243">
        <f>'QFR - B'!G21</f>
        <v>3600000</v>
      </c>
      <c r="F69" s="301">
        <f>E69-D69</f>
        <v>1221250</v>
      </c>
    </row>
    <row r="70" spans="1:6" x14ac:dyDescent="0.25">
      <c r="A70" s="297" t="s">
        <v>153</v>
      </c>
      <c r="B70" s="428" t="str">
        <f>VLOOKUP(A70,'DFP-Com'!$A$16:$B$50,2,1)</f>
        <v xml:space="preserve">     3.1.a  Student Assessment</v>
      </c>
      <c r="C70" s="428"/>
      <c r="D70" s="234">
        <f>SUMIF($A$4:$A$56,"="&amp;A70,$D$4:$D$56)</f>
        <v>706400</v>
      </c>
    </row>
    <row r="71" spans="1:6" x14ac:dyDescent="0.25">
      <c r="A71" s="297" t="s">
        <v>154</v>
      </c>
      <c r="B71" s="428" t="str">
        <f>VLOOKUP(A71,'DFP-Com'!$A$16:$B$50,2,1)</f>
        <v xml:space="preserve">     3.1.b  Teacher Evaluations</v>
      </c>
      <c r="C71" s="428"/>
      <c r="D71" s="234">
        <f>SUMIF($A$4:$A$56,"="&amp;A71,$D$4:$D$56)</f>
        <v>300000</v>
      </c>
    </row>
    <row r="72" spans="1:6" x14ac:dyDescent="0.25">
      <c r="A72" s="297" t="s">
        <v>155</v>
      </c>
      <c r="B72" s="428" t="str">
        <f>VLOOKUP(A72,'DFP-Com'!$A$16:$B$50,2,1)</f>
        <v xml:space="preserve">     3.1.c  Voc Ed Tracer Studies</v>
      </c>
      <c r="C72" s="428"/>
      <c r="D72" s="234">
        <f>SUMIF($A$4:$A$56,"="&amp;A72,$D$4:$D$56)</f>
        <v>300000</v>
      </c>
    </row>
    <row r="73" spans="1:6" x14ac:dyDescent="0.25">
      <c r="A73" s="297" t="s">
        <v>156</v>
      </c>
      <c r="B73" s="428" t="str">
        <f>VLOOKUP(A73,'DFP-Com'!$A$16:$B$50,2,1)</f>
        <v xml:space="preserve">     3.1 d Other</v>
      </c>
      <c r="C73" s="428"/>
      <c r="D73" s="234">
        <f>SUMIF($A$4:$A$56,"="&amp;A73,$D$4:$D$56)</f>
        <v>200000</v>
      </c>
    </row>
    <row r="74" spans="1:6" x14ac:dyDescent="0.25">
      <c r="B74" s="306" t="s">
        <v>223</v>
      </c>
      <c r="C74" s="306"/>
      <c r="D74" s="308">
        <f>SUM(D70:D73)</f>
        <v>1506400</v>
      </c>
      <c r="E74" s="243">
        <f>'QFR - B'!G24</f>
        <v>1700000</v>
      </c>
      <c r="F74" s="301">
        <f>E74-D74</f>
        <v>193600</v>
      </c>
    </row>
    <row r="75" spans="1:6" x14ac:dyDescent="0.25">
      <c r="A75" s="297" t="s">
        <v>157</v>
      </c>
      <c r="B75" s="428" t="str">
        <f>VLOOKUP(A75,'DFP-Com'!$A$16:$B$50,2,1)</f>
        <v xml:space="preserve">     4.1.a  Staff Compensation*</v>
      </c>
      <c r="C75" s="428"/>
      <c r="D75" s="234">
        <f>SUMIF($A$4:$A$56,"="&amp;A75,$D$4:$D$56)</f>
        <v>636520</v>
      </c>
    </row>
    <row r="76" spans="1:6" x14ac:dyDescent="0.25">
      <c r="A76" s="297" t="s">
        <v>158</v>
      </c>
      <c r="B76" s="428" t="str">
        <f>VLOOKUP(A76,'DFP-Com'!$A$16:$B$50,2,1)</f>
        <v xml:space="preserve">     4.1.b  Travel*</v>
      </c>
      <c r="C76" s="428"/>
      <c r="D76" s="234">
        <f>SUMIF($A$4:$A$56,"="&amp;A76,$D$4:$D$56)</f>
        <v>35000</v>
      </c>
    </row>
    <row r="77" spans="1:6" x14ac:dyDescent="0.25">
      <c r="A77" s="297" t="s">
        <v>159</v>
      </c>
      <c r="B77" s="428" t="str">
        <f>VLOOKUP(A77,'DFP-Com'!$A$16:$B$50,2,1)</f>
        <v xml:space="preserve">     4.1.c  Audit</v>
      </c>
      <c r="C77" s="428"/>
      <c r="D77" s="234">
        <f>SUMIF($A$4:$A$56,"="&amp;A77,$D$4:$D$56)</f>
        <v>90000</v>
      </c>
    </row>
    <row r="78" spans="1:6" x14ac:dyDescent="0.25">
      <c r="A78" s="297" t="s">
        <v>160</v>
      </c>
      <c r="B78" s="428" t="str">
        <f>VLOOKUP(A78,'DFP-Com'!$A$16:$B$50,2,1)</f>
        <v xml:space="preserve">     4.1.d  Other</v>
      </c>
      <c r="C78" s="428"/>
      <c r="D78" s="234">
        <f>SUMIF($A$4:$A$56,"="&amp;A78,$D$4:$D$56)</f>
        <v>31500</v>
      </c>
    </row>
    <row r="79" spans="1:6" x14ac:dyDescent="0.25">
      <c r="B79" s="306" t="s">
        <v>244</v>
      </c>
      <c r="C79" s="306"/>
      <c r="D79" s="308">
        <f>SUM(D75:D78)</f>
        <v>793020</v>
      </c>
      <c r="E79" s="243">
        <f>'QFR - B'!G27</f>
        <v>797500</v>
      </c>
      <c r="F79" s="301">
        <f>E79-D79</f>
        <v>4480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3.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2.xml><?xml version="1.0" encoding="utf-8"?>
<ds:datastoreItem xmlns:ds="http://schemas.openxmlformats.org/officeDocument/2006/customXml" ds:itemID="{2A3C046C-33C0-43F6-B7B3-4A615857768F}">
  <ds:schemaRefs>
    <ds:schemaRef ds:uri="http://purl.org/dc/dcmitype/"/>
    <ds:schemaRef ds:uri="133de3ae-5bb8-4cbb-9752-c1040d721e37"/>
    <ds:schemaRef ds:uri="http://purl.org/dc/elements/1.1/"/>
    <ds:schemaRef ds:uri="http://schemas.microsoft.com/office/2006/metadata/properties"/>
    <ds:schemaRef ds:uri="d3b91ed5-3f36-4885-8f16-366304d6a52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6aa829a-de30-4eeb-a917-5f1e16f11f75"/>
    <ds:schemaRef ds:uri="http://www.w3.org/XML/1998/namespace"/>
  </ds:schemaRefs>
</ds:datastoreItem>
</file>

<file path=customXml/itemProps3.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C1C87B-2292-46AA-AF9B-7AA0FD922D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DFP-Com</vt:lpstr>
      <vt:lpstr>DFP-CASH</vt:lpstr>
      <vt:lpstr>QFR - A</vt:lpstr>
      <vt:lpstr>Hoja1</vt:lpstr>
      <vt:lpstr>QFR - B</vt:lpstr>
      <vt:lpstr>THP DR</vt:lpstr>
      <vt:lpstr>Contract level</vt:lpstr>
      <vt:lpstr>Error checks</vt:lpstr>
      <vt:lpstr>Hoja2</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2019-03-27T20:35:08Z</cp:lastPrinted>
  <dcterms:created xsi:type="dcterms:W3CDTF">2016-05-12T16:21:20Z</dcterms:created>
  <dcterms:modified xsi:type="dcterms:W3CDTF">2021-12-21T04:00:17Z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