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8vo Desembolso Abr - Jun 2018\"/>
    </mc:Choice>
  </mc:AlternateContent>
  <bookViews>
    <workbookView xWindow="0" yWindow="0" windowWidth="20490" windowHeight="7650"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s>
  <definedNames>
    <definedName name="_xlnm._FilterDatabase" localSheetId="5" hidden="1">'Contract level'!$A$3:$BE$109</definedName>
    <definedName name="_xlnm._FilterDatabase" localSheetId="1" hidden="1">'DFP-CASH'!$C$1:$E$85</definedName>
    <definedName name="_xlnm._FilterDatabase" localSheetId="7" hidden="1">Historico!$A$3:$BD$38</definedName>
    <definedName name="_xlnm.Print_Area" localSheetId="1">'DFP-CASH'!$B$11:$H$54</definedName>
    <definedName name="_xlnm.Print_Area" localSheetId="0">'DFP-Com'!$B$9:$H$52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71027"/>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47" i="1" l="1"/>
  <c r="C33" i="2"/>
  <c r="D47" i="2" l="1"/>
  <c r="AB59" i="6" l="1"/>
  <c r="U84" i="6"/>
  <c r="V62" i="6"/>
  <c r="Y62" i="6"/>
  <c r="Z62" i="6"/>
  <c r="AA62" i="6"/>
  <c r="AB62" i="6"/>
  <c r="AC62" i="6"/>
  <c r="AD62" i="6"/>
  <c r="AE62" i="6"/>
  <c r="AF62" i="6"/>
  <c r="AG62" i="6"/>
  <c r="AH62" i="6"/>
  <c r="AI62" i="6"/>
  <c r="AJ62" i="6"/>
  <c r="AK62" i="6"/>
  <c r="AL62" i="6"/>
  <c r="AM62" i="6"/>
  <c r="AN62" i="6"/>
  <c r="AO62" i="6"/>
  <c r="AP62" i="6"/>
  <c r="AQ62" i="6"/>
  <c r="AR62" i="6"/>
  <c r="AS62" i="6"/>
  <c r="AT62" i="6"/>
  <c r="AU62" i="6"/>
  <c r="AV62" i="6"/>
  <c r="AW62" i="6"/>
  <c r="AX62" i="6"/>
  <c r="AY62" i="6"/>
  <c r="AZ62" i="6"/>
  <c r="BA62" i="6"/>
  <c r="BB62" i="6"/>
  <c r="BC62" i="6"/>
  <c r="BD62" i="6"/>
  <c r="V61" i="6"/>
  <c r="Y61" i="6"/>
  <c r="Z61" i="6"/>
  <c r="AA61" i="6"/>
  <c r="AB61" i="6"/>
  <c r="AC61" i="6"/>
  <c r="AD61" i="6"/>
  <c r="AE61" i="6"/>
  <c r="AF61" i="6"/>
  <c r="AG61" i="6"/>
  <c r="AH61" i="6"/>
  <c r="AI61" i="6"/>
  <c r="AJ61" i="6"/>
  <c r="AK61" i="6"/>
  <c r="AL61" i="6"/>
  <c r="AM61" i="6"/>
  <c r="AN61" i="6"/>
  <c r="AO61" i="6"/>
  <c r="AP61" i="6"/>
  <c r="AQ61" i="6"/>
  <c r="AR61" i="6"/>
  <c r="AS61" i="6"/>
  <c r="AT61" i="6"/>
  <c r="AU61" i="6"/>
  <c r="AV61" i="6"/>
  <c r="AW61" i="6"/>
  <c r="AX61" i="6"/>
  <c r="AY61" i="6"/>
  <c r="AZ61" i="6"/>
  <c r="BA61" i="6"/>
  <c r="BB61" i="6"/>
  <c r="BC61" i="6"/>
  <c r="BD61" i="6"/>
  <c r="V59" i="6"/>
  <c r="Y59" i="6"/>
  <c r="Z59" i="6"/>
  <c r="AA59" i="6"/>
  <c r="AC59" i="6"/>
  <c r="AD59" i="6"/>
  <c r="AE59" i="6"/>
  <c r="AF59" i="6"/>
  <c r="AG59" i="6"/>
  <c r="AH59" i="6"/>
  <c r="AI59" i="6"/>
  <c r="AJ59" i="6"/>
  <c r="AK59" i="6"/>
  <c r="AL59" i="6"/>
  <c r="AM59" i="6"/>
  <c r="AN59" i="6"/>
  <c r="AO59" i="6"/>
  <c r="AP59" i="6"/>
  <c r="AQ59" i="6"/>
  <c r="AR59" i="6"/>
  <c r="AS59" i="6"/>
  <c r="AT59" i="6"/>
  <c r="AU59" i="6"/>
  <c r="AV59" i="6"/>
  <c r="AW59" i="6"/>
  <c r="AX59" i="6"/>
  <c r="AY59" i="6"/>
  <c r="AZ59" i="6"/>
  <c r="BA59" i="6"/>
  <c r="BB59" i="6"/>
  <c r="BC59" i="6"/>
  <c r="BD59" i="6"/>
  <c r="V60" i="6"/>
  <c r="Y60" i="6"/>
  <c r="Z60" i="6"/>
  <c r="AA60" i="6"/>
  <c r="AC60" i="6"/>
  <c r="AD60" i="6"/>
  <c r="AE60" i="6"/>
  <c r="AF60" i="6"/>
  <c r="AG60" i="6"/>
  <c r="AH60" i="6"/>
  <c r="AI60" i="6"/>
  <c r="AJ60" i="6"/>
  <c r="AK60" i="6"/>
  <c r="AL60" i="6"/>
  <c r="AM60" i="6"/>
  <c r="AN60" i="6"/>
  <c r="AO60" i="6"/>
  <c r="AP60" i="6"/>
  <c r="AQ60" i="6"/>
  <c r="AR60" i="6"/>
  <c r="AS60" i="6"/>
  <c r="AT60" i="6"/>
  <c r="AU60" i="6"/>
  <c r="AV60" i="6"/>
  <c r="AW60" i="6"/>
  <c r="AX60" i="6"/>
  <c r="AY60" i="6"/>
  <c r="AZ60" i="6"/>
  <c r="BA60" i="6"/>
  <c r="BB60" i="6"/>
  <c r="BC60" i="6"/>
  <c r="BD60" i="6"/>
  <c r="V58" i="6"/>
  <c r="Y58" i="6"/>
  <c r="Z58" i="6"/>
  <c r="AA58" i="6"/>
  <c r="AB58" i="6"/>
  <c r="AC58" i="6"/>
  <c r="AD58" i="6"/>
  <c r="AE58" i="6"/>
  <c r="AF58" i="6"/>
  <c r="AG58" i="6"/>
  <c r="AH58" i="6"/>
  <c r="AI58" i="6"/>
  <c r="AJ58" i="6"/>
  <c r="AK58" i="6"/>
  <c r="AL58" i="6"/>
  <c r="AM58" i="6"/>
  <c r="AN58" i="6"/>
  <c r="AO58" i="6"/>
  <c r="AP58" i="6"/>
  <c r="AQ58" i="6"/>
  <c r="AR58" i="6"/>
  <c r="AS58" i="6"/>
  <c r="AT58" i="6"/>
  <c r="AU58" i="6"/>
  <c r="AV58" i="6"/>
  <c r="AW58" i="6"/>
  <c r="AX58" i="6"/>
  <c r="AY58" i="6"/>
  <c r="AZ58" i="6"/>
  <c r="BA58" i="6"/>
  <c r="BB58" i="6"/>
  <c r="BC58" i="6"/>
  <c r="BD58" i="6"/>
  <c r="N65" i="6"/>
  <c r="BE59" i="6" l="1"/>
  <c r="BE62" i="6"/>
  <c r="BE61" i="6"/>
  <c r="BE60" i="6"/>
  <c r="BE58" i="6"/>
  <c r="V64" i="6"/>
  <c r="Y64" i="6"/>
  <c r="Z64" i="6"/>
  <c r="AA64" i="6"/>
  <c r="AB64" i="6"/>
  <c r="AC64" i="6"/>
  <c r="AD64" i="6"/>
  <c r="AE64" i="6"/>
  <c r="AF64" i="6"/>
  <c r="AG64" i="6"/>
  <c r="AH64" i="6"/>
  <c r="AI64" i="6"/>
  <c r="AJ64" i="6"/>
  <c r="AK64" i="6"/>
  <c r="AL64" i="6"/>
  <c r="AM64" i="6"/>
  <c r="AN64" i="6"/>
  <c r="AO64" i="6"/>
  <c r="AP64" i="6"/>
  <c r="AQ64" i="6"/>
  <c r="AR64" i="6"/>
  <c r="AS64" i="6"/>
  <c r="AT64" i="6"/>
  <c r="AU64" i="6"/>
  <c r="AV64" i="6"/>
  <c r="AW64" i="6"/>
  <c r="AX64" i="6"/>
  <c r="AY64" i="6"/>
  <c r="AZ64" i="6"/>
  <c r="BA64" i="6"/>
  <c r="BB64" i="6"/>
  <c r="BC64" i="6"/>
  <c r="BD64" i="6"/>
  <c r="V65" i="6"/>
  <c r="Y65" i="6"/>
  <c r="Z65" i="6"/>
  <c r="AA65" i="6"/>
  <c r="AB65" i="6"/>
  <c r="AC65" i="6"/>
  <c r="AD65" i="6"/>
  <c r="AE65" i="6"/>
  <c r="AF65" i="6"/>
  <c r="AG65" i="6"/>
  <c r="AH65" i="6"/>
  <c r="AI65" i="6"/>
  <c r="AJ65" i="6"/>
  <c r="AK65" i="6"/>
  <c r="AL65" i="6"/>
  <c r="AM65" i="6"/>
  <c r="AN65" i="6"/>
  <c r="AO65" i="6"/>
  <c r="AP65" i="6"/>
  <c r="AQ65" i="6"/>
  <c r="AR65" i="6"/>
  <c r="AS65" i="6"/>
  <c r="AT65" i="6"/>
  <c r="AU65" i="6"/>
  <c r="AV65" i="6"/>
  <c r="AW65" i="6"/>
  <c r="AX65" i="6"/>
  <c r="AY65" i="6"/>
  <c r="AZ65" i="6"/>
  <c r="BA65" i="6"/>
  <c r="BB65" i="6"/>
  <c r="BC65" i="6"/>
  <c r="BD65" i="6"/>
  <c r="V66" i="6"/>
  <c r="Y66" i="6"/>
  <c r="Z66" i="6"/>
  <c r="AA66" i="6"/>
  <c r="AB66" i="6"/>
  <c r="AC66" i="6"/>
  <c r="AD66" i="6"/>
  <c r="AE66" i="6"/>
  <c r="AF66" i="6"/>
  <c r="AG66" i="6"/>
  <c r="AH66" i="6"/>
  <c r="AI66" i="6"/>
  <c r="AJ66" i="6"/>
  <c r="AK66" i="6"/>
  <c r="AL66" i="6"/>
  <c r="AM66" i="6"/>
  <c r="AN66" i="6"/>
  <c r="AO66" i="6"/>
  <c r="AP66" i="6"/>
  <c r="AQ66" i="6"/>
  <c r="AR66" i="6"/>
  <c r="AS66" i="6"/>
  <c r="AT66" i="6"/>
  <c r="AU66" i="6"/>
  <c r="AV66" i="6"/>
  <c r="AW66" i="6"/>
  <c r="AX66" i="6"/>
  <c r="AY66" i="6"/>
  <c r="AZ66" i="6"/>
  <c r="BA66" i="6"/>
  <c r="BB66" i="6"/>
  <c r="BC66" i="6"/>
  <c r="BD66" i="6"/>
  <c r="V63" i="6"/>
  <c r="Y63" i="6"/>
  <c r="Z63" i="6"/>
  <c r="AA63" i="6"/>
  <c r="AB63" i="6"/>
  <c r="AC63" i="6"/>
  <c r="AD63" i="6"/>
  <c r="AE63" i="6"/>
  <c r="AF63" i="6"/>
  <c r="AG63" i="6"/>
  <c r="AH63" i="6"/>
  <c r="AI63" i="6"/>
  <c r="AJ63" i="6"/>
  <c r="AK63" i="6"/>
  <c r="AL63" i="6"/>
  <c r="AM63" i="6"/>
  <c r="AN63" i="6"/>
  <c r="AO63" i="6"/>
  <c r="AP63" i="6"/>
  <c r="AQ63" i="6"/>
  <c r="AR63" i="6"/>
  <c r="AS63" i="6"/>
  <c r="AT63" i="6"/>
  <c r="AU63" i="6"/>
  <c r="AV63" i="6"/>
  <c r="AW63" i="6"/>
  <c r="AX63" i="6"/>
  <c r="AY63" i="6"/>
  <c r="AZ63" i="6"/>
  <c r="BA63" i="6"/>
  <c r="BB63" i="6"/>
  <c r="BC63" i="6"/>
  <c r="BD63" i="6"/>
  <c r="BE66" i="6" l="1"/>
  <c r="BE65" i="6"/>
  <c r="BE64" i="6"/>
  <c r="BE63" i="6"/>
  <c r="T84" i="6"/>
  <c r="V26" i="6" l="1"/>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D23" i="6"/>
  <c r="D15" i="6"/>
  <c r="BE26" i="6" l="1"/>
  <c r="S28" i="6" l="1"/>
  <c r="BC28" i="6"/>
  <c r="R85" i="6" l="1"/>
  <c r="AK85" i="6" s="1"/>
  <c r="AF85" i="6"/>
  <c r="AO80" i="6" l="1"/>
  <c r="AP80" i="6"/>
  <c r="V22" i="6" l="1"/>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l="1"/>
  <c r="E20" i="1"/>
  <c r="G22" i="2"/>
  <c r="F22" i="2"/>
  <c r="E22" i="2"/>
  <c r="V10" i="6"/>
  <c r="Y10" i="6"/>
  <c r="Z10" i="6"/>
  <c r="AA10" i="6"/>
  <c r="AB10" i="6"/>
  <c r="AC10" i="6"/>
  <c r="AD10" i="6"/>
  <c r="AE10" i="6"/>
  <c r="AF10" i="6"/>
  <c r="AG10" i="6"/>
  <c r="AH10" i="6"/>
  <c r="AI10" i="6"/>
  <c r="AJ10" i="6"/>
  <c r="AK10" i="6"/>
  <c r="AL10" i="6"/>
  <c r="AN10" i="6"/>
  <c r="AO10" i="6"/>
  <c r="AP10" i="6"/>
  <c r="AQ10" i="6"/>
  <c r="AR10" i="6"/>
  <c r="AS10" i="6"/>
  <c r="AT10" i="6"/>
  <c r="AU10" i="6"/>
  <c r="AV10" i="6"/>
  <c r="AW10" i="6"/>
  <c r="AX10" i="6"/>
  <c r="AY10" i="6"/>
  <c r="AZ10" i="6"/>
  <c r="BA10" i="6"/>
  <c r="BB10" i="6"/>
  <c r="BC10" i="6"/>
  <c r="BD10" i="6"/>
  <c r="D23" i="1"/>
  <c r="G20" i="1"/>
  <c r="V80" i="6"/>
  <c r="BD80" i="6"/>
  <c r="BC80" i="6"/>
  <c r="BB80" i="6"/>
  <c r="BA80" i="6"/>
  <c r="AZ80" i="6"/>
  <c r="AY80" i="6"/>
  <c r="AX80" i="6"/>
  <c r="AW80" i="6"/>
  <c r="AV80" i="6"/>
  <c r="AU80" i="6"/>
  <c r="AT80" i="6"/>
  <c r="AS80" i="6"/>
  <c r="AR80" i="6"/>
  <c r="AQ80" i="6"/>
  <c r="AN80" i="6"/>
  <c r="AM80" i="6"/>
  <c r="AL80" i="6"/>
  <c r="AK80" i="6"/>
  <c r="AJ80" i="6"/>
  <c r="AI80" i="6"/>
  <c r="AH80" i="6"/>
  <c r="AG80" i="6"/>
  <c r="AF80" i="6"/>
  <c r="AE80" i="6"/>
  <c r="AD80" i="6"/>
  <c r="AC80" i="6"/>
  <c r="AB80" i="6"/>
  <c r="AA80" i="6"/>
  <c r="Z80" i="6"/>
  <c r="Y80" i="6"/>
  <c r="AM10" i="6" l="1"/>
  <c r="BE10" i="6" s="1"/>
  <c r="BE80" i="6"/>
  <c r="BE82" i="6" l="1"/>
  <c r="BE83" i="6"/>
  <c r="BB72" i="6"/>
  <c r="BB74" i="6"/>
  <c r="BB78" i="6"/>
  <c r="BB79" i="6"/>
  <c r="BB81" i="6"/>
  <c r="BC70" i="6"/>
  <c r="BE68" i="6"/>
  <c r="BE69" i="6"/>
  <c r="D73" i="6" l="1"/>
  <c r="D74" i="6"/>
  <c r="D76" i="6"/>
  <c r="D78" i="6"/>
  <c r="D79" i="6"/>
  <c r="D81" i="6"/>
  <c r="D72" i="6"/>
  <c r="D71" i="6"/>
  <c r="D70" i="6"/>
  <c r="V15" i="6"/>
  <c r="V16" i="6"/>
  <c r="V17" i="6"/>
  <c r="V18" i="6"/>
  <c r="V19" i="6"/>
  <c r="V20" i="6"/>
  <c r="V21" i="6"/>
  <c r="V23" i="6"/>
  <c r="V24" i="6"/>
  <c r="V25" i="6"/>
  <c r="V27" i="6"/>
  <c r="V29" i="6"/>
  <c r="V30" i="6"/>
  <c r="V31" i="6"/>
  <c r="V33" i="6"/>
  <c r="V34" i="6"/>
  <c r="V35" i="6"/>
  <c r="V36" i="6"/>
  <c r="V37" i="6"/>
  <c r="V38" i="6"/>
  <c r="V39" i="6"/>
  <c r="V40" i="6"/>
  <c r="V41" i="6"/>
  <c r="V42" i="6"/>
  <c r="V43" i="6"/>
  <c r="V44" i="6"/>
  <c r="V45" i="6"/>
  <c r="V46" i="6"/>
  <c r="V47" i="6"/>
  <c r="V48" i="6"/>
  <c r="V49" i="6"/>
  <c r="V50" i="6"/>
  <c r="V51" i="6"/>
  <c r="V52" i="6"/>
  <c r="V53" i="6"/>
  <c r="V54" i="6"/>
  <c r="V55" i="6"/>
  <c r="V57" i="6"/>
  <c r="V5" i="6"/>
  <c r="V6" i="6"/>
  <c r="V8" i="6"/>
  <c r="V11" i="6"/>
  <c r="V12" i="6"/>
  <c r="V13" i="6"/>
  <c r="V14" i="6"/>
  <c r="V4" i="6"/>
  <c r="V71" i="6"/>
  <c r="V72" i="6"/>
  <c r="V73" i="6"/>
  <c r="V74" i="6"/>
  <c r="V76" i="6"/>
  <c r="V78" i="6"/>
  <c r="V79" i="6"/>
  <c r="V70" i="6"/>
  <c r="V81" i="6"/>
  <c r="V84" i="6"/>
  <c r="BD4" i="6"/>
  <c r="BD5" i="6"/>
  <c r="BD6" i="6"/>
  <c r="BD7" i="6"/>
  <c r="BD8" i="6"/>
  <c r="BD9" i="6"/>
  <c r="BD11" i="6"/>
  <c r="BD12" i="6"/>
  <c r="BD13" i="6"/>
  <c r="BD14" i="6"/>
  <c r="BD15" i="6"/>
  <c r="BD16" i="6"/>
  <c r="BD17" i="6"/>
  <c r="BD18" i="6"/>
  <c r="BD19" i="6"/>
  <c r="BD20" i="6"/>
  <c r="BD21" i="6"/>
  <c r="BD23" i="6"/>
  <c r="BD24" i="6"/>
  <c r="BD25"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67" i="6"/>
  <c r="BD79" i="6"/>
  <c r="AN4" i="6"/>
  <c r="AN5" i="6"/>
  <c r="AN6" i="6"/>
  <c r="AN7" i="6"/>
  <c r="AN8" i="6"/>
  <c r="AN9" i="6"/>
  <c r="AN11" i="6"/>
  <c r="AN12" i="6"/>
  <c r="AN13" i="6"/>
  <c r="AN14" i="6"/>
  <c r="AN15" i="6"/>
  <c r="AN16" i="6"/>
  <c r="AN17" i="6"/>
  <c r="AN18" i="6"/>
  <c r="AN19" i="6"/>
  <c r="AN20" i="6"/>
  <c r="AN21" i="6"/>
  <c r="AN23" i="6"/>
  <c r="AN24" i="6"/>
  <c r="AN25" i="6"/>
  <c r="AN27" i="6"/>
  <c r="AN28" i="6"/>
  <c r="AN29" i="6"/>
  <c r="AN30" i="6"/>
  <c r="AN31" i="6"/>
  <c r="AN34" i="6"/>
  <c r="AN35" i="6"/>
  <c r="AN36" i="6"/>
  <c r="AN37" i="6"/>
  <c r="AN38" i="6"/>
  <c r="AN39" i="6"/>
  <c r="AN40" i="6"/>
  <c r="AN41" i="6"/>
  <c r="AN42" i="6"/>
  <c r="AN43" i="6"/>
  <c r="AN44" i="6"/>
  <c r="AN45" i="6"/>
  <c r="AN46" i="6"/>
  <c r="AN47" i="6"/>
  <c r="AN48" i="6"/>
  <c r="AN49" i="6"/>
  <c r="AN50" i="6"/>
  <c r="AN51" i="6"/>
  <c r="AN52" i="6"/>
  <c r="AN53" i="6"/>
  <c r="AN54" i="6"/>
  <c r="AN55" i="6"/>
  <c r="AN56" i="6"/>
  <c r="AN57" i="6"/>
  <c r="AN67" i="6"/>
  <c r="AN70" i="6"/>
  <c r="AN71" i="6"/>
  <c r="AN72" i="6"/>
  <c r="AN73" i="6"/>
  <c r="AN74" i="6"/>
  <c r="AN75" i="6"/>
  <c r="AN76" i="6"/>
  <c r="AN77" i="6"/>
  <c r="AN78" i="6"/>
  <c r="AN79" i="6"/>
  <c r="AN84" i="6"/>
  <c r="BD84" i="6" s="1"/>
  <c r="AN85" i="6"/>
  <c r="BD85" i="6" s="1"/>
  <c r="AV77" i="6"/>
  <c r="AV79" i="6"/>
  <c r="AC72" i="6" l="1"/>
  <c r="I85" i="6"/>
  <c r="V85" i="6" s="1"/>
  <c r="D39" i="2"/>
  <c r="C39" i="2"/>
  <c r="AC29" i="6" l="1"/>
  <c r="M75" i="6" l="1"/>
  <c r="AF75" i="6" l="1"/>
  <c r="D75" i="6"/>
  <c r="V75" i="6"/>
  <c r="Y55" i="6"/>
  <c r="Z55" i="6"/>
  <c r="AA55" i="6"/>
  <c r="AB55" i="6"/>
  <c r="AC55" i="6"/>
  <c r="AD55" i="6"/>
  <c r="AE55" i="6"/>
  <c r="AF55" i="6"/>
  <c r="AG55" i="6"/>
  <c r="AH55" i="6"/>
  <c r="AI55" i="6"/>
  <c r="AJ55" i="6"/>
  <c r="AK55" i="6"/>
  <c r="AL55" i="6"/>
  <c r="AM55" i="6"/>
  <c r="AO55" i="6"/>
  <c r="AP55" i="6"/>
  <c r="AQ55" i="6"/>
  <c r="AR55" i="6"/>
  <c r="AS55" i="6"/>
  <c r="AT55" i="6"/>
  <c r="AU55" i="6"/>
  <c r="AV55" i="6"/>
  <c r="AW55" i="6"/>
  <c r="AX55" i="6"/>
  <c r="AY55" i="6"/>
  <c r="AZ55" i="6"/>
  <c r="BA55" i="6"/>
  <c r="BB55" i="6"/>
  <c r="BC55" i="6"/>
  <c r="Y42" i="6"/>
  <c r="Z42" i="6"/>
  <c r="AA42" i="6"/>
  <c r="AB42" i="6"/>
  <c r="AC42" i="6"/>
  <c r="AD42" i="6"/>
  <c r="AE42" i="6"/>
  <c r="AF42" i="6"/>
  <c r="AG42" i="6"/>
  <c r="AH42" i="6"/>
  <c r="AI42" i="6"/>
  <c r="AJ42" i="6"/>
  <c r="AK42" i="6"/>
  <c r="AL42" i="6"/>
  <c r="AM42" i="6"/>
  <c r="AO42" i="6"/>
  <c r="AP42" i="6"/>
  <c r="AQ42" i="6"/>
  <c r="AR42" i="6"/>
  <c r="AS42" i="6"/>
  <c r="AT42" i="6"/>
  <c r="AU42" i="6"/>
  <c r="AV42" i="6"/>
  <c r="AW42" i="6"/>
  <c r="AX42" i="6"/>
  <c r="AY42" i="6"/>
  <c r="AZ42" i="6"/>
  <c r="BA42" i="6"/>
  <c r="BB42" i="6"/>
  <c r="BC42" i="6"/>
  <c r="Y43" i="6"/>
  <c r="Z43" i="6"/>
  <c r="AA43" i="6"/>
  <c r="AB43" i="6"/>
  <c r="AC43" i="6"/>
  <c r="AD43" i="6"/>
  <c r="AE43" i="6"/>
  <c r="AF43" i="6"/>
  <c r="AG43" i="6"/>
  <c r="AH43" i="6"/>
  <c r="AI43" i="6"/>
  <c r="AJ43" i="6"/>
  <c r="AK43" i="6"/>
  <c r="AL43" i="6"/>
  <c r="AM43" i="6"/>
  <c r="AO43" i="6"/>
  <c r="AP43" i="6"/>
  <c r="AQ43" i="6"/>
  <c r="AR43" i="6"/>
  <c r="AS43" i="6"/>
  <c r="AT43" i="6"/>
  <c r="AU43" i="6"/>
  <c r="AV43" i="6"/>
  <c r="AW43" i="6"/>
  <c r="AX43" i="6"/>
  <c r="AY43" i="6"/>
  <c r="AZ43" i="6"/>
  <c r="BA43" i="6"/>
  <c r="BB43" i="6"/>
  <c r="BC43" i="6"/>
  <c r="Y44" i="6"/>
  <c r="Z44" i="6"/>
  <c r="AA44" i="6"/>
  <c r="AB44" i="6"/>
  <c r="AC44" i="6"/>
  <c r="AD44" i="6"/>
  <c r="AE44" i="6"/>
  <c r="AF44" i="6"/>
  <c r="AG44" i="6"/>
  <c r="AH44" i="6"/>
  <c r="AI44" i="6"/>
  <c r="AJ44" i="6"/>
  <c r="AK44" i="6"/>
  <c r="AL44" i="6"/>
  <c r="AM44" i="6"/>
  <c r="AO44" i="6"/>
  <c r="AP44" i="6"/>
  <c r="AQ44" i="6"/>
  <c r="AR44" i="6"/>
  <c r="AS44" i="6"/>
  <c r="AT44" i="6"/>
  <c r="AU44" i="6"/>
  <c r="AV44" i="6"/>
  <c r="AW44" i="6"/>
  <c r="AX44" i="6"/>
  <c r="AY44" i="6"/>
  <c r="AZ44" i="6"/>
  <c r="BA44" i="6"/>
  <c r="BB44" i="6"/>
  <c r="BC44" i="6"/>
  <c r="Y45" i="6"/>
  <c r="Z45" i="6"/>
  <c r="AA45" i="6"/>
  <c r="AB45" i="6"/>
  <c r="AC45" i="6"/>
  <c r="AD45" i="6"/>
  <c r="AE45" i="6"/>
  <c r="AF45" i="6"/>
  <c r="AG45" i="6"/>
  <c r="AH45" i="6"/>
  <c r="AI45" i="6"/>
  <c r="AJ45" i="6"/>
  <c r="AK45" i="6"/>
  <c r="AL45" i="6"/>
  <c r="AM45" i="6"/>
  <c r="AO45" i="6"/>
  <c r="AP45" i="6"/>
  <c r="AQ45" i="6"/>
  <c r="AR45" i="6"/>
  <c r="AS45" i="6"/>
  <c r="AT45" i="6"/>
  <c r="AU45" i="6"/>
  <c r="AV45" i="6"/>
  <c r="AW45" i="6"/>
  <c r="AX45" i="6"/>
  <c r="AY45" i="6"/>
  <c r="AZ45" i="6"/>
  <c r="BA45" i="6"/>
  <c r="BB45" i="6"/>
  <c r="BC45" i="6"/>
  <c r="Y46" i="6"/>
  <c r="Z46" i="6"/>
  <c r="AA46" i="6"/>
  <c r="AB46" i="6"/>
  <c r="AC46" i="6"/>
  <c r="AD46" i="6"/>
  <c r="AE46" i="6"/>
  <c r="AF46" i="6"/>
  <c r="AG46" i="6"/>
  <c r="AH46" i="6"/>
  <c r="AI46" i="6"/>
  <c r="AJ46" i="6"/>
  <c r="AK46" i="6"/>
  <c r="AL46" i="6"/>
  <c r="AM46" i="6"/>
  <c r="AO46" i="6"/>
  <c r="AP46" i="6"/>
  <c r="AQ46" i="6"/>
  <c r="AR46" i="6"/>
  <c r="AS46" i="6"/>
  <c r="AT46" i="6"/>
  <c r="AU46" i="6"/>
  <c r="AV46" i="6"/>
  <c r="AW46" i="6"/>
  <c r="AX46" i="6"/>
  <c r="AY46" i="6"/>
  <c r="AZ46" i="6"/>
  <c r="BA46" i="6"/>
  <c r="BB46" i="6"/>
  <c r="BC46" i="6"/>
  <c r="BE45" i="6" l="1"/>
  <c r="BE55" i="6"/>
  <c r="BE43" i="6"/>
  <c r="BE44" i="6"/>
  <c r="BE46" i="6"/>
  <c r="BE42" i="6"/>
  <c r="T9" i="6" l="1"/>
  <c r="V9" i="6" s="1"/>
  <c r="P16" i="1" l="1"/>
  <c r="P17" i="1"/>
  <c r="P18" i="1"/>
  <c r="P20" i="1"/>
  <c r="P19" i="1" s="1"/>
  <c r="P22" i="1"/>
  <c r="P23" i="1"/>
  <c r="P24" i="1"/>
  <c r="P29" i="1"/>
  <c r="P28" i="1" s="1"/>
  <c r="P31" i="1"/>
  <c r="P32" i="1"/>
  <c r="P33" i="1"/>
  <c r="P38" i="1"/>
  <c r="P39" i="1"/>
  <c r="P40" i="1"/>
  <c r="P41" i="1"/>
  <c r="P47" i="1"/>
  <c r="P48" i="1"/>
  <c r="P49" i="1"/>
  <c r="O39" i="1"/>
  <c r="P21" i="1" l="1"/>
  <c r="P15" i="1"/>
  <c r="P37" i="1"/>
  <c r="P42" i="1" s="1"/>
  <c r="P30" i="1"/>
  <c r="P34" i="1" s="1"/>
  <c r="L32" i="6"/>
  <c r="M32" i="6"/>
  <c r="V32" i="6" l="1"/>
  <c r="P25" i="1"/>
  <c r="Y30" i="6"/>
  <c r="Z30" i="6"/>
  <c r="AA30" i="6"/>
  <c r="AB30" i="6"/>
  <c r="AC30" i="6"/>
  <c r="AD30" i="6"/>
  <c r="AE30" i="6"/>
  <c r="AF30" i="6"/>
  <c r="AG30" i="6"/>
  <c r="AH30" i="6"/>
  <c r="AI30" i="6"/>
  <c r="AJ30" i="6"/>
  <c r="AK30" i="6"/>
  <c r="AL30" i="6"/>
  <c r="AM30" i="6"/>
  <c r="AO30" i="6"/>
  <c r="AP30" i="6"/>
  <c r="AQ30" i="6"/>
  <c r="AR30" i="6"/>
  <c r="AS30" i="6"/>
  <c r="AT30" i="6"/>
  <c r="AU30" i="6"/>
  <c r="AV30" i="6"/>
  <c r="AW30" i="6"/>
  <c r="AX30" i="6"/>
  <c r="AY30" i="6"/>
  <c r="AZ30" i="6"/>
  <c r="BA30" i="6"/>
  <c r="BB30" i="6"/>
  <c r="BC30" i="6"/>
  <c r="BE30" i="6" l="1"/>
  <c r="D7" i="1"/>
  <c r="E10" i="1" s="1"/>
  <c r="P18" i="2" l="1"/>
  <c r="P19" i="2"/>
  <c r="P20" i="2"/>
  <c r="P22" i="2"/>
  <c r="P21" i="2" s="1"/>
  <c r="P24" i="2"/>
  <c r="P25" i="2"/>
  <c r="P26" i="2"/>
  <c r="P31" i="2"/>
  <c r="P30" i="2" s="1"/>
  <c r="P34" i="2"/>
  <c r="P35" i="2"/>
  <c r="P40" i="2"/>
  <c r="P41" i="2"/>
  <c r="P42" i="2"/>
  <c r="P43" i="2"/>
  <c r="P48" i="2"/>
  <c r="P49" i="2"/>
  <c r="P50" i="2"/>
  <c r="P51" i="2"/>
  <c r="O41" i="2"/>
  <c r="G34" i="4"/>
  <c r="C35" i="4"/>
  <c r="D35" i="4"/>
  <c r="E35" i="4"/>
  <c r="F35" i="4"/>
  <c r="G36" i="4"/>
  <c r="G35" i="4" s="1"/>
  <c r="P39" i="2" l="1"/>
  <c r="P44" i="2" s="1"/>
  <c r="P23" i="2"/>
  <c r="P17" i="2"/>
  <c r="P47" i="2"/>
  <c r="P52" i="2" s="1"/>
  <c r="P27" i="2" l="1"/>
  <c r="O55" i="1" l="1"/>
  <c r="C15" i="1" l="1"/>
  <c r="D33" i="6" l="1"/>
  <c r="AN33" i="6" s="1"/>
  <c r="D52" i="2" l="1"/>
  <c r="D44" i="2"/>
  <c r="D32" i="2"/>
  <c r="D30" i="2"/>
  <c r="D23" i="2"/>
  <c r="D21" i="2"/>
  <c r="D17" i="2"/>
  <c r="BC8" i="6"/>
  <c r="O18" i="1" s="1"/>
  <c r="D36" i="2" l="1"/>
  <c r="AD25" i="6"/>
  <c r="AD36" i="6"/>
  <c r="D45" i="1"/>
  <c r="D50" i="1" s="1"/>
  <c r="D15" i="1"/>
  <c r="D19" i="1"/>
  <c r="D21" i="1"/>
  <c r="D28" i="1"/>
  <c r="D30" i="1"/>
  <c r="D37" i="1"/>
  <c r="D42" i="1" s="1"/>
  <c r="G39" i="2"/>
  <c r="F39" i="2"/>
  <c r="E39" i="2"/>
  <c r="D25" i="1" l="1"/>
  <c r="D34" i="1"/>
  <c r="C19" i="1"/>
  <c r="C21" i="1"/>
  <c r="C28" i="1"/>
  <c r="C30" i="1"/>
  <c r="C37" i="1"/>
  <c r="C42" i="1" s="1"/>
  <c r="C45" i="1"/>
  <c r="C25" i="1" l="1"/>
  <c r="C34" i="1"/>
  <c r="BC14" i="6" l="1"/>
  <c r="O24" i="1" s="1"/>
  <c r="BB14" i="6"/>
  <c r="BA14" i="6"/>
  <c r="AZ14" i="6"/>
  <c r="AY14" i="6"/>
  <c r="AX14" i="6"/>
  <c r="AW14" i="6"/>
  <c r="AV14" i="6"/>
  <c r="AU14" i="6"/>
  <c r="AR14" i="6"/>
  <c r="AQ14" i="6"/>
  <c r="AP14" i="6"/>
  <c r="AO14" i="6"/>
  <c r="AM14" i="6"/>
  <c r="O26" i="2" s="1"/>
  <c r="AL14" i="6"/>
  <c r="AK14" i="6"/>
  <c r="AJ14" i="6"/>
  <c r="AI14" i="6"/>
  <c r="AH14" i="6"/>
  <c r="AG14" i="6"/>
  <c r="AF14" i="6"/>
  <c r="AE14" i="6"/>
  <c r="AD14" i="6"/>
  <c r="AC14" i="6"/>
  <c r="AB14" i="6"/>
  <c r="AA14" i="6"/>
  <c r="Z14" i="6"/>
  <c r="Y14" i="6"/>
  <c r="AU73" i="6"/>
  <c r="AU76" i="6"/>
  <c r="BE14" i="6" l="1"/>
  <c r="E37" i="1"/>
  <c r="G37" i="1"/>
  <c r="F37" i="1"/>
  <c r="Y54" i="6"/>
  <c r="Z54" i="6"/>
  <c r="AA54" i="6"/>
  <c r="AB54" i="6"/>
  <c r="AC54" i="6"/>
  <c r="AD54" i="6"/>
  <c r="AE54" i="6"/>
  <c r="AF54" i="6"/>
  <c r="AG54" i="6"/>
  <c r="AH54" i="6"/>
  <c r="AI54" i="6"/>
  <c r="AJ54" i="6"/>
  <c r="AK54" i="6"/>
  <c r="AL54" i="6"/>
  <c r="AM54" i="6"/>
  <c r="AO54" i="6"/>
  <c r="AP54" i="6"/>
  <c r="AQ54" i="6"/>
  <c r="AR54" i="6"/>
  <c r="AS54" i="6"/>
  <c r="AT54" i="6"/>
  <c r="AU54" i="6"/>
  <c r="AV54" i="6"/>
  <c r="AW54" i="6"/>
  <c r="AX54" i="6"/>
  <c r="AY54" i="6"/>
  <c r="AZ54" i="6"/>
  <c r="BA54" i="6"/>
  <c r="BB54" i="6"/>
  <c r="BC54" i="6"/>
  <c r="V28" i="6"/>
  <c r="Y24" i="6"/>
  <c r="Z24" i="6"/>
  <c r="AA24" i="6"/>
  <c r="AB24" i="6"/>
  <c r="AC24" i="6"/>
  <c r="AD24" i="6"/>
  <c r="AE24" i="6"/>
  <c r="AF24" i="6"/>
  <c r="AG24" i="6"/>
  <c r="AH24" i="6"/>
  <c r="AI24" i="6"/>
  <c r="AJ24" i="6"/>
  <c r="AK24" i="6"/>
  <c r="AL24" i="6"/>
  <c r="AM24" i="6"/>
  <c r="AO24" i="6"/>
  <c r="AP24" i="6"/>
  <c r="AQ24" i="6"/>
  <c r="AR24" i="6"/>
  <c r="AS24" i="6"/>
  <c r="AT24" i="6"/>
  <c r="AU24" i="6"/>
  <c r="AV24" i="6"/>
  <c r="AW24" i="6"/>
  <c r="AX24" i="6"/>
  <c r="AY24" i="6"/>
  <c r="AZ24" i="6"/>
  <c r="BA24" i="6"/>
  <c r="BB24" i="6"/>
  <c r="BC24" i="6"/>
  <c r="BE54" i="6" l="1"/>
  <c r="BE24" i="6"/>
  <c r="AE5" i="6"/>
  <c r="AF5" i="6"/>
  <c r="AI4" i="6"/>
  <c r="AH4" i="6"/>
  <c r="AG4" i="6"/>
  <c r="AF4" i="6"/>
  <c r="AE4" i="6"/>
  <c r="AD4" i="6"/>
  <c r="E15" i="1" l="1"/>
  <c r="F15" i="1"/>
  <c r="G15" i="1"/>
  <c r="E19" i="1"/>
  <c r="F19" i="1"/>
  <c r="G19" i="1"/>
  <c r="E21" i="1"/>
  <c r="F21" i="1"/>
  <c r="G21" i="1"/>
  <c r="E28" i="1"/>
  <c r="G28" i="1"/>
  <c r="F28" i="1"/>
  <c r="E30" i="1"/>
  <c r="F30" i="1"/>
  <c r="G30" i="1"/>
  <c r="E42" i="1"/>
  <c r="F42" i="1"/>
  <c r="G42" i="1"/>
  <c r="E45" i="1"/>
  <c r="E50" i="1" s="1"/>
  <c r="F45" i="1"/>
  <c r="F50" i="1" s="1"/>
  <c r="G45" i="1"/>
  <c r="G50" i="1" s="1"/>
  <c r="E34" i="1" l="1"/>
  <c r="G25" i="1"/>
  <c r="F34" i="1"/>
  <c r="G34" i="1"/>
  <c r="F25" i="1"/>
  <c r="E25" i="1"/>
  <c r="G52" i="1" l="1"/>
  <c r="E52" i="1"/>
  <c r="G37" i="3" l="1"/>
  <c r="G36" i="3" s="1"/>
  <c r="F36" i="3"/>
  <c r="E36" i="3"/>
  <c r="D36" i="3"/>
  <c r="C36" i="3"/>
  <c r="D35" i="3"/>
  <c r="D34" i="3" s="1"/>
  <c r="F34" i="3"/>
  <c r="F38" i="3" s="1"/>
  <c r="E34" i="3"/>
  <c r="C34" i="3"/>
  <c r="C38" i="3" s="1"/>
  <c r="D38" i="3" l="1"/>
  <c r="G35" i="3"/>
  <c r="G34" i="3"/>
  <c r="G38" i="3" s="1"/>
  <c r="E38" i="3"/>
  <c r="BC47" i="6" l="1"/>
  <c r="BC48" i="6"/>
  <c r="BC49" i="6"/>
  <c r="BC50" i="6"/>
  <c r="BC51" i="6"/>
  <c r="D6" i="2"/>
  <c r="AC4" i="6" l="1"/>
  <c r="D5" i="3" l="1"/>
  <c r="BC17" i="6" l="1"/>
  <c r="BB17" i="6"/>
  <c r="BA17" i="6"/>
  <c r="AZ17" i="6"/>
  <c r="AY17" i="6"/>
  <c r="AX17" i="6"/>
  <c r="AW17" i="6"/>
  <c r="AU17" i="6"/>
  <c r="AT17" i="6"/>
  <c r="AS17" i="6"/>
  <c r="AR17" i="6"/>
  <c r="AQ17" i="6"/>
  <c r="AP17" i="6"/>
  <c r="AO17" i="6"/>
  <c r="AJ17" i="6"/>
  <c r="AF17" i="6"/>
  <c r="AB17" i="6"/>
  <c r="AV17" i="6"/>
  <c r="Y17" i="6" l="1"/>
  <c r="AC17" i="6"/>
  <c r="AG17" i="6"/>
  <c r="AK17" i="6"/>
  <c r="Z17" i="6"/>
  <c r="AD17" i="6"/>
  <c r="AH17" i="6"/>
  <c r="AL17" i="6"/>
  <c r="AA17" i="6"/>
  <c r="AE17" i="6"/>
  <c r="AI17" i="6"/>
  <c r="AM17" i="6"/>
  <c r="BE17" i="6" l="1"/>
  <c r="Y73" i="6"/>
  <c r="AA73" i="6"/>
  <c r="AB73" i="6"/>
  <c r="AC73" i="6"/>
  <c r="AD73" i="6"/>
  <c r="AE73" i="6"/>
  <c r="AF73" i="6"/>
  <c r="AG73" i="6"/>
  <c r="AH73" i="6"/>
  <c r="AI73" i="6"/>
  <c r="AJ73" i="6"/>
  <c r="AK73" i="6"/>
  <c r="AL73" i="6"/>
  <c r="AM73" i="6"/>
  <c r="AO73" i="6"/>
  <c r="AQ73" i="6"/>
  <c r="AR73" i="6"/>
  <c r="AS73" i="6"/>
  <c r="AV73" i="6"/>
  <c r="AW73" i="6"/>
  <c r="AY73" i="6"/>
  <c r="AZ73" i="6"/>
  <c r="BA73" i="6"/>
  <c r="BC73" i="6"/>
  <c r="Z73" i="6" l="1"/>
  <c r="AP73" i="6" l="1"/>
  <c r="BE73" i="6" s="1"/>
  <c r="AD23" i="6" l="1"/>
  <c r="AV70" i="6"/>
  <c r="D5" i="1" l="1"/>
  <c r="BC6" i="6" l="1"/>
  <c r="BB6" i="6"/>
  <c r="BA6" i="6"/>
  <c r="AZ6" i="6"/>
  <c r="AY6" i="6"/>
  <c r="AX6" i="6"/>
  <c r="AW6" i="6"/>
  <c r="AV6" i="6"/>
  <c r="AU6" i="6"/>
  <c r="AT6" i="6"/>
  <c r="AS6" i="6"/>
  <c r="AR6" i="6"/>
  <c r="AQ6" i="6"/>
  <c r="AP6" i="6"/>
  <c r="AO6" i="6"/>
  <c r="AM6" i="6"/>
  <c r="AL6" i="6"/>
  <c r="AK6" i="6"/>
  <c r="AJ6" i="6"/>
  <c r="AI6" i="6"/>
  <c r="AH6" i="6"/>
  <c r="AG6" i="6"/>
  <c r="AF6" i="6"/>
  <c r="AE6" i="6"/>
  <c r="AD6" i="6"/>
  <c r="AC6" i="6"/>
  <c r="AB6" i="6"/>
  <c r="AA6" i="6"/>
  <c r="Z6" i="6"/>
  <c r="Y6" i="6"/>
  <c r="BC11" i="6"/>
  <c r="BB11" i="6"/>
  <c r="BA11" i="6"/>
  <c r="AZ11" i="6"/>
  <c r="AY11" i="6"/>
  <c r="AX11" i="6"/>
  <c r="AW11" i="6"/>
  <c r="AV11" i="6"/>
  <c r="AU11" i="6"/>
  <c r="AT11" i="6"/>
  <c r="AS11" i="6"/>
  <c r="AR11" i="6"/>
  <c r="AQ11" i="6"/>
  <c r="AP11" i="6"/>
  <c r="AO11" i="6"/>
  <c r="AM11" i="6"/>
  <c r="AL11" i="6"/>
  <c r="AK11" i="6"/>
  <c r="AJ11" i="6"/>
  <c r="AI11" i="6"/>
  <c r="AH11" i="6"/>
  <c r="AG11" i="6"/>
  <c r="AF11" i="6"/>
  <c r="AE11" i="6"/>
  <c r="AD11" i="6"/>
  <c r="AC11" i="6"/>
  <c r="AB11" i="6"/>
  <c r="AA11" i="6"/>
  <c r="Z11" i="6"/>
  <c r="Y11" i="6"/>
  <c r="BC20" i="6"/>
  <c r="BB20" i="6"/>
  <c r="BA20" i="6"/>
  <c r="AZ20" i="6"/>
  <c r="AY20" i="6"/>
  <c r="AX20" i="6"/>
  <c r="AW20" i="6"/>
  <c r="AV20" i="6"/>
  <c r="AU20" i="6"/>
  <c r="AT20" i="6"/>
  <c r="AS20" i="6"/>
  <c r="AR20" i="6"/>
  <c r="AQ20" i="6"/>
  <c r="AP20" i="6"/>
  <c r="AO20" i="6"/>
  <c r="AM20" i="6"/>
  <c r="AL20" i="6"/>
  <c r="AK20" i="6"/>
  <c r="AJ20" i="6"/>
  <c r="AI20" i="6"/>
  <c r="AH20" i="6"/>
  <c r="AG20" i="6"/>
  <c r="AF20" i="6"/>
  <c r="AE20" i="6"/>
  <c r="AD20" i="6"/>
  <c r="AC20" i="6"/>
  <c r="AB20" i="6"/>
  <c r="AA20" i="6"/>
  <c r="Z20" i="6"/>
  <c r="Y20" i="6"/>
  <c r="BC19" i="6"/>
  <c r="BB19" i="6"/>
  <c r="BA19" i="6"/>
  <c r="AZ19" i="6"/>
  <c r="AY19" i="6"/>
  <c r="AX19" i="6"/>
  <c r="AW19" i="6"/>
  <c r="AV19" i="6"/>
  <c r="AU19" i="6"/>
  <c r="AT19" i="6"/>
  <c r="AS19" i="6"/>
  <c r="AR19" i="6"/>
  <c r="AQ19" i="6"/>
  <c r="AP19" i="6"/>
  <c r="AO19" i="6"/>
  <c r="AM19" i="6"/>
  <c r="AL19" i="6"/>
  <c r="AK19" i="6"/>
  <c r="AJ19" i="6"/>
  <c r="AI19" i="6"/>
  <c r="AH19" i="6"/>
  <c r="AG19" i="6"/>
  <c r="AF19" i="6"/>
  <c r="AE19" i="6"/>
  <c r="AD19" i="6"/>
  <c r="AC19" i="6"/>
  <c r="AB19" i="6"/>
  <c r="AA19" i="6"/>
  <c r="Z19" i="6"/>
  <c r="Y19" i="6"/>
  <c r="BC12" i="6"/>
  <c r="BB12" i="6"/>
  <c r="BA12" i="6"/>
  <c r="AZ12" i="6"/>
  <c r="AY12" i="6"/>
  <c r="AX12" i="6"/>
  <c r="AW12" i="6"/>
  <c r="AV12" i="6"/>
  <c r="AU12" i="6"/>
  <c r="AT12" i="6"/>
  <c r="AS12" i="6"/>
  <c r="AR12" i="6"/>
  <c r="AQ12" i="6"/>
  <c r="AP12" i="6"/>
  <c r="AO12" i="6"/>
  <c r="AM12" i="6"/>
  <c r="AL12" i="6"/>
  <c r="AK12" i="6"/>
  <c r="AJ12" i="6"/>
  <c r="AI12" i="6"/>
  <c r="AH12" i="6"/>
  <c r="AG12" i="6"/>
  <c r="AF12" i="6"/>
  <c r="AE12" i="6"/>
  <c r="AD12" i="6"/>
  <c r="AC12" i="6"/>
  <c r="AB12" i="6"/>
  <c r="AA12" i="6"/>
  <c r="Z12" i="6"/>
  <c r="Y12" i="6"/>
  <c r="AB13" i="6"/>
  <c r="BC16" i="6"/>
  <c r="BB16" i="6"/>
  <c r="BA16" i="6"/>
  <c r="AZ16" i="6"/>
  <c r="AY16" i="6"/>
  <c r="AX16" i="6"/>
  <c r="AW16" i="6"/>
  <c r="AV16" i="6"/>
  <c r="AT16" i="6"/>
  <c r="AS16" i="6"/>
  <c r="AR16" i="6"/>
  <c r="AP16" i="6"/>
  <c r="AO16" i="6"/>
  <c r="AM16" i="6"/>
  <c r="D8" i="7"/>
  <c r="BE19" i="6" l="1"/>
  <c r="BE12" i="6"/>
  <c r="BE20" i="6"/>
  <c r="BE6" i="6"/>
  <c r="BE11" i="6"/>
  <c r="Y16" i="6"/>
  <c r="AG16" i="6"/>
  <c r="AB16" i="6"/>
  <c r="AJ16" i="6"/>
  <c r="AE16" i="6"/>
  <c r="AC16" i="6"/>
  <c r="AF16" i="6"/>
  <c r="AU16" i="6"/>
  <c r="AK16" i="6"/>
  <c r="Z16" i="6"/>
  <c r="AD16" i="6"/>
  <c r="AH16" i="6"/>
  <c r="AL16" i="6"/>
  <c r="AQ16" i="6"/>
  <c r="AA16" i="6"/>
  <c r="AI16" i="6"/>
  <c r="BE16" i="6" l="1"/>
  <c r="Y18" i="6"/>
  <c r="Z18" i="6"/>
  <c r="AA18" i="6"/>
  <c r="AB18" i="6"/>
  <c r="AC18" i="6"/>
  <c r="AD18" i="6"/>
  <c r="AE18" i="6"/>
  <c r="AF18" i="6"/>
  <c r="AG18" i="6"/>
  <c r="AH18" i="6"/>
  <c r="AI18" i="6"/>
  <c r="AJ18" i="6"/>
  <c r="AK18" i="6"/>
  <c r="AL18" i="6"/>
  <c r="AM18" i="6"/>
  <c r="AO18" i="6"/>
  <c r="AP18" i="6"/>
  <c r="AQ18" i="6"/>
  <c r="AR18" i="6"/>
  <c r="AS18" i="6"/>
  <c r="AT18" i="6"/>
  <c r="AU18" i="6"/>
  <c r="AV18" i="6"/>
  <c r="AW18" i="6"/>
  <c r="AX18" i="6"/>
  <c r="AY18" i="6"/>
  <c r="AZ18" i="6"/>
  <c r="BA18" i="6"/>
  <c r="BB18" i="6"/>
  <c r="BC18" i="6"/>
  <c r="BE18" i="6" l="1"/>
  <c r="T7" i="6"/>
  <c r="V7" i="6" s="1"/>
  <c r="Y8" i="6" l="1"/>
  <c r="Z8" i="6"/>
  <c r="AA8" i="6"/>
  <c r="AB8" i="6"/>
  <c r="AC8" i="6"/>
  <c r="AD8" i="6"/>
  <c r="AE8" i="6"/>
  <c r="AF8" i="6"/>
  <c r="AG8" i="6"/>
  <c r="AH8" i="6"/>
  <c r="AI8" i="6"/>
  <c r="AJ8" i="6"/>
  <c r="AK8" i="6"/>
  <c r="AL8" i="6"/>
  <c r="AM8" i="6"/>
  <c r="O20" i="2" s="1"/>
  <c r="AO8" i="6"/>
  <c r="AP8" i="6"/>
  <c r="AQ8" i="6"/>
  <c r="AR8" i="6"/>
  <c r="AU8" i="6"/>
  <c r="AW8" i="6"/>
  <c r="AX8" i="6"/>
  <c r="AY8" i="6"/>
  <c r="AZ8" i="6"/>
  <c r="BA8" i="6"/>
  <c r="BB8" i="6"/>
  <c r="BE8" i="6" l="1"/>
  <c r="Y39" i="6"/>
  <c r="Z39" i="6"/>
  <c r="AA39" i="6"/>
  <c r="AB39" i="6"/>
  <c r="AC39" i="6"/>
  <c r="AD39" i="6"/>
  <c r="AE39" i="6"/>
  <c r="AF39" i="6"/>
  <c r="AG39" i="6"/>
  <c r="AH39" i="6"/>
  <c r="AI39" i="6"/>
  <c r="AJ39" i="6"/>
  <c r="AK39" i="6"/>
  <c r="AL39" i="6"/>
  <c r="AM39" i="6"/>
  <c r="AO39" i="6"/>
  <c r="AP39" i="6"/>
  <c r="AQ39" i="6"/>
  <c r="AR39" i="6"/>
  <c r="AS39" i="6"/>
  <c r="AT39" i="6"/>
  <c r="AU39" i="6"/>
  <c r="AV39" i="6"/>
  <c r="AW39" i="6"/>
  <c r="AX39" i="6"/>
  <c r="AY39" i="6"/>
  <c r="AZ39" i="6"/>
  <c r="BA39" i="6"/>
  <c r="BB39" i="6"/>
  <c r="BC39" i="6"/>
  <c r="BE39" i="6" l="1"/>
  <c r="E17" i="2"/>
  <c r="F17" i="2"/>
  <c r="AR71" i="6" l="1"/>
  <c r="I77" i="6" l="1"/>
  <c r="H77" i="6"/>
  <c r="T56" i="6"/>
  <c r="Q56" i="6"/>
  <c r="P56" i="6"/>
  <c r="BC35" i="6"/>
  <c r="BB35" i="6"/>
  <c r="BA35" i="6"/>
  <c r="AZ35" i="6"/>
  <c r="AY35" i="6"/>
  <c r="AX35" i="6"/>
  <c r="AW35" i="6"/>
  <c r="AV35" i="6"/>
  <c r="AU35" i="6"/>
  <c r="AT35" i="6"/>
  <c r="AS35" i="6"/>
  <c r="AR35" i="6"/>
  <c r="AQ35" i="6"/>
  <c r="AP35" i="6"/>
  <c r="AO35" i="6"/>
  <c r="AM35" i="6"/>
  <c r="AL35" i="6"/>
  <c r="AK35" i="6"/>
  <c r="AJ35" i="6"/>
  <c r="AI35" i="6"/>
  <c r="AH35" i="6"/>
  <c r="AG35" i="6"/>
  <c r="AF35" i="6"/>
  <c r="AE35" i="6"/>
  <c r="AD35" i="6"/>
  <c r="AC35" i="6"/>
  <c r="Y35" i="6"/>
  <c r="D32" i="6"/>
  <c r="AN32" i="6" s="1"/>
  <c r="P33" i="2" s="1"/>
  <c r="P32" i="2" s="1"/>
  <c r="P36" i="2" s="1"/>
  <c r="P54" i="2" s="1"/>
  <c r="D77" i="6" l="1"/>
  <c r="V77" i="6"/>
  <c r="V56" i="6"/>
  <c r="BE35" i="6"/>
  <c r="D7" i="2"/>
  <c r="E12" i="2" s="1"/>
  <c r="BC38" i="6" l="1"/>
  <c r="O33" i="1" s="1"/>
  <c r="BB38" i="6"/>
  <c r="BA38" i="6"/>
  <c r="AZ38" i="6"/>
  <c r="AY38" i="6"/>
  <c r="AX38" i="6"/>
  <c r="AW38" i="6"/>
  <c r="AV38" i="6"/>
  <c r="AU38" i="6"/>
  <c r="AT38" i="6"/>
  <c r="AS38" i="6"/>
  <c r="AR38" i="6"/>
  <c r="AQ38" i="6"/>
  <c r="AP38" i="6"/>
  <c r="AO38" i="6"/>
  <c r="AM38" i="6"/>
  <c r="O35" i="2" s="1"/>
  <c r="AL38" i="6"/>
  <c r="AK38" i="6"/>
  <c r="AJ38" i="6"/>
  <c r="AI38" i="6"/>
  <c r="AH38" i="6"/>
  <c r="AG38" i="6"/>
  <c r="AF38" i="6"/>
  <c r="AE38" i="6"/>
  <c r="AD38" i="6"/>
  <c r="AC38" i="6"/>
  <c r="AB38" i="6"/>
  <c r="AA38" i="6"/>
  <c r="Z38" i="6"/>
  <c r="Y38" i="6"/>
  <c r="BE38" i="6" l="1"/>
  <c r="Y27" i="6"/>
  <c r="Z27" i="6"/>
  <c r="AA27" i="6"/>
  <c r="AB27" i="6"/>
  <c r="AC27" i="6"/>
  <c r="AD27" i="6"/>
  <c r="AE27" i="6"/>
  <c r="AF27" i="6"/>
  <c r="AG27" i="6"/>
  <c r="AH27" i="6"/>
  <c r="AI27" i="6"/>
  <c r="AJ27" i="6"/>
  <c r="AK27" i="6"/>
  <c r="AL27" i="6"/>
  <c r="AM27" i="6"/>
  <c r="AO27" i="6"/>
  <c r="AP27" i="6"/>
  <c r="AQ27" i="6"/>
  <c r="AR27" i="6"/>
  <c r="AS27" i="6"/>
  <c r="AT27" i="6"/>
  <c r="AU27" i="6"/>
  <c r="AV27" i="6"/>
  <c r="AW27" i="6"/>
  <c r="AX27" i="6"/>
  <c r="AY27" i="6"/>
  <c r="AZ27" i="6"/>
  <c r="BA27" i="6"/>
  <c r="BB27" i="6"/>
  <c r="BC27" i="6"/>
  <c r="Y28" i="6"/>
  <c r="Z28" i="6"/>
  <c r="AA28" i="6"/>
  <c r="AB28" i="6"/>
  <c r="AC28" i="6"/>
  <c r="AD28" i="6"/>
  <c r="AE28" i="6"/>
  <c r="AF28" i="6"/>
  <c r="AG28" i="6"/>
  <c r="AH28" i="6"/>
  <c r="AI28" i="6"/>
  <c r="AJ28" i="6"/>
  <c r="AK28" i="6"/>
  <c r="AL28" i="6"/>
  <c r="AM28" i="6"/>
  <c r="AO28" i="6"/>
  <c r="AP28" i="6"/>
  <c r="AQ28" i="6"/>
  <c r="AR28" i="6"/>
  <c r="AS28" i="6"/>
  <c r="AT28" i="6"/>
  <c r="AU28" i="6"/>
  <c r="AV28" i="6"/>
  <c r="AW28" i="6"/>
  <c r="AX28" i="6"/>
  <c r="AY28" i="6"/>
  <c r="AZ28" i="6"/>
  <c r="BA28" i="6"/>
  <c r="BB28" i="6"/>
  <c r="AS71" i="6"/>
  <c r="D5" i="2"/>
  <c r="AM79" i="6"/>
  <c r="BC79" i="6" s="1"/>
  <c r="BA79" i="6"/>
  <c r="AZ79" i="6"/>
  <c r="AI79" i="6"/>
  <c r="AJ79" i="6"/>
  <c r="AK79" i="6"/>
  <c r="AL79" i="6"/>
  <c r="AX79" i="6"/>
  <c r="AW79" i="6"/>
  <c r="AE79" i="6"/>
  <c r="AF79" i="6"/>
  <c r="AG79" i="6"/>
  <c r="AH79" i="6"/>
  <c r="AT79" i="6"/>
  <c r="AS79" i="6"/>
  <c r="AR79" i="6"/>
  <c r="AA79" i="6"/>
  <c r="AB79" i="6"/>
  <c r="AC79" i="6"/>
  <c r="AD79" i="6"/>
  <c r="AP79" i="6"/>
  <c r="AO79" i="6"/>
  <c r="Z79" i="6"/>
  <c r="Y79" i="6"/>
  <c r="BC78" i="6"/>
  <c r="AJ78" i="6"/>
  <c r="AK78" i="6"/>
  <c r="AL78" i="6"/>
  <c r="AM78" i="6"/>
  <c r="AY78" i="6"/>
  <c r="AX78" i="6"/>
  <c r="AF78" i="6"/>
  <c r="AG78" i="6"/>
  <c r="AH78" i="6"/>
  <c r="AI78" i="6"/>
  <c r="AU78" i="6"/>
  <c r="AT78" i="6"/>
  <c r="AB78" i="6"/>
  <c r="AC78" i="6"/>
  <c r="AD78" i="6"/>
  <c r="AE78" i="6"/>
  <c r="AQ78" i="6"/>
  <c r="AP78" i="6"/>
  <c r="AO78" i="6"/>
  <c r="AA78" i="6"/>
  <c r="Z78" i="6"/>
  <c r="Y78" i="6"/>
  <c r="AB72" i="6"/>
  <c r="AB74" i="6"/>
  <c r="AB75" i="6"/>
  <c r="AB76" i="6"/>
  <c r="AB4" i="6"/>
  <c r="AB5" i="6"/>
  <c r="AB7" i="6"/>
  <c r="AB9" i="6"/>
  <c r="AB15" i="6"/>
  <c r="AB21" i="6"/>
  <c r="AB23" i="6"/>
  <c r="AB25" i="6"/>
  <c r="AB29" i="6"/>
  <c r="AB31" i="6"/>
  <c r="AB32" i="6"/>
  <c r="AB33" i="6"/>
  <c r="AB34" i="6"/>
  <c r="AB36" i="6"/>
  <c r="AB37" i="6"/>
  <c r="AB40" i="6"/>
  <c r="AB41" i="6"/>
  <c r="AB47" i="6"/>
  <c r="AB48" i="6"/>
  <c r="AB49" i="6"/>
  <c r="AB50" i="6"/>
  <c r="AB51" i="6"/>
  <c r="AB52" i="6"/>
  <c r="AB53" i="6"/>
  <c r="AB56" i="6"/>
  <c r="AB57" i="6"/>
  <c r="AB67" i="6"/>
  <c r="AB70" i="6"/>
  <c r="AB71" i="6"/>
  <c r="AB77" i="6"/>
  <c r="AB81" i="6"/>
  <c r="AB84" i="6"/>
  <c r="AR84" i="6" s="1"/>
  <c r="AB85" i="6"/>
  <c r="AR85" i="6" s="1"/>
  <c r="AA70" i="6"/>
  <c r="AA71" i="6"/>
  <c r="G27" i="4"/>
  <c r="R45" i="1" s="1"/>
  <c r="G45" i="9"/>
  <c r="D45" i="9"/>
  <c r="H46" i="9"/>
  <c r="D46" i="9"/>
  <c r="H47" i="9"/>
  <c r="D47" i="9"/>
  <c r="H48" i="9"/>
  <c r="I48" i="9"/>
  <c r="J48" i="9"/>
  <c r="K48" i="9"/>
  <c r="L48" i="9"/>
  <c r="M48" i="9"/>
  <c r="N48" i="9"/>
  <c r="O48" i="9"/>
  <c r="AG48" i="9" s="1"/>
  <c r="AW48" i="9" s="1"/>
  <c r="P48" i="9"/>
  <c r="Q48" i="9"/>
  <c r="R48" i="9"/>
  <c r="S48" i="9"/>
  <c r="AK48" i="9" s="1"/>
  <c r="BA48" i="9" s="1"/>
  <c r="T48" i="9"/>
  <c r="D17" i="9"/>
  <c r="D18" i="9"/>
  <c r="X18" i="9" s="1"/>
  <c r="D43" i="9"/>
  <c r="D44" i="9"/>
  <c r="H49" i="9"/>
  <c r="I49" i="9"/>
  <c r="AA49" i="9" s="1"/>
  <c r="J49" i="9"/>
  <c r="D49" i="9" s="1"/>
  <c r="K49" i="9"/>
  <c r="L49" i="9"/>
  <c r="M49" i="9"/>
  <c r="AE49" i="9" s="1"/>
  <c r="N49" i="9"/>
  <c r="AF49" i="9" s="1"/>
  <c r="O49" i="9"/>
  <c r="P49" i="9"/>
  <c r="Q49" i="9"/>
  <c r="AI49" i="9" s="1"/>
  <c r="R49" i="9"/>
  <c r="AJ49" i="9" s="1"/>
  <c r="S49" i="9"/>
  <c r="T49" i="9"/>
  <c r="D50" i="9"/>
  <c r="D51" i="9"/>
  <c r="D76" i="9"/>
  <c r="D77" i="9"/>
  <c r="D78" i="9"/>
  <c r="B78" i="9"/>
  <c r="B77" i="9"/>
  <c r="B76" i="9"/>
  <c r="B75" i="9"/>
  <c r="G24" i="4"/>
  <c r="E74" i="9" s="1"/>
  <c r="D70" i="9"/>
  <c r="D71" i="9"/>
  <c r="D72" i="9"/>
  <c r="D73" i="9"/>
  <c r="B73" i="9"/>
  <c r="B72" i="9"/>
  <c r="B71" i="9"/>
  <c r="A36" i="1"/>
  <c r="A37" i="1"/>
  <c r="G21" i="4"/>
  <c r="E69" i="9" s="1"/>
  <c r="D67" i="9"/>
  <c r="D69" i="9" s="1"/>
  <c r="D68" i="9"/>
  <c r="B68" i="9"/>
  <c r="B67" i="9"/>
  <c r="G20" i="4"/>
  <c r="E66" i="9" s="1"/>
  <c r="F66" i="9" s="1"/>
  <c r="D65" i="9"/>
  <c r="D66" i="9" s="1"/>
  <c r="B65" i="9"/>
  <c r="C14" i="4"/>
  <c r="D14" i="4"/>
  <c r="G14" i="4" s="1"/>
  <c r="E14" i="4"/>
  <c r="F14" i="4"/>
  <c r="D59" i="9"/>
  <c r="D60" i="9"/>
  <c r="D61" i="9"/>
  <c r="D62" i="9"/>
  <c r="D63" i="9"/>
  <c r="A19" i="1"/>
  <c r="X55" i="9"/>
  <c r="Y55" i="9"/>
  <c r="Z55" i="9"/>
  <c r="AP55" i="9" s="1"/>
  <c r="AA55" i="9"/>
  <c r="AQ55" i="9" s="1"/>
  <c r="AB55" i="9"/>
  <c r="AC55" i="9"/>
  <c r="AS55" i="9" s="1"/>
  <c r="AD55" i="9"/>
  <c r="AT55" i="9" s="1"/>
  <c r="AE55" i="9"/>
  <c r="AU55" i="9" s="1"/>
  <c r="AF55" i="9"/>
  <c r="AG55" i="9"/>
  <c r="AW55" i="9" s="1"/>
  <c r="AH55" i="9"/>
  <c r="AI55" i="9"/>
  <c r="AJ55" i="9"/>
  <c r="AK55" i="9"/>
  <c r="BA55" i="9" s="1"/>
  <c r="AL55" i="9"/>
  <c r="BB55" i="9" s="1"/>
  <c r="AN55" i="9"/>
  <c r="AR55" i="9"/>
  <c r="AV55" i="9"/>
  <c r="AX55" i="9"/>
  <c r="AY55" i="9"/>
  <c r="AZ55" i="9"/>
  <c r="U55" i="9"/>
  <c r="B55" i="9"/>
  <c r="X54" i="9"/>
  <c r="Y54" i="9"/>
  <c r="Z54" i="9"/>
  <c r="AP54" i="9" s="1"/>
  <c r="AA54" i="9"/>
  <c r="AB54" i="9"/>
  <c r="AC54" i="9"/>
  <c r="AD54" i="9"/>
  <c r="AT54" i="9" s="1"/>
  <c r="AE54" i="9"/>
  <c r="AF54" i="9"/>
  <c r="AG54" i="9"/>
  <c r="AH54" i="9"/>
  <c r="AX54" i="9" s="1"/>
  <c r="AI54" i="9"/>
  <c r="AJ54" i="9"/>
  <c r="AK54" i="9"/>
  <c r="T54" i="9"/>
  <c r="AL54" i="9" s="1"/>
  <c r="BB54" i="9" s="1"/>
  <c r="AN54" i="9"/>
  <c r="AO54" i="9"/>
  <c r="AQ54" i="9"/>
  <c r="AR54" i="9"/>
  <c r="AS54" i="9"/>
  <c r="AU54" i="9"/>
  <c r="AV54" i="9"/>
  <c r="AW54" i="9"/>
  <c r="AY54" i="9"/>
  <c r="AZ54" i="9"/>
  <c r="BA54" i="9"/>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U50" i="9" s="1"/>
  <c r="K50" i="9"/>
  <c r="L50" i="9"/>
  <c r="M50" i="9"/>
  <c r="N50" i="9"/>
  <c r="O50" i="9"/>
  <c r="P50" i="9"/>
  <c r="B50" i="9"/>
  <c r="X49" i="9"/>
  <c r="Y49" i="9"/>
  <c r="Z49" i="9"/>
  <c r="AB49" i="9"/>
  <c r="AC49" i="9"/>
  <c r="AD49" i="9"/>
  <c r="AG49" i="9"/>
  <c r="AH49" i="9"/>
  <c r="AK49" i="9"/>
  <c r="AL49" i="9"/>
  <c r="BA49" i="9" s="1"/>
  <c r="AN49" i="9"/>
  <c r="AP49" i="9"/>
  <c r="AQ49" i="9"/>
  <c r="AR49" i="9"/>
  <c r="AT49" i="9"/>
  <c r="AU49" i="9"/>
  <c r="AV49" i="9"/>
  <c r="AX49" i="9"/>
  <c r="AY49" i="9"/>
  <c r="AZ49" i="9"/>
  <c r="BB49" i="9"/>
  <c r="B49" i="9"/>
  <c r="X48" i="9"/>
  <c r="Y48" i="9"/>
  <c r="Z48" i="9"/>
  <c r="AA48" i="9"/>
  <c r="AB48" i="9"/>
  <c r="AD48" i="9"/>
  <c r="AE48" i="9"/>
  <c r="AF48" i="9"/>
  <c r="AH48" i="9"/>
  <c r="AI48" i="9"/>
  <c r="AJ48" i="9"/>
  <c r="AL48" i="9"/>
  <c r="AN48" i="9"/>
  <c r="AP48" i="9"/>
  <c r="AQ48" i="9"/>
  <c r="AR48" i="9"/>
  <c r="AT48" i="9"/>
  <c r="AU48" i="9"/>
  <c r="AV48" i="9"/>
  <c r="AX48" i="9"/>
  <c r="AY48" i="9"/>
  <c r="AZ48" i="9"/>
  <c r="BB48" i="9"/>
  <c r="B48" i="9"/>
  <c r="X47" i="9"/>
  <c r="Y47" i="9"/>
  <c r="Z47" i="9"/>
  <c r="AA47" i="9"/>
  <c r="AB47" i="9"/>
  <c r="AC47" i="9"/>
  <c r="AD47" i="9"/>
  <c r="AE47" i="9"/>
  <c r="AF47" i="9"/>
  <c r="AG47" i="9"/>
  <c r="AH47" i="9"/>
  <c r="AI47" i="9"/>
  <c r="AJ47" i="9"/>
  <c r="AK47" i="9"/>
  <c r="AL47" i="9"/>
  <c r="AN47" i="9"/>
  <c r="AO47" i="9"/>
  <c r="AP47" i="9"/>
  <c r="AQ47" i="9"/>
  <c r="AR47" i="9"/>
  <c r="AS47" i="9"/>
  <c r="AT47" i="9"/>
  <c r="AU47" i="9"/>
  <c r="AV47" i="9"/>
  <c r="AW47" i="9"/>
  <c r="AX47" i="9"/>
  <c r="AY47" i="9"/>
  <c r="AZ47" i="9"/>
  <c r="BA47" i="9"/>
  <c r="BB47" i="9"/>
  <c r="U47" i="9"/>
  <c r="B47" i="9"/>
  <c r="X46" i="9"/>
  <c r="Y46" i="9"/>
  <c r="Z46" i="9"/>
  <c r="AA46" i="9"/>
  <c r="AB46" i="9"/>
  <c r="AC46" i="9"/>
  <c r="AD46" i="9"/>
  <c r="AE46" i="9"/>
  <c r="AF46" i="9"/>
  <c r="AG46" i="9"/>
  <c r="AH46" i="9"/>
  <c r="AI46" i="9"/>
  <c r="AJ46" i="9"/>
  <c r="AK46" i="9"/>
  <c r="AL46" i="9"/>
  <c r="AN46" i="9"/>
  <c r="AO46" i="9"/>
  <c r="AQ46" i="9"/>
  <c r="AR46" i="9"/>
  <c r="AS46" i="9"/>
  <c r="AU46" i="9"/>
  <c r="AV46" i="9"/>
  <c r="AW46" i="9"/>
  <c r="AY46" i="9"/>
  <c r="AZ46" i="9"/>
  <c r="BA46" i="9"/>
  <c r="BB46" i="9"/>
  <c r="U46" i="9"/>
  <c r="B46" i="9"/>
  <c r="X45" i="9"/>
  <c r="Y45" i="9"/>
  <c r="Z45" i="9"/>
  <c r="AA45" i="9"/>
  <c r="AB45" i="9"/>
  <c r="AC45" i="9"/>
  <c r="AD45" i="9"/>
  <c r="AE45" i="9"/>
  <c r="AF45" i="9"/>
  <c r="AG45" i="9"/>
  <c r="AH45" i="9"/>
  <c r="AI45" i="9"/>
  <c r="AJ45" i="9"/>
  <c r="AK45" i="9"/>
  <c r="AL45" i="9"/>
  <c r="AZ45" i="9" s="1"/>
  <c r="AO45" i="9"/>
  <c r="AP45" i="9"/>
  <c r="AQ45" i="9"/>
  <c r="AS45" i="9"/>
  <c r="AT45" i="9"/>
  <c r="AU45" i="9"/>
  <c r="AW45" i="9"/>
  <c r="AX45" i="9"/>
  <c r="AY45" i="9"/>
  <c r="BA45" i="9"/>
  <c r="BB45" i="9"/>
  <c r="U45" i="9"/>
  <c r="B45" i="9"/>
  <c r="X44" i="9"/>
  <c r="Y44" i="9"/>
  <c r="Z44" i="9"/>
  <c r="AP44" i="9" s="1"/>
  <c r="AA44" i="9"/>
  <c r="AB44" i="9"/>
  <c r="AC44" i="9"/>
  <c r="AD44" i="9"/>
  <c r="AT44" i="9" s="1"/>
  <c r="AE44" i="9"/>
  <c r="AF44" i="9"/>
  <c r="AG44" i="9"/>
  <c r="AH44" i="9"/>
  <c r="AX44" i="9" s="1"/>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BA43" i="9" s="1"/>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BD34" i="9" s="1"/>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BD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BD21" i="9" s="1"/>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A18" i="9"/>
  <c r="AE18" i="9"/>
  <c r="AI18" i="9"/>
  <c r="AN18" i="9"/>
  <c r="AO18" i="9"/>
  <c r="AP18" i="9"/>
  <c r="AQ18" i="9"/>
  <c r="AR18" i="9"/>
  <c r="AS18" i="9"/>
  <c r="AT18" i="9"/>
  <c r="AV18" i="9"/>
  <c r="AW18" i="9"/>
  <c r="AX18" i="9"/>
  <c r="AY18" i="9"/>
  <c r="AZ18" i="9"/>
  <c r="BA18" i="9"/>
  <c r="BB18" i="9"/>
  <c r="U18" i="9"/>
  <c r="B18" i="9"/>
  <c r="X17" i="9"/>
  <c r="BD17" i="9" s="1"/>
  <c r="Y17" i="9"/>
  <c r="Z17" i="9"/>
  <c r="AA17" i="9"/>
  <c r="AB17" i="9"/>
  <c r="AC17" i="9"/>
  <c r="AD17" i="9"/>
  <c r="AE17" i="9"/>
  <c r="AF17" i="9"/>
  <c r="AG17" i="9"/>
  <c r="AH17" i="9"/>
  <c r="AI17" i="9"/>
  <c r="AJ17" i="9"/>
  <c r="AK17" i="9"/>
  <c r="AL17" i="9"/>
  <c r="AN17" i="9"/>
  <c r="AO17" i="9"/>
  <c r="AP17" i="9"/>
  <c r="AQ17" i="9"/>
  <c r="AR17" i="9"/>
  <c r="AS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BD13" i="9" s="1"/>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BD9" i="9" s="1"/>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4" i="9"/>
  <c r="AQ57" i="6"/>
  <c r="AA84" i="6"/>
  <c r="AQ84" i="6" s="1"/>
  <c r="AA57" i="6"/>
  <c r="AA72" i="6"/>
  <c r="AA74" i="6"/>
  <c r="AA76" i="6"/>
  <c r="AA4" i="6"/>
  <c r="AA5" i="6"/>
  <c r="AA7" i="6"/>
  <c r="AA9" i="6"/>
  <c r="AA13" i="6"/>
  <c r="AA21" i="6"/>
  <c r="AA23" i="6"/>
  <c r="AA25" i="6"/>
  <c r="AA29" i="6"/>
  <c r="AA31" i="6"/>
  <c r="AA32" i="6"/>
  <c r="AA33" i="6"/>
  <c r="AA34" i="6"/>
  <c r="AA36" i="6"/>
  <c r="AA37" i="6"/>
  <c r="AA40" i="6"/>
  <c r="AA41" i="6"/>
  <c r="AA47" i="6"/>
  <c r="AA48" i="6"/>
  <c r="AA49" i="6"/>
  <c r="AA50" i="6"/>
  <c r="AA51" i="6"/>
  <c r="AA52" i="6"/>
  <c r="AA53" i="6"/>
  <c r="AA56" i="6"/>
  <c r="AA67" i="6"/>
  <c r="AA77" i="6"/>
  <c r="AA81" i="6"/>
  <c r="AA85" i="6"/>
  <c r="AQ85" i="6" s="1"/>
  <c r="AQ40" i="6"/>
  <c r="AQ41" i="6"/>
  <c r="AQ47" i="6"/>
  <c r="AQ48" i="6"/>
  <c r="AQ4" i="6"/>
  <c r="AQ5" i="6"/>
  <c r="AQ7" i="6"/>
  <c r="AQ9" i="6"/>
  <c r="AQ13" i="6"/>
  <c r="AQ21" i="6"/>
  <c r="AQ23" i="6"/>
  <c r="AQ25" i="6"/>
  <c r="AQ29" i="6"/>
  <c r="AQ31" i="6"/>
  <c r="AQ32" i="6"/>
  <c r="AQ33" i="6"/>
  <c r="AQ34" i="6"/>
  <c r="AQ36" i="6"/>
  <c r="AQ37" i="6"/>
  <c r="AQ49" i="6"/>
  <c r="AQ50" i="6"/>
  <c r="AQ51" i="6"/>
  <c r="AQ52" i="6"/>
  <c r="AQ53" i="6"/>
  <c r="AQ56" i="6"/>
  <c r="AQ70" i="6"/>
  <c r="AC71" i="6"/>
  <c r="AD71" i="6"/>
  <c r="AQ71" i="6"/>
  <c r="AC74" i="6"/>
  <c r="AD74" i="6"/>
  <c r="AP4" i="6"/>
  <c r="AO29" i="6"/>
  <c r="AO31" i="6"/>
  <c r="AO32" i="6"/>
  <c r="AO33" i="6"/>
  <c r="AO34" i="6"/>
  <c r="AG76" i="6"/>
  <c r="AC76" i="6"/>
  <c r="Z71" i="6"/>
  <c r="Z13" i="6"/>
  <c r="Z74" i="6"/>
  <c r="AP13" i="6"/>
  <c r="AC13" i="6"/>
  <c r="AD13" i="6"/>
  <c r="AE13" i="6"/>
  <c r="AF13" i="6"/>
  <c r="H24" i="2" s="1"/>
  <c r="AG13" i="6"/>
  <c r="I24" i="2" s="1"/>
  <c r="AH13" i="6"/>
  <c r="J24" i="2" s="1"/>
  <c r="AO13" i="6"/>
  <c r="AR13" i="6"/>
  <c r="AS13" i="6"/>
  <c r="AT13" i="6"/>
  <c r="AU13" i="6"/>
  <c r="AV13" i="6"/>
  <c r="H22" i="1" s="1"/>
  <c r="AW13" i="6"/>
  <c r="I22" i="1" s="1"/>
  <c r="AX13" i="6"/>
  <c r="J22" i="1" s="1"/>
  <c r="P16" i="7"/>
  <c r="Q16" i="7"/>
  <c r="R16" i="7"/>
  <c r="S16" i="7"/>
  <c r="P17" i="7"/>
  <c r="Q17" i="7"/>
  <c r="R17" i="7"/>
  <c r="S17" i="7"/>
  <c r="P25" i="7"/>
  <c r="Q25" i="7"/>
  <c r="R25" i="7"/>
  <c r="S25" i="7"/>
  <c r="P26" i="7"/>
  <c r="Q26" i="7"/>
  <c r="R26" i="7"/>
  <c r="S26" i="7"/>
  <c r="P33" i="7"/>
  <c r="Q33" i="7"/>
  <c r="R33" i="7"/>
  <c r="S33" i="7"/>
  <c r="P34" i="7"/>
  <c r="Q34" i="7"/>
  <c r="R34" i="7"/>
  <c r="S34" i="7"/>
  <c r="P41" i="7"/>
  <c r="Q41" i="7"/>
  <c r="R41" i="7"/>
  <c r="S41" i="7"/>
  <c r="K16" i="7"/>
  <c r="L16" i="7"/>
  <c r="M16" i="7"/>
  <c r="N16" i="7"/>
  <c r="O16" i="7"/>
  <c r="K17" i="7"/>
  <c r="L17" i="7"/>
  <c r="M17" i="7"/>
  <c r="N17" i="7"/>
  <c r="O17" i="7"/>
  <c r="K25" i="7"/>
  <c r="L25" i="7"/>
  <c r="M25" i="7"/>
  <c r="N25" i="7"/>
  <c r="O25" i="7"/>
  <c r="K26" i="7"/>
  <c r="L26" i="7"/>
  <c r="M26" i="7"/>
  <c r="N26" i="7"/>
  <c r="O26" i="7"/>
  <c r="K33" i="7"/>
  <c r="L33" i="7"/>
  <c r="M33" i="7"/>
  <c r="N33" i="7"/>
  <c r="O33" i="7"/>
  <c r="K34" i="7"/>
  <c r="L34" i="7"/>
  <c r="M34" i="7"/>
  <c r="N34" i="7"/>
  <c r="O34" i="7"/>
  <c r="K41" i="7"/>
  <c r="L41" i="7"/>
  <c r="M41" i="7"/>
  <c r="N41" i="7"/>
  <c r="O41" i="7"/>
  <c r="B16" i="7"/>
  <c r="B17" i="7"/>
  <c r="B25" i="7"/>
  <c r="B26" i="7"/>
  <c r="B33" i="7"/>
  <c r="B34" i="7"/>
  <c r="B41" i="7"/>
  <c r="F16" i="7"/>
  <c r="G16" i="7"/>
  <c r="H16" i="7"/>
  <c r="I16" i="7"/>
  <c r="J16" i="7"/>
  <c r="F17" i="7"/>
  <c r="G17" i="7"/>
  <c r="H17" i="7"/>
  <c r="I17" i="7"/>
  <c r="J17" i="7"/>
  <c r="F25" i="7"/>
  <c r="G25" i="7"/>
  <c r="H25" i="7"/>
  <c r="I25" i="7"/>
  <c r="J25" i="7"/>
  <c r="F26" i="7"/>
  <c r="G26" i="7"/>
  <c r="H26" i="7"/>
  <c r="I26" i="7"/>
  <c r="J26" i="7"/>
  <c r="F33" i="7"/>
  <c r="G33" i="7"/>
  <c r="H33" i="7"/>
  <c r="I33" i="7"/>
  <c r="J33" i="7"/>
  <c r="F34" i="7"/>
  <c r="G34" i="7"/>
  <c r="H34" i="7"/>
  <c r="I34" i="7"/>
  <c r="J34" i="7"/>
  <c r="F41" i="7"/>
  <c r="G41" i="7"/>
  <c r="H41" i="7"/>
  <c r="I41" i="7"/>
  <c r="J41" i="7"/>
  <c r="D16" i="7"/>
  <c r="E16" i="7"/>
  <c r="D17" i="7"/>
  <c r="E17" i="7"/>
  <c r="D25" i="7"/>
  <c r="E25" i="7"/>
  <c r="D26" i="7"/>
  <c r="E26" i="7"/>
  <c r="D33" i="7"/>
  <c r="E33" i="7"/>
  <c r="D34" i="7"/>
  <c r="E34" i="7"/>
  <c r="D41" i="7"/>
  <c r="E41" i="7"/>
  <c r="C16" i="7"/>
  <c r="C17" i="7"/>
  <c r="C25" i="7"/>
  <c r="C26" i="7"/>
  <c r="C33" i="7"/>
  <c r="C34" i="7"/>
  <c r="C41" i="7"/>
  <c r="BC15" i="6"/>
  <c r="BB15" i="6"/>
  <c r="BA15" i="6"/>
  <c r="AZ15" i="6"/>
  <c r="AY15" i="6"/>
  <c r="AX15" i="6"/>
  <c r="AW15" i="6"/>
  <c r="AV15" i="6"/>
  <c r="AU15" i="6"/>
  <c r="AT15" i="6"/>
  <c r="AS15" i="6"/>
  <c r="AR15" i="6"/>
  <c r="AP15" i="6"/>
  <c r="AO15" i="6"/>
  <c r="D89" i="6"/>
  <c r="D107" i="6"/>
  <c r="D103" i="6"/>
  <c r="D102" i="6"/>
  <c r="D101" i="6"/>
  <c r="D100" i="6"/>
  <c r="D98" i="6"/>
  <c r="D92" i="6"/>
  <c r="D90" i="6"/>
  <c r="E109" i="6"/>
  <c r="E104" i="6"/>
  <c r="E99" i="6"/>
  <c r="AO48" i="6"/>
  <c r="AP48" i="6"/>
  <c r="AR48" i="6"/>
  <c r="AS48" i="6"/>
  <c r="AT48" i="6"/>
  <c r="AU48" i="6"/>
  <c r="AV48" i="6"/>
  <c r="AW48" i="6"/>
  <c r="AX48" i="6"/>
  <c r="AY48" i="6"/>
  <c r="AZ48" i="6"/>
  <c r="BA48" i="6"/>
  <c r="BB48" i="6"/>
  <c r="AO49" i="6"/>
  <c r="AP49" i="6"/>
  <c r="AR49" i="6"/>
  <c r="AS49" i="6"/>
  <c r="AT49" i="6"/>
  <c r="AU49" i="6"/>
  <c r="AV49" i="6"/>
  <c r="AW49" i="6"/>
  <c r="AX49" i="6"/>
  <c r="AY49" i="6"/>
  <c r="AZ49" i="6"/>
  <c r="BA49" i="6"/>
  <c r="BB49" i="6"/>
  <c r="AO50" i="6"/>
  <c r="AP50" i="6"/>
  <c r="AR50" i="6"/>
  <c r="AS50" i="6"/>
  <c r="AT50" i="6"/>
  <c r="AU50" i="6"/>
  <c r="AV50" i="6"/>
  <c r="AW50" i="6"/>
  <c r="AX50" i="6"/>
  <c r="AY50" i="6"/>
  <c r="AZ50" i="6"/>
  <c r="BA50" i="6"/>
  <c r="BB50" i="6"/>
  <c r="Y47" i="6"/>
  <c r="Z47" i="6"/>
  <c r="AC47" i="6"/>
  <c r="AD47" i="6"/>
  <c r="AE47" i="6"/>
  <c r="AF47" i="6"/>
  <c r="AG47" i="6"/>
  <c r="AH47" i="6"/>
  <c r="AI47" i="6"/>
  <c r="AJ47" i="6"/>
  <c r="AK47" i="6"/>
  <c r="AL47" i="6"/>
  <c r="AM47" i="6"/>
  <c r="Y48" i="6"/>
  <c r="Z48" i="6"/>
  <c r="AC48" i="6"/>
  <c r="AD48" i="6"/>
  <c r="AE48" i="6"/>
  <c r="AF48" i="6"/>
  <c r="AG48" i="6"/>
  <c r="AH48" i="6"/>
  <c r="AI48" i="6"/>
  <c r="AJ48" i="6"/>
  <c r="AK48" i="6"/>
  <c r="AL48" i="6"/>
  <c r="AM48" i="6"/>
  <c r="Y49" i="6"/>
  <c r="Z49" i="6"/>
  <c r="AC49" i="6"/>
  <c r="AD49" i="6"/>
  <c r="AE49" i="6"/>
  <c r="AF49" i="6"/>
  <c r="AG49" i="6"/>
  <c r="AH49" i="6"/>
  <c r="AI49" i="6"/>
  <c r="AJ49" i="6"/>
  <c r="AK49" i="6"/>
  <c r="AL49" i="6"/>
  <c r="AM49" i="6"/>
  <c r="Y50" i="6"/>
  <c r="Z50" i="6"/>
  <c r="AC50" i="6"/>
  <c r="AD50" i="6"/>
  <c r="AE50" i="6"/>
  <c r="AF50" i="6"/>
  <c r="AG50" i="6"/>
  <c r="AH50" i="6"/>
  <c r="AI50" i="6"/>
  <c r="AJ50" i="6"/>
  <c r="AK50" i="6"/>
  <c r="AL50" i="6"/>
  <c r="AM50" i="6"/>
  <c r="AO47" i="6"/>
  <c r="AP47" i="6"/>
  <c r="AR47" i="6"/>
  <c r="AS47" i="6"/>
  <c r="AT47" i="6"/>
  <c r="AU47" i="6"/>
  <c r="AV47" i="6"/>
  <c r="AW47" i="6"/>
  <c r="AX47" i="6"/>
  <c r="AY47" i="6"/>
  <c r="AZ47" i="6"/>
  <c r="BA47" i="6"/>
  <c r="BB47" i="6"/>
  <c r="AP29" i="6"/>
  <c r="AP31" i="6"/>
  <c r="AP32" i="6"/>
  <c r="AP7" i="6"/>
  <c r="AP5" i="6"/>
  <c r="AP36" i="6"/>
  <c r="AP37" i="6"/>
  <c r="AP33" i="6"/>
  <c r="AP34" i="6"/>
  <c r="AP56" i="6"/>
  <c r="AP21" i="6"/>
  <c r="AP23" i="6"/>
  <c r="AP25" i="6"/>
  <c r="AP9" i="6"/>
  <c r="AP40" i="6"/>
  <c r="AP51" i="6"/>
  <c r="AP41" i="6"/>
  <c r="AP52" i="6"/>
  <c r="AP53" i="6"/>
  <c r="AP67" i="6"/>
  <c r="Z70" i="6"/>
  <c r="AC70" i="6"/>
  <c r="AD70" i="6"/>
  <c r="AP72" i="6"/>
  <c r="Z75" i="6"/>
  <c r="AC75" i="6"/>
  <c r="Z76" i="6"/>
  <c r="Z77" i="6"/>
  <c r="AC77" i="6"/>
  <c r="Z81" i="6"/>
  <c r="AC81" i="6"/>
  <c r="AD81" i="6"/>
  <c r="AQ81" i="6"/>
  <c r="Z84" i="6"/>
  <c r="AP84" i="6" s="1"/>
  <c r="Z85" i="6"/>
  <c r="AP85" i="6" s="1"/>
  <c r="Z56" i="6"/>
  <c r="Z4" i="6"/>
  <c r="Z7" i="6"/>
  <c r="Z5" i="6"/>
  <c r="Z29" i="6"/>
  <c r="Z36" i="6"/>
  <c r="Z37" i="6"/>
  <c r="Z31" i="6"/>
  <c r="Z34" i="6"/>
  <c r="Z21" i="6"/>
  <c r="Z23" i="6"/>
  <c r="Z25" i="6"/>
  <c r="Z9" i="6"/>
  <c r="Z40" i="6"/>
  <c r="Z51" i="6"/>
  <c r="Z41" i="6"/>
  <c r="Z52" i="6"/>
  <c r="Z53" i="6"/>
  <c r="Z67" i="6"/>
  <c r="Y21" i="6"/>
  <c r="AC21" i="6"/>
  <c r="AD21" i="6"/>
  <c r="AE21" i="6"/>
  <c r="AF21" i="6"/>
  <c r="AG21" i="6"/>
  <c r="AH21" i="6"/>
  <c r="AI21" i="6"/>
  <c r="AJ21" i="6"/>
  <c r="AK21" i="6"/>
  <c r="AL21" i="6"/>
  <c r="AM21" i="6"/>
  <c r="Y23" i="6"/>
  <c r="AC23" i="6"/>
  <c r="AE23" i="6"/>
  <c r="AF23" i="6"/>
  <c r="AG23" i="6"/>
  <c r="AH23" i="6"/>
  <c r="AI23" i="6"/>
  <c r="AJ23" i="6"/>
  <c r="AK23" i="6"/>
  <c r="AL23" i="6"/>
  <c r="AM23" i="6"/>
  <c r="AO23" i="6"/>
  <c r="AR23" i="6"/>
  <c r="AS23" i="6"/>
  <c r="AT23" i="6"/>
  <c r="AU23" i="6"/>
  <c r="AV23" i="6"/>
  <c r="AW23" i="6"/>
  <c r="AX23" i="6"/>
  <c r="AY23" i="6"/>
  <c r="AZ23" i="6"/>
  <c r="BA23" i="6"/>
  <c r="BB23" i="6"/>
  <c r="BC23" i="6"/>
  <c r="Y25" i="6"/>
  <c r="AC25" i="6"/>
  <c r="AE25" i="6"/>
  <c r="AF25" i="6"/>
  <c r="AG25" i="6"/>
  <c r="AH25" i="6"/>
  <c r="AI25" i="6"/>
  <c r="AJ25" i="6"/>
  <c r="AK25" i="6"/>
  <c r="AL25" i="6"/>
  <c r="AM25" i="6"/>
  <c r="AO25" i="6"/>
  <c r="AR25" i="6"/>
  <c r="AS25" i="6"/>
  <c r="AT25" i="6"/>
  <c r="AU25" i="6"/>
  <c r="AV25" i="6"/>
  <c r="AW25" i="6"/>
  <c r="AX25" i="6"/>
  <c r="AY25" i="6"/>
  <c r="AZ25" i="6"/>
  <c r="BA25" i="6"/>
  <c r="BB25" i="6"/>
  <c r="BC25" i="6"/>
  <c r="Y9" i="6"/>
  <c r="AC9" i="6"/>
  <c r="AD9" i="6"/>
  <c r="AE9" i="6"/>
  <c r="AE81" i="6"/>
  <c r="AF9" i="6"/>
  <c r="AG9" i="6"/>
  <c r="AH9" i="6"/>
  <c r="AI9" i="6"/>
  <c r="AJ9" i="6"/>
  <c r="AK9" i="6"/>
  <c r="AL9" i="6"/>
  <c r="AM9" i="6"/>
  <c r="Y40" i="6"/>
  <c r="AC40" i="6"/>
  <c r="AD40" i="6"/>
  <c r="AE40" i="6"/>
  <c r="AF40" i="6"/>
  <c r="AG40" i="6"/>
  <c r="AH40" i="6"/>
  <c r="AI40" i="6"/>
  <c r="AJ40" i="6"/>
  <c r="AK40" i="6"/>
  <c r="AL40" i="6"/>
  <c r="AM40" i="6"/>
  <c r="Y51" i="6"/>
  <c r="AC51" i="6"/>
  <c r="AD51" i="6"/>
  <c r="AE51" i="6"/>
  <c r="AF51" i="6"/>
  <c r="AG51" i="6"/>
  <c r="AH51" i="6"/>
  <c r="AI51" i="6"/>
  <c r="AJ51" i="6"/>
  <c r="AK51" i="6"/>
  <c r="AL51" i="6"/>
  <c r="AM51" i="6"/>
  <c r="Y41" i="6"/>
  <c r="AC41" i="6"/>
  <c r="AD41" i="6"/>
  <c r="AE41" i="6"/>
  <c r="AF41" i="6"/>
  <c r="AG41" i="6"/>
  <c r="AH41" i="6"/>
  <c r="AI41" i="6"/>
  <c r="AJ41" i="6"/>
  <c r="AK41" i="6"/>
  <c r="AL41" i="6"/>
  <c r="AM41" i="6"/>
  <c r="Y52" i="6"/>
  <c r="AC52" i="6"/>
  <c r="AD52" i="6"/>
  <c r="AE52" i="6"/>
  <c r="AF52" i="6"/>
  <c r="AG52" i="6"/>
  <c r="AH52" i="6"/>
  <c r="AI52" i="6"/>
  <c r="AJ52" i="6"/>
  <c r="AK52" i="6"/>
  <c r="AL52" i="6"/>
  <c r="AM52" i="6"/>
  <c r="O42" i="2" s="1"/>
  <c r="AO21" i="6"/>
  <c r="AR21" i="6"/>
  <c r="AS21" i="6"/>
  <c r="AT21" i="6"/>
  <c r="AU21" i="6"/>
  <c r="AV21" i="6"/>
  <c r="AW21" i="6"/>
  <c r="AX21" i="6"/>
  <c r="AY21" i="6"/>
  <c r="AZ21" i="6"/>
  <c r="BA21" i="6"/>
  <c r="BB21" i="6"/>
  <c r="BC21" i="6"/>
  <c r="Y33" i="6"/>
  <c r="AR33" i="6"/>
  <c r="AS33" i="6"/>
  <c r="AT33" i="6"/>
  <c r="AU33" i="6"/>
  <c r="AW33" i="6"/>
  <c r="AX33" i="6"/>
  <c r="AY33" i="6"/>
  <c r="AZ33" i="6"/>
  <c r="BA33" i="6"/>
  <c r="BB33" i="6"/>
  <c r="BC33" i="6"/>
  <c r="AS32" i="6"/>
  <c r="AT32" i="6"/>
  <c r="AU32" i="6"/>
  <c r="AV32" i="6"/>
  <c r="AW32" i="6"/>
  <c r="AX32" i="6"/>
  <c r="AY32" i="6"/>
  <c r="AZ32" i="6"/>
  <c r="BA32" i="6"/>
  <c r="BB32" i="6"/>
  <c r="BC32" i="6"/>
  <c r="D91" i="6"/>
  <c r="Y84" i="6"/>
  <c r="Y85" i="6"/>
  <c r="Y4" i="6"/>
  <c r="Y13" i="6"/>
  <c r="Y7" i="6"/>
  <c r="Y5" i="6"/>
  <c r="Y29" i="6"/>
  <c r="Y36" i="6"/>
  <c r="Y37" i="6"/>
  <c r="Y31" i="6"/>
  <c r="Y34" i="6"/>
  <c r="Y56" i="6"/>
  <c r="Y53" i="6"/>
  <c r="Y67" i="6"/>
  <c r="Y70" i="6"/>
  <c r="Y71" i="6"/>
  <c r="Y74" i="6"/>
  <c r="Y75" i="6"/>
  <c r="Y76" i="6"/>
  <c r="Y77" i="6"/>
  <c r="Y81" i="6"/>
  <c r="AO4" i="6"/>
  <c r="AO5" i="6"/>
  <c r="AO7" i="6"/>
  <c r="AO36" i="6"/>
  <c r="AO37" i="6"/>
  <c r="AO56" i="6"/>
  <c r="AO57" i="6"/>
  <c r="AO9" i="6"/>
  <c r="AO40" i="6"/>
  <c r="AO41" i="6"/>
  <c r="AO51" i="6"/>
  <c r="AO52" i="6"/>
  <c r="AO53" i="6"/>
  <c r="AO67" i="6"/>
  <c r="AO70" i="6"/>
  <c r="AO71" i="6"/>
  <c r="AO74" i="6"/>
  <c r="AO76" i="6"/>
  <c r="AO77" i="6"/>
  <c r="AO81" i="6"/>
  <c r="AC84" i="6"/>
  <c r="AS84" i="6" s="1"/>
  <c r="AD84" i="6"/>
  <c r="AT84" i="6" s="1"/>
  <c r="AE84" i="6"/>
  <c r="AU84" i="6" s="1"/>
  <c r="AF84" i="6"/>
  <c r="AV84" i="6" s="1"/>
  <c r="AG84" i="6"/>
  <c r="AG57" i="6"/>
  <c r="AH84" i="6"/>
  <c r="AX84" i="6" s="1"/>
  <c r="AI84" i="6"/>
  <c r="AY84" i="6" s="1"/>
  <c r="AJ84" i="6"/>
  <c r="AZ84" i="6" s="1"/>
  <c r="AJ57" i="6"/>
  <c r="AK84" i="6"/>
  <c r="BA84" i="6" s="1"/>
  <c r="AL84" i="6"/>
  <c r="BB84" i="6" s="1"/>
  <c r="AM57" i="6"/>
  <c r="AZ4" i="6"/>
  <c r="AZ5" i="6"/>
  <c r="BA4" i="6"/>
  <c r="BA5" i="6"/>
  <c r="BA7" i="6"/>
  <c r="M17" i="1" s="1"/>
  <c r="M18" i="1"/>
  <c r="BB4" i="6"/>
  <c r="BB5" i="6"/>
  <c r="BC4" i="6"/>
  <c r="BC5" i="6"/>
  <c r="AZ7" i="6"/>
  <c r="L17" i="1" s="1"/>
  <c r="BB7" i="6"/>
  <c r="N17" i="1" s="1"/>
  <c r="BC7" i="6"/>
  <c r="O17" i="1" s="1"/>
  <c r="L18" i="1"/>
  <c r="N18" i="1"/>
  <c r="AZ9" i="6"/>
  <c r="AJ81" i="6"/>
  <c r="AK81" i="6"/>
  <c r="AL81" i="6"/>
  <c r="BA9" i="6"/>
  <c r="BA81" i="6"/>
  <c r="BB9" i="6"/>
  <c r="BC9" i="6"/>
  <c r="BC81" i="6"/>
  <c r="AZ13" i="6"/>
  <c r="L22" i="1" s="1"/>
  <c r="BA13" i="6"/>
  <c r="M22" i="1" s="1"/>
  <c r="BB13" i="6"/>
  <c r="N22" i="1" s="1"/>
  <c r="BC13" i="6"/>
  <c r="O22" i="1" s="1"/>
  <c r="AM71" i="6"/>
  <c r="BC71" i="6"/>
  <c r="O23" i="1" s="1"/>
  <c r="AZ70" i="6"/>
  <c r="AJ71" i="6"/>
  <c r="AK71" i="6"/>
  <c r="AL71" i="6"/>
  <c r="BA70" i="6"/>
  <c r="BA71" i="6"/>
  <c r="AL70" i="6"/>
  <c r="AM70" i="6"/>
  <c r="L24" i="1"/>
  <c r="M24" i="1"/>
  <c r="N24" i="1"/>
  <c r="AZ29" i="6"/>
  <c r="AZ31" i="6"/>
  <c r="AZ34" i="6"/>
  <c r="BA29" i="6"/>
  <c r="BA31" i="6"/>
  <c r="BA34" i="6"/>
  <c r="BB29" i="6"/>
  <c r="BB31" i="6"/>
  <c r="BB34" i="6"/>
  <c r="BC29" i="6"/>
  <c r="BC31" i="6"/>
  <c r="BC34" i="6"/>
  <c r="AZ36" i="6"/>
  <c r="AZ37" i="6"/>
  <c r="AZ56" i="6"/>
  <c r="L48" i="1" s="1"/>
  <c r="AZ57" i="6"/>
  <c r="AZ40" i="6"/>
  <c r="AZ51" i="6"/>
  <c r="AZ41" i="6"/>
  <c r="AZ52" i="6"/>
  <c r="AZ53" i="6"/>
  <c r="L41" i="1" s="1"/>
  <c r="AZ67" i="6"/>
  <c r="AZ72" i="6"/>
  <c r="AZ74" i="6"/>
  <c r="AZ77" i="6"/>
  <c r="AJ85" i="6"/>
  <c r="AZ85" i="6" s="1"/>
  <c r="L47" i="1" s="1"/>
  <c r="BA36" i="6"/>
  <c r="BA37" i="6"/>
  <c r="BA56" i="6"/>
  <c r="M48" i="1" s="1"/>
  <c r="BA57" i="6"/>
  <c r="BA40" i="6"/>
  <c r="BA51" i="6"/>
  <c r="BA41" i="6"/>
  <c r="BA52" i="6"/>
  <c r="BA53" i="6"/>
  <c r="M41" i="1" s="1"/>
  <c r="BA67" i="6"/>
  <c r="AK72" i="6"/>
  <c r="AL72" i="6"/>
  <c r="AM72" i="6"/>
  <c r="BA74" i="6"/>
  <c r="BA75" i="6"/>
  <c r="BA77" i="6"/>
  <c r="AK75" i="6"/>
  <c r="AL75" i="6"/>
  <c r="AM75" i="6"/>
  <c r="BB36" i="6"/>
  <c r="BB37" i="6"/>
  <c r="BB56" i="6"/>
  <c r="N48" i="1" s="1"/>
  <c r="BB57" i="6"/>
  <c r="BB40" i="6"/>
  <c r="BB51" i="6"/>
  <c r="BB41" i="6"/>
  <c r="BB52" i="6"/>
  <c r="BB53" i="6"/>
  <c r="N41" i="1" s="1"/>
  <c r="BB67" i="6"/>
  <c r="AL74" i="6"/>
  <c r="AM74" i="6"/>
  <c r="AL76" i="6"/>
  <c r="AM76" i="6"/>
  <c r="AL77" i="6"/>
  <c r="AM77" i="6"/>
  <c r="BC36" i="6"/>
  <c r="BC37" i="6"/>
  <c r="BC56" i="6"/>
  <c r="O48" i="1" s="1"/>
  <c r="BC57" i="6"/>
  <c r="BC40" i="6"/>
  <c r="BC41" i="6"/>
  <c r="BC52" i="6"/>
  <c r="O40" i="1" s="1"/>
  <c r="BC53" i="6"/>
  <c r="O41" i="1" s="1"/>
  <c r="BC67" i="6"/>
  <c r="BC72" i="6"/>
  <c r="L33" i="1"/>
  <c r="M33" i="1"/>
  <c r="N33" i="1"/>
  <c r="AL85" i="6"/>
  <c r="BB85" i="6" s="1"/>
  <c r="N47" i="1" s="1"/>
  <c r="AM85" i="6"/>
  <c r="O49" i="2" s="1"/>
  <c r="AJ4" i="6"/>
  <c r="AJ5" i="6"/>
  <c r="AJ7" i="6"/>
  <c r="L19" i="2" s="1"/>
  <c r="L20" i="2"/>
  <c r="AJ13" i="6"/>
  <c r="L24" i="2" s="1"/>
  <c r="AJ70" i="6"/>
  <c r="AI70" i="6"/>
  <c r="AK70" i="6"/>
  <c r="AH71" i="6"/>
  <c r="AI71" i="6"/>
  <c r="L26" i="2"/>
  <c r="AJ29" i="6"/>
  <c r="AJ31" i="6"/>
  <c r="AJ34" i="6"/>
  <c r="AJ36" i="6"/>
  <c r="AJ37" i="6"/>
  <c r="AJ56" i="6"/>
  <c r="L50" i="2" s="1"/>
  <c r="AJ53" i="6"/>
  <c r="L43" i="2" s="1"/>
  <c r="AJ67" i="6"/>
  <c r="AJ72" i="6"/>
  <c r="AJ74" i="6"/>
  <c r="AJ75" i="6"/>
  <c r="AJ76" i="6"/>
  <c r="AJ77" i="6"/>
  <c r="L35" i="2"/>
  <c r="AK4" i="6"/>
  <c r="AK5" i="6"/>
  <c r="AL4" i="6"/>
  <c r="AL5" i="6"/>
  <c r="AM4" i="6"/>
  <c r="AM5" i="6"/>
  <c r="AC5" i="6"/>
  <c r="AG5" i="6"/>
  <c r="AH5" i="6"/>
  <c r="AI5" i="6"/>
  <c r="AR5" i="6"/>
  <c r="AS5" i="6"/>
  <c r="AT5" i="6"/>
  <c r="AU5" i="6"/>
  <c r="AV5" i="6"/>
  <c r="AW5" i="6"/>
  <c r="AX5" i="6"/>
  <c r="AY5" i="6"/>
  <c r="AK7" i="6"/>
  <c r="M19" i="2" s="1"/>
  <c r="AL7" i="6"/>
  <c r="N19" i="2" s="1"/>
  <c r="AM7" i="6"/>
  <c r="O19" i="2" s="1"/>
  <c r="M20" i="2"/>
  <c r="N20" i="2"/>
  <c r="AK13" i="6"/>
  <c r="M24" i="2" s="1"/>
  <c r="AL13" i="6"/>
  <c r="N24" i="2" s="1"/>
  <c r="N26" i="2"/>
  <c r="AM13" i="6"/>
  <c r="O24" i="2" s="1"/>
  <c r="M26" i="2"/>
  <c r="AL29" i="6"/>
  <c r="AL31" i="6"/>
  <c r="AL34" i="6"/>
  <c r="AL36" i="6"/>
  <c r="AL37" i="6"/>
  <c r="AL56" i="6"/>
  <c r="N50" i="2" s="1"/>
  <c r="AL53" i="6"/>
  <c r="N43" i="2" s="1"/>
  <c r="AL67" i="6"/>
  <c r="AK29" i="6"/>
  <c r="AK31" i="6"/>
  <c r="AK34" i="6"/>
  <c r="AM29" i="6"/>
  <c r="AM31" i="6"/>
  <c r="AM34" i="6"/>
  <c r="AK36" i="6"/>
  <c r="AK37" i="6"/>
  <c r="AK56" i="6"/>
  <c r="M50" i="2" s="1"/>
  <c r="AK53" i="6"/>
  <c r="M43" i="2" s="1"/>
  <c r="AK67" i="6"/>
  <c r="AK74" i="6"/>
  <c r="AK76" i="6"/>
  <c r="AK77" i="6"/>
  <c r="AM36" i="6"/>
  <c r="AM37" i="6"/>
  <c r="AM56" i="6"/>
  <c r="O50" i="2" s="1"/>
  <c r="AM53" i="6"/>
  <c r="O43" i="2" s="1"/>
  <c r="AM67" i="6"/>
  <c r="M35" i="2"/>
  <c r="N35" i="2"/>
  <c r="AH56" i="6"/>
  <c r="J50" i="2" s="1"/>
  <c r="AG56" i="6"/>
  <c r="I50" i="2" s="1"/>
  <c r="AF56" i="6"/>
  <c r="H50" i="2" s="1"/>
  <c r="AD56" i="6"/>
  <c r="AC56" i="6"/>
  <c r="AI85" i="6"/>
  <c r="AY85" i="6" s="1"/>
  <c r="K47" i="1" s="1"/>
  <c r="AH85" i="6"/>
  <c r="J49" i="2" s="1"/>
  <c r="AG85" i="6"/>
  <c r="AW85" i="6" s="1"/>
  <c r="I47" i="1" s="1"/>
  <c r="H49" i="2"/>
  <c r="AE85" i="6"/>
  <c r="AU85" i="6" s="1"/>
  <c r="AD85" i="6"/>
  <c r="AC85" i="6"/>
  <c r="AI72" i="6"/>
  <c r="AI74" i="6"/>
  <c r="AI75" i="6"/>
  <c r="AI76" i="6"/>
  <c r="AI77" i="6"/>
  <c r="AI81" i="6"/>
  <c r="AE72" i="6"/>
  <c r="AE74" i="6"/>
  <c r="AE75" i="6"/>
  <c r="AE76" i="6"/>
  <c r="AE77" i="6"/>
  <c r="AE70" i="6"/>
  <c r="AE71" i="6"/>
  <c r="AF81" i="6"/>
  <c r="AG81" i="6"/>
  <c r="AH81" i="6"/>
  <c r="AU81" i="6"/>
  <c r="K35" i="2"/>
  <c r="J35" i="2"/>
  <c r="I35" i="2"/>
  <c r="H35" i="2"/>
  <c r="AI36" i="6"/>
  <c r="AI37" i="6"/>
  <c r="AI13" i="6"/>
  <c r="K24" i="2" s="1"/>
  <c r="AI7" i="6"/>
  <c r="K19" i="2" s="1"/>
  <c r="K20" i="2"/>
  <c r="AI29" i="6"/>
  <c r="AI31" i="6"/>
  <c r="AI34" i="6"/>
  <c r="AI56" i="6"/>
  <c r="K50" i="2" s="1"/>
  <c r="AI53" i="6"/>
  <c r="K43" i="2" s="1"/>
  <c r="AI67" i="6"/>
  <c r="AH36" i="6"/>
  <c r="AH7" i="6"/>
  <c r="J19" i="2" s="1"/>
  <c r="AH29" i="6"/>
  <c r="AH37" i="6"/>
  <c r="AH31" i="6"/>
  <c r="AH34" i="6"/>
  <c r="AH53" i="6"/>
  <c r="J43" i="2" s="1"/>
  <c r="AH67" i="6"/>
  <c r="AH70" i="6"/>
  <c r="AH72" i="6"/>
  <c r="AH74" i="6"/>
  <c r="AH75" i="6"/>
  <c r="AH76" i="6"/>
  <c r="AH77" i="6"/>
  <c r="AG36" i="6"/>
  <c r="AG7" i="6"/>
  <c r="I19" i="2" s="1"/>
  <c r="AG29" i="6"/>
  <c r="AG37" i="6"/>
  <c r="AG31" i="6"/>
  <c r="AG34" i="6"/>
  <c r="AG53" i="6"/>
  <c r="I43" i="2" s="1"/>
  <c r="AG67" i="6"/>
  <c r="AG70" i="6"/>
  <c r="AG71" i="6"/>
  <c r="AG72" i="6"/>
  <c r="AG74" i="6"/>
  <c r="AG75" i="6"/>
  <c r="AD76" i="6"/>
  <c r="AF76" i="6"/>
  <c r="AG77" i="6"/>
  <c r="AF36" i="6"/>
  <c r="AF7" i="6"/>
  <c r="H19" i="2" s="1"/>
  <c r="AF29" i="6"/>
  <c r="AF37" i="6"/>
  <c r="AF31" i="6"/>
  <c r="AF34" i="6"/>
  <c r="AF53" i="6"/>
  <c r="H43" i="2" s="1"/>
  <c r="AF67" i="6"/>
  <c r="AF70" i="6"/>
  <c r="AF71" i="6"/>
  <c r="AF72" i="6"/>
  <c r="AF74" i="6"/>
  <c r="AF77" i="6"/>
  <c r="AE36" i="6"/>
  <c r="AE37" i="6"/>
  <c r="AE7" i="6"/>
  <c r="AE29" i="6"/>
  <c r="AE31" i="6"/>
  <c r="AE34" i="6"/>
  <c r="AE56" i="6"/>
  <c r="AE53" i="6"/>
  <c r="AE67" i="6"/>
  <c r="AD7" i="6"/>
  <c r="AD29" i="6"/>
  <c r="AD37" i="6"/>
  <c r="AD31" i="6"/>
  <c r="AD34" i="6"/>
  <c r="AD57" i="6"/>
  <c r="AD53" i="6"/>
  <c r="AD67" i="6"/>
  <c r="AD72" i="6"/>
  <c r="AD75" i="6"/>
  <c r="AD77" i="6"/>
  <c r="AC36" i="6"/>
  <c r="AC7" i="6"/>
  <c r="AC31" i="6"/>
  <c r="AC34" i="6"/>
  <c r="AC37" i="6"/>
  <c r="AC53" i="6"/>
  <c r="AC67" i="6"/>
  <c r="K26" i="2"/>
  <c r="J26" i="2"/>
  <c r="I26" i="2"/>
  <c r="H26" i="2"/>
  <c r="J20" i="2"/>
  <c r="I20" i="2"/>
  <c r="H20" i="2"/>
  <c r="AY57" i="6"/>
  <c r="AX57" i="6"/>
  <c r="AW57" i="6"/>
  <c r="AV57" i="6"/>
  <c r="AU57" i="6"/>
  <c r="AT57" i="6"/>
  <c r="AS57" i="6"/>
  <c r="AR57" i="6"/>
  <c r="AY56" i="6"/>
  <c r="K48" i="1" s="1"/>
  <c r="AX56" i="6"/>
  <c r="J48" i="1" s="1"/>
  <c r="AW56" i="6"/>
  <c r="I48" i="1" s="1"/>
  <c r="AV56" i="6"/>
  <c r="H48" i="1" s="1"/>
  <c r="AU56" i="6"/>
  <c r="AT56" i="6"/>
  <c r="AS56" i="6"/>
  <c r="AR56" i="6"/>
  <c r="AY72" i="6"/>
  <c r="AY76" i="6"/>
  <c r="AY4" i="6"/>
  <c r="AY13" i="6"/>
  <c r="K22" i="1" s="1"/>
  <c r="AY7" i="6"/>
  <c r="K17" i="1" s="1"/>
  <c r="AY29" i="6"/>
  <c r="AY36" i="6"/>
  <c r="AY37" i="6"/>
  <c r="AY31" i="6"/>
  <c r="AY34" i="6"/>
  <c r="AY9" i="6"/>
  <c r="AY81" i="6"/>
  <c r="AY40" i="6"/>
  <c r="AY41" i="6"/>
  <c r="AY51" i="6"/>
  <c r="AY52" i="6"/>
  <c r="AY53" i="6"/>
  <c r="K41" i="1" s="1"/>
  <c r="AY67" i="6"/>
  <c r="AY71" i="6"/>
  <c r="AW74" i="6"/>
  <c r="AW76" i="6"/>
  <c r="AW4" i="6"/>
  <c r="I16" i="1" s="1"/>
  <c r="AW7" i="6"/>
  <c r="I17" i="1" s="1"/>
  <c r="AW29" i="6"/>
  <c r="AW36" i="6"/>
  <c r="AW37" i="6"/>
  <c r="AW31" i="6"/>
  <c r="AW34" i="6"/>
  <c r="AW9" i="6"/>
  <c r="AW81" i="6"/>
  <c r="AW40" i="6"/>
  <c r="AW51" i="6"/>
  <c r="AW52" i="6"/>
  <c r="AW41" i="6"/>
  <c r="AW53" i="6"/>
  <c r="I41" i="1" s="1"/>
  <c r="AW67" i="6"/>
  <c r="AW70" i="6"/>
  <c r="AW71" i="6"/>
  <c r="AW77" i="6"/>
  <c r="AU72" i="6"/>
  <c r="AU4" i="6"/>
  <c r="AU7" i="6"/>
  <c r="AU29" i="6"/>
  <c r="AU36" i="6"/>
  <c r="AU37" i="6"/>
  <c r="AU31" i="6"/>
  <c r="AU34" i="6"/>
  <c r="AU9" i="6"/>
  <c r="AU40" i="6"/>
  <c r="AU51" i="6"/>
  <c r="AU41" i="6"/>
  <c r="AU52" i="6"/>
  <c r="AU53" i="6"/>
  <c r="AU67" i="6"/>
  <c r="AU71" i="6"/>
  <c r="AS76" i="6"/>
  <c r="AS4" i="6"/>
  <c r="AS7" i="6"/>
  <c r="AS70" i="6"/>
  <c r="AS9" i="6"/>
  <c r="AS81" i="6"/>
  <c r="AS29" i="6"/>
  <c r="AS31" i="6"/>
  <c r="AS34" i="6"/>
  <c r="AS36" i="6"/>
  <c r="AS37" i="6"/>
  <c r="AR37" i="6"/>
  <c r="AT37" i="6"/>
  <c r="AV37" i="6"/>
  <c r="AX37" i="6"/>
  <c r="AS40" i="6"/>
  <c r="AS51" i="6"/>
  <c r="AS41" i="6"/>
  <c r="AS52" i="6"/>
  <c r="AS53" i="6"/>
  <c r="AS67" i="6"/>
  <c r="AS77" i="6"/>
  <c r="AQ72" i="6"/>
  <c r="AQ75" i="6"/>
  <c r="AQ76" i="6"/>
  <c r="AQ67" i="6"/>
  <c r="AQ77" i="6"/>
  <c r="K33" i="1"/>
  <c r="J33" i="1"/>
  <c r="I33" i="1"/>
  <c r="H33" i="1"/>
  <c r="AX36" i="6"/>
  <c r="AX4" i="6"/>
  <c r="AX7" i="6"/>
  <c r="J17" i="1" s="1"/>
  <c r="AX29" i="6"/>
  <c r="AX31" i="6"/>
  <c r="AX34" i="6"/>
  <c r="AX9" i="6"/>
  <c r="AX40" i="6"/>
  <c r="AX51" i="6"/>
  <c r="AX41" i="6"/>
  <c r="AX52" i="6"/>
  <c r="AX53" i="6"/>
  <c r="J41" i="1" s="1"/>
  <c r="AX67" i="6"/>
  <c r="AX72" i="6"/>
  <c r="AV36" i="6"/>
  <c r="AV4" i="6"/>
  <c r="H16" i="1" s="1"/>
  <c r="H24" i="1"/>
  <c r="AV9" i="6"/>
  <c r="AV7" i="6"/>
  <c r="H17" i="1" s="1"/>
  <c r="H18" i="1"/>
  <c r="AV29" i="6"/>
  <c r="AV31" i="6"/>
  <c r="AV34" i="6"/>
  <c r="AV40" i="6"/>
  <c r="AV51" i="6"/>
  <c r="AV52" i="6"/>
  <c r="AV41" i="6"/>
  <c r="AV53" i="6"/>
  <c r="H41" i="1" s="1"/>
  <c r="AV67" i="6"/>
  <c r="AV72" i="6"/>
  <c r="AV74" i="6"/>
  <c r="AT36" i="6"/>
  <c r="AT4" i="6"/>
  <c r="AT7" i="6"/>
  <c r="AT29" i="6"/>
  <c r="AT31" i="6"/>
  <c r="AT34" i="6"/>
  <c r="AT9" i="6"/>
  <c r="AT40" i="6"/>
  <c r="AT51" i="6"/>
  <c r="AT41" i="6"/>
  <c r="AT52" i="6"/>
  <c r="AT53" i="6"/>
  <c r="AT67" i="6"/>
  <c r="AT72" i="6"/>
  <c r="AR36" i="6"/>
  <c r="AR4" i="6"/>
  <c r="AR7" i="6"/>
  <c r="AR29" i="6"/>
  <c r="AR31" i="6"/>
  <c r="AR34" i="6"/>
  <c r="AR9" i="6"/>
  <c r="AR40" i="6"/>
  <c r="AR51" i="6"/>
  <c r="AR52" i="6"/>
  <c r="AR53" i="6"/>
  <c r="AR41" i="6"/>
  <c r="AR67" i="6"/>
  <c r="AR70" i="6"/>
  <c r="AR72" i="6"/>
  <c r="AR77" i="6"/>
  <c r="K24" i="1"/>
  <c r="K18" i="1"/>
  <c r="J24" i="1"/>
  <c r="I24" i="1"/>
  <c r="J18" i="1"/>
  <c r="I18" i="1"/>
  <c r="A15" i="1"/>
  <c r="C50" i="1"/>
  <c r="G15" i="4"/>
  <c r="D16" i="3" s="1"/>
  <c r="C47" i="2"/>
  <c r="C52" i="2" s="1"/>
  <c r="E44" i="2"/>
  <c r="C44" i="2"/>
  <c r="R30" i="2"/>
  <c r="E32" i="2"/>
  <c r="E30" i="2"/>
  <c r="C32" i="2"/>
  <c r="R28" i="1"/>
  <c r="C30" i="2"/>
  <c r="E23" i="2"/>
  <c r="C23" i="2"/>
  <c r="G21" i="2"/>
  <c r="F21" i="2"/>
  <c r="E21" i="2"/>
  <c r="C21" i="2"/>
  <c r="C17" i="2"/>
  <c r="G17" i="2"/>
  <c r="D33" i="4"/>
  <c r="E33" i="4"/>
  <c r="F33" i="4"/>
  <c r="G33" i="4"/>
  <c r="G37" i="4" s="1"/>
  <c r="F37" i="4"/>
  <c r="E37" i="4"/>
  <c r="C37" i="4"/>
  <c r="C33" i="4"/>
  <c r="G16" i="4"/>
  <c r="D17" i="3" s="1"/>
  <c r="G17" i="3" s="1"/>
  <c r="G17" i="4"/>
  <c r="R21" i="1" s="1"/>
  <c r="E26" i="4"/>
  <c r="E23" i="4"/>
  <c r="E19" i="4"/>
  <c r="D13" i="4"/>
  <c r="C19" i="4"/>
  <c r="C29" i="4" s="1"/>
  <c r="C23" i="4"/>
  <c r="C26" i="4"/>
  <c r="F26" i="4"/>
  <c r="F23" i="4"/>
  <c r="F19" i="4"/>
  <c r="F29" i="4" s="1"/>
  <c r="D26" i="4"/>
  <c r="D23" i="4"/>
  <c r="D19" i="4"/>
  <c r="B10" i="4"/>
  <c r="C27" i="3"/>
  <c r="C24" i="3"/>
  <c r="C20" i="3"/>
  <c r="C15" i="3"/>
  <c r="D5" i="4"/>
  <c r="D4" i="4"/>
  <c r="D4" i="3"/>
  <c r="B12" i="5"/>
  <c r="B8" i="3" s="1"/>
  <c r="B8" i="4" s="1"/>
  <c r="F27" i="3"/>
  <c r="E27" i="3"/>
  <c r="F24" i="3"/>
  <c r="E24" i="3"/>
  <c r="F20" i="3"/>
  <c r="F15" i="3"/>
  <c r="E20" i="3"/>
  <c r="E15" i="3"/>
  <c r="D37" i="4"/>
  <c r="D21" i="3"/>
  <c r="G21" i="3" s="1"/>
  <c r="Y72" i="6"/>
  <c r="AW75" i="6"/>
  <c r="R19" i="1"/>
  <c r="R47" i="2"/>
  <c r="R52" i="2" s="1"/>
  <c r="G26" i="4"/>
  <c r="D28" i="3"/>
  <c r="D27" i="3" s="1"/>
  <c r="G23" i="4"/>
  <c r="D25" i="3"/>
  <c r="D24" i="3" s="1"/>
  <c r="AS75" i="6"/>
  <c r="R39" i="2"/>
  <c r="R44" i="2" s="1"/>
  <c r="R37" i="1"/>
  <c r="R42" i="1" s="1"/>
  <c r="AO75" i="6"/>
  <c r="D22" i="3"/>
  <c r="G22" i="3" s="1"/>
  <c r="AE57" i="6"/>
  <c r="AI57" i="6"/>
  <c r="AL57" i="6"/>
  <c r="F7" i="7"/>
  <c r="D7" i="7"/>
  <c r="E7" i="7"/>
  <c r="C7" i="7"/>
  <c r="G31" i="7"/>
  <c r="H31" i="7"/>
  <c r="H7" i="7"/>
  <c r="G7" i="7"/>
  <c r="H14" i="7"/>
  <c r="G14" i="7"/>
  <c r="F14" i="7"/>
  <c r="E14" i="7"/>
  <c r="C14" i="7"/>
  <c r="D14" i="7"/>
  <c r="D29" i="7"/>
  <c r="C29" i="7"/>
  <c r="F29" i="7"/>
  <c r="E29" i="7"/>
  <c r="F23" i="7"/>
  <c r="E23" i="7"/>
  <c r="D23" i="7"/>
  <c r="C23" i="7"/>
  <c r="E38" i="7"/>
  <c r="D38" i="7"/>
  <c r="C38" i="7"/>
  <c r="F12" i="7"/>
  <c r="E12" i="7"/>
  <c r="D12" i="7"/>
  <c r="C12" i="7"/>
  <c r="G12" i="7"/>
  <c r="H12" i="7"/>
  <c r="D31" i="7"/>
  <c r="F31" i="7"/>
  <c r="E31" i="7"/>
  <c r="C31" i="7"/>
  <c r="E37" i="7"/>
  <c r="C37" i="7"/>
  <c r="D37" i="7"/>
  <c r="H8" i="7"/>
  <c r="G8" i="7"/>
  <c r="E8" i="7"/>
  <c r="F8" i="7"/>
  <c r="C8" i="7"/>
  <c r="H23" i="7"/>
  <c r="G23" i="7"/>
  <c r="AM33" i="6"/>
  <c r="D97" i="6"/>
  <c r="AP57" i="6"/>
  <c r="D108" i="6"/>
  <c r="C36" i="7"/>
  <c r="Z33" i="6"/>
  <c r="AH33" i="6"/>
  <c r="AI33" i="6"/>
  <c r="AK33" i="6"/>
  <c r="AF33" i="6"/>
  <c r="AC57" i="6"/>
  <c r="AF57" i="6"/>
  <c r="Z57" i="6"/>
  <c r="Y57" i="6"/>
  <c r="AK57" i="6"/>
  <c r="Z32" i="6"/>
  <c r="AR32" i="6"/>
  <c r="Y32" i="6"/>
  <c r="AH57" i="6"/>
  <c r="AD32" i="6"/>
  <c r="AC33" i="6"/>
  <c r="AP81" i="6"/>
  <c r="AI32" i="6"/>
  <c r="AF32" i="6"/>
  <c r="AG32" i="6"/>
  <c r="AH32" i="6"/>
  <c r="AJ32" i="6"/>
  <c r="AC32" i="6"/>
  <c r="AX74" i="6"/>
  <c r="AL32" i="6"/>
  <c r="AE32" i="6"/>
  <c r="AK32" i="6"/>
  <c r="AM32" i="6"/>
  <c r="AP74" i="6"/>
  <c r="R17" i="2"/>
  <c r="R15" i="1"/>
  <c r="AX81" i="6"/>
  <c r="AT81" i="6"/>
  <c r="G19" i="4"/>
  <c r="R32" i="2"/>
  <c r="R30" i="1"/>
  <c r="AT74" i="6"/>
  <c r="AG33" i="6"/>
  <c r="AJ33" i="6"/>
  <c r="AV33" i="6"/>
  <c r="AD33" i="6"/>
  <c r="AL33" i="6"/>
  <c r="AE33" i="6"/>
  <c r="AP71" i="6"/>
  <c r="C21" i="7"/>
  <c r="D21" i="7"/>
  <c r="F38" i="7"/>
  <c r="H38" i="7"/>
  <c r="G38" i="7"/>
  <c r="H39" i="7"/>
  <c r="F39" i="7"/>
  <c r="G39" i="7"/>
  <c r="H30" i="7"/>
  <c r="G30" i="7"/>
  <c r="E47" i="2"/>
  <c r="E52" i="2" s="1"/>
  <c r="D36" i="7"/>
  <c r="C30" i="7"/>
  <c r="E30" i="7"/>
  <c r="D30" i="7"/>
  <c r="F30" i="7"/>
  <c r="D19" i="7"/>
  <c r="C19" i="7"/>
  <c r="E19" i="7"/>
  <c r="F23" i="2"/>
  <c r="E13" i="7"/>
  <c r="F6" i="7"/>
  <c r="E6" i="7"/>
  <c r="C6" i="7"/>
  <c r="D6" i="7"/>
  <c r="F22" i="7"/>
  <c r="D22" i="7"/>
  <c r="E22" i="7"/>
  <c r="C22" i="7"/>
  <c r="G29" i="7"/>
  <c r="H29" i="7"/>
  <c r="D13" i="7"/>
  <c r="C13" i="7"/>
  <c r="E39" i="7"/>
  <c r="C39" i="7"/>
  <c r="D39" i="7"/>
  <c r="G22" i="7"/>
  <c r="H22" i="7"/>
  <c r="E10" i="7"/>
  <c r="D10" i="7"/>
  <c r="C10" i="7"/>
  <c r="G6" i="7"/>
  <c r="H6" i="7"/>
  <c r="F37" i="7"/>
  <c r="G37" i="7"/>
  <c r="H37" i="7"/>
  <c r="G44" i="2"/>
  <c r="E28" i="7"/>
  <c r="C28" i="7"/>
  <c r="D28" i="7"/>
  <c r="G30" i="2"/>
  <c r="G23" i="2"/>
  <c r="G32" i="2"/>
  <c r="F44" i="2"/>
  <c r="G47" i="2"/>
  <c r="G52" i="2" s="1"/>
  <c r="F30" i="2"/>
  <c r="F47" i="2"/>
  <c r="F52" i="2" s="1"/>
  <c r="G10" i="7"/>
  <c r="E36" i="7"/>
  <c r="F13" i="7"/>
  <c r="F36" i="7"/>
  <c r="H36" i="7"/>
  <c r="H13" i="7"/>
  <c r="F19" i="7"/>
  <c r="G19" i="7"/>
  <c r="H19" i="7"/>
  <c r="F10" i="7"/>
  <c r="G36" i="7"/>
  <c r="H10" i="7"/>
  <c r="F28" i="7"/>
  <c r="G28" i="7"/>
  <c r="H28" i="7"/>
  <c r="G13" i="7"/>
  <c r="F32" i="2"/>
  <c r="G21" i="7"/>
  <c r="H21" i="7"/>
  <c r="F21" i="7"/>
  <c r="E21" i="7"/>
  <c r="D29" i="4" l="1"/>
  <c r="BE53" i="6"/>
  <c r="BE37" i="6"/>
  <c r="BE7" i="6"/>
  <c r="BE48" i="6"/>
  <c r="BE67" i="6"/>
  <c r="BE32" i="6"/>
  <c r="BE57" i="6"/>
  <c r="BE56" i="6"/>
  <c r="BE36" i="6"/>
  <c r="BE13" i="6"/>
  <c r="BE52" i="6"/>
  <c r="BE41" i="6"/>
  <c r="BE51" i="6"/>
  <c r="BE40" i="6"/>
  <c r="BE47" i="6"/>
  <c r="BE28" i="6"/>
  <c r="BE27" i="6"/>
  <c r="BE31" i="6"/>
  <c r="BE5" i="6"/>
  <c r="BE33" i="6"/>
  <c r="BE49" i="6"/>
  <c r="BE76" i="6"/>
  <c r="BE70" i="6"/>
  <c r="BE34" i="6"/>
  <c r="BE29" i="6"/>
  <c r="BE4" i="6"/>
  <c r="BE9" i="6"/>
  <c r="BE25" i="6"/>
  <c r="BE23" i="6"/>
  <c r="BE21" i="6"/>
  <c r="BE50" i="6"/>
  <c r="P46" i="1"/>
  <c r="P45" i="1" s="1"/>
  <c r="P50" i="1" s="1"/>
  <c r="P52" i="1" s="1"/>
  <c r="AO85" i="6"/>
  <c r="AW84" i="6"/>
  <c r="BA85" i="6"/>
  <c r="M47" i="1" s="1"/>
  <c r="O38" i="1"/>
  <c r="O37" i="1" s="1"/>
  <c r="O42" i="1" s="1"/>
  <c r="O32" i="1"/>
  <c r="AQ74" i="6"/>
  <c r="BE74" i="6" s="1"/>
  <c r="O16" i="1"/>
  <c r="O15" i="1" s="1"/>
  <c r="O21" i="1"/>
  <c r="O46" i="1"/>
  <c r="O20" i="1"/>
  <c r="O19" i="1" s="1"/>
  <c r="O31" i="1"/>
  <c r="O29" i="1"/>
  <c r="O28" i="1" s="1"/>
  <c r="O18" i="2"/>
  <c r="O17" i="2" s="1"/>
  <c r="O34" i="2"/>
  <c r="O25" i="2"/>
  <c r="O23" i="2" s="1"/>
  <c r="O33" i="2"/>
  <c r="O48" i="2"/>
  <c r="O40" i="2"/>
  <c r="O39" i="2" s="1"/>
  <c r="O44" i="2" s="1"/>
  <c r="R36" i="2"/>
  <c r="D20" i="3"/>
  <c r="G20" i="3" s="1"/>
  <c r="C30" i="3"/>
  <c r="E79" i="9"/>
  <c r="R50" i="1"/>
  <c r="M33" i="2"/>
  <c r="N33" i="2"/>
  <c r="AO84" i="6"/>
  <c r="C5" i="7"/>
  <c r="R34" i="1"/>
  <c r="F52" i="1"/>
  <c r="K18" i="2"/>
  <c r="K17" i="2" s="1"/>
  <c r="E64" i="9"/>
  <c r="F64" i="9" s="1"/>
  <c r="G29" i="4"/>
  <c r="BD5" i="9"/>
  <c r="BD14" i="9"/>
  <c r="BD15" i="9"/>
  <c r="BD19" i="9"/>
  <c r="BD24" i="9"/>
  <c r="BD27" i="9"/>
  <c r="BD32" i="9"/>
  <c r="BD38" i="9"/>
  <c r="BD47" i="9"/>
  <c r="U48" i="9"/>
  <c r="R25" i="1"/>
  <c r="E30" i="3"/>
  <c r="C27" i="2"/>
  <c r="E96" i="6"/>
  <c r="BD4" i="9"/>
  <c r="BD8" i="9"/>
  <c r="BD22" i="9"/>
  <c r="BD23" i="9"/>
  <c r="BD26" i="9"/>
  <c r="BD35" i="9"/>
  <c r="BD36" i="9"/>
  <c r="AV45" i="9"/>
  <c r="AR45" i="9"/>
  <c r="AN45" i="9"/>
  <c r="AX46" i="9"/>
  <c r="AT46" i="9"/>
  <c r="AP46" i="9"/>
  <c r="BD46" i="9" s="1"/>
  <c r="AO49" i="9"/>
  <c r="AY51" i="9"/>
  <c r="AU51" i="9"/>
  <c r="AQ51" i="9"/>
  <c r="U54" i="9"/>
  <c r="D74" i="9"/>
  <c r="D48" i="9"/>
  <c r="D1" i="9" s="1"/>
  <c r="R21" i="2"/>
  <c r="F30" i="3"/>
  <c r="E29" i="4"/>
  <c r="BD7" i="9"/>
  <c r="BD12" i="9"/>
  <c r="BD44" i="9"/>
  <c r="AC48" i="9"/>
  <c r="AS48" i="9" s="1"/>
  <c r="AS49" i="9"/>
  <c r="BD54" i="9"/>
  <c r="D64" i="9"/>
  <c r="BD6" i="9"/>
  <c r="BD10" i="9"/>
  <c r="BD11" i="9"/>
  <c r="BD16" i="9"/>
  <c r="BD20" i="9"/>
  <c r="BD33" i="9"/>
  <c r="BD40" i="9"/>
  <c r="AW43" i="9"/>
  <c r="AS43" i="9"/>
  <c r="AW49" i="9"/>
  <c r="B31" i="9"/>
  <c r="B28" i="9"/>
  <c r="B29" i="9"/>
  <c r="B30" i="9"/>
  <c r="B61" i="9"/>
  <c r="AM84" i="6"/>
  <c r="BC84" i="6" s="1"/>
  <c r="O49" i="1" s="1"/>
  <c r="D93" i="6"/>
  <c r="D94" i="6" s="1"/>
  <c r="Z15" i="6"/>
  <c r="AF15" i="6"/>
  <c r="H31" i="2" s="1"/>
  <c r="H30" i="2" s="1"/>
  <c r="AJ15" i="6"/>
  <c r="L31" i="2" s="1"/>
  <c r="L30" i="2" s="1"/>
  <c r="F5" i="7"/>
  <c r="C20" i="7"/>
  <c r="D95" i="6"/>
  <c r="D96" i="6" s="1"/>
  <c r="AC15" i="6"/>
  <c r="AG15" i="6"/>
  <c r="I31" i="2" s="1"/>
  <c r="I30" i="2" s="1"/>
  <c r="AK15" i="6"/>
  <c r="M31" i="2" s="1"/>
  <c r="M30" i="2" s="1"/>
  <c r="AD15" i="6"/>
  <c r="AH15" i="6"/>
  <c r="J31" i="2" s="1"/>
  <c r="J30" i="2" s="1"/>
  <c r="AL15" i="6"/>
  <c r="N31" i="2" s="1"/>
  <c r="N30" i="2" s="1"/>
  <c r="AQ15" i="6"/>
  <c r="Y15" i="6"/>
  <c r="AE15" i="6"/>
  <c r="AI15" i="6"/>
  <c r="K31" i="2" s="1"/>
  <c r="K30" i="2" s="1"/>
  <c r="AM15" i="6"/>
  <c r="O31" i="2" s="1"/>
  <c r="O30" i="2" s="1"/>
  <c r="AA15" i="6"/>
  <c r="L49" i="2"/>
  <c r="H15" i="1"/>
  <c r="H18" i="2"/>
  <c r="H17" i="2" s="1"/>
  <c r="I22" i="2"/>
  <c r="I21" i="2" s="1"/>
  <c r="N49" i="2"/>
  <c r="H51" i="2"/>
  <c r="D99" i="6"/>
  <c r="F99" i="6" s="1"/>
  <c r="N22" i="2"/>
  <c r="N21" i="2" s="1"/>
  <c r="M20" i="1"/>
  <c r="M19" i="1" s="1"/>
  <c r="M42" i="2"/>
  <c r="I42" i="2"/>
  <c r="M41" i="2"/>
  <c r="I41" i="2"/>
  <c r="J22" i="2"/>
  <c r="J21" i="2" s="1"/>
  <c r="I18" i="2"/>
  <c r="I17" i="2" s="1"/>
  <c r="M39" i="1"/>
  <c r="J41" i="2"/>
  <c r="K23" i="1"/>
  <c r="K21" i="1" s="1"/>
  <c r="M25" i="2"/>
  <c r="M23" i="2" s="1"/>
  <c r="M51" i="2"/>
  <c r="M49" i="2"/>
  <c r="H39" i="1"/>
  <c r="J16" i="1"/>
  <c r="J15" i="1" s="1"/>
  <c r="H22" i="2"/>
  <c r="H21" i="2" s="1"/>
  <c r="H41" i="2"/>
  <c r="L40" i="2"/>
  <c r="L42" i="2"/>
  <c r="H42" i="2"/>
  <c r="L41" i="2"/>
  <c r="F74" i="9"/>
  <c r="G16" i="3"/>
  <c r="BD37" i="9"/>
  <c r="BD45" i="9"/>
  <c r="BD51" i="9"/>
  <c r="F69" i="9"/>
  <c r="BD49" i="9"/>
  <c r="G28" i="3"/>
  <c r="G27" i="3" s="1"/>
  <c r="BC85" i="6"/>
  <c r="O47" i="1" s="1"/>
  <c r="R23" i="2"/>
  <c r="K16" i="1"/>
  <c r="K15" i="1" s="1"/>
  <c r="N18" i="2"/>
  <c r="N17" i="2" s="1"/>
  <c r="Z72" i="6"/>
  <c r="E94" i="6"/>
  <c r="AA75" i="6"/>
  <c r="BE75" i="6" s="1"/>
  <c r="AU18" i="9"/>
  <c r="AL18" i="9"/>
  <c r="AH18" i="9"/>
  <c r="AD18" i="9"/>
  <c r="Z18" i="9"/>
  <c r="AO43" i="9"/>
  <c r="BD43" i="9" s="1"/>
  <c r="AO48" i="9"/>
  <c r="BD48" i="9" s="1"/>
  <c r="AO55" i="9"/>
  <c r="BD55" i="9" s="1"/>
  <c r="AK18" i="9"/>
  <c r="AG18" i="9"/>
  <c r="AC18" i="9"/>
  <c r="Y18" i="9"/>
  <c r="U37" i="9"/>
  <c r="D57" i="9"/>
  <c r="D18" i="3"/>
  <c r="G18" i="3" s="1"/>
  <c r="F9" i="7"/>
  <c r="C36" i="2"/>
  <c r="G25" i="3"/>
  <c r="G24" i="3" s="1"/>
  <c r="I15" i="1"/>
  <c r="AJ18" i="9"/>
  <c r="AF18" i="9"/>
  <c r="AB18" i="9"/>
  <c r="B26" i="9"/>
  <c r="U49" i="9"/>
  <c r="J39" i="1"/>
  <c r="K20" i="1"/>
  <c r="K19" i="1" s="1"/>
  <c r="BA72" i="6"/>
  <c r="M46" i="1" s="1"/>
  <c r="J40" i="1"/>
  <c r="I40" i="1"/>
  <c r="K39" i="1"/>
  <c r="L25" i="2"/>
  <c r="L23" i="2" s="1"/>
  <c r="L29" i="1"/>
  <c r="L28" i="1" s="1"/>
  <c r="I25" i="2"/>
  <c r="I23" i="2" s="1"/>
  <c r="N16" i="1"/>
  <c r="N15" i="1" s="1"/>
  <c r="L48" i="2"/>
  <c r="H40" i="1"/>
  <c r="M40" i="1"/>
  <c r="K42" i="2"/>
  <c r="AT85" i="6"/>
  <c r="I20" i="1"/>
  <c r="I19" i="1" s="1"/>
  <c r="N40" i="1"/>
  <c r="L40" i="1"/>
  <c r="H46" i="1"/>
  <c r="B62" i="9"/>
  <c r="B27" i="9"/>
  <c r="B63" i="9"/>
  <c r="E27" i="2"/>
  <c r="B5" i="9"/>
  <c r="B6" i="9"/>
  <c r="E5" i="7"/>
  <c r="B7" i="9"/>
  <c r="B43" i="9"/>
  <c r="B59" i="9"/>
  <c r="C11" i="7"/>
  <c r="F27" i="2"/>
  <c r="B8" i="9"/>
  <c r="B40" i="9"/>
  <c r="B44" i="9"/>
  <c r="B51" i="9"/>
  <c r="B60" i="9"/>
  <c r="B70" i="9"/>
  <c r="E27" i="7"/>
  <c r="H5" i="7"/>
  <c r="D5" i="7"/>
  <c r="G5" i="7"/>
  <c r="C18" i="7"/>
  <c r="G36" i="2"/>
  <c r="G27" i="2"/>
  <c r="E36" i="2"/>
  <c r="F27" i="7"/>
  <c r="G27" i="7"/>
  <c r="D27" i="7"/>
  <c r="H27" i="7"/>
  <c r="C27" i="7"/>
  <c r="F36" i="2"/>
  <c r="G9" i="7"/>
  <c r="H9" i="7"/>
  <c r="J18" i="2"/>
  <c r="J17" i="2" s="1"/>
  <c r="I49" i="1"/>
  <c r="I38" i="1"/>
  <c r="K38" i="1"/>
  <c r="K49" i="2"/>
  <c r="N25" i="2"/>
  <c r="N23" i="2" s="1"/>
  <c r="K41" i="2"/>
  <c r="BE77" i="6"/>
  <c r="J23" i="1"/>
  <c r="J21" i="1" s="1"/>
  <c r="L18" i="2"/>
  <c r="L17" i="2" s="1"/>
  <c r="N42" i="2"/>
  <c r="J51" i="2"/>
  <c r="J20" i="1"/>
  <c r="J19" i="1" s="1"/>
  <c r="J33" i="2"/>
  <c r="M29" i="1"/>
  <c r="M28" i="1" s="1"/>
  <c r="J42" i="2"/>
  <c r="N41" i="2"/>
  <c r="N20" i="1"/>
  <c r="N19" i="1" s="1"/>
  <c r="J38" i="7"/>
  <c r="N51" i="2"/>
  <c r="K40" i="2"/>
  <c r="K48" i="2"/>
  <c r="M31" i="1"/>
  <c r="H29" i="1"/>
  <c r="H28" i="1" s="1"/>
  <c r="I51" i="2"/>
  <c r="H25" i="2"/>
  <c r="H23" i="2" s="1"/>
  <c r="L16" i="1"/>
  <c r="AV85" i="6"/>
  <c r="H47" i="1" s="1"/>
  <c r="I31" i="1"/>
  <c r="N23" i="1"/>
  <c r="N21" i="1" s="1"/>
  <c r="J49" i="1"/>
  <c r="L39" i="1"/>
  <c r="L33" i="2"/>
  <c r="J31" i="1"/>
  <c r="K40" i="1"/>
  <c r="M23" i="1"/>
  <c r="M21" i="1" s="1"/>
  <c r="L46" i="1"/>
  <c r="I48" i="2"/>
  <c r="AZ71" i="6"/>
  <c r="L23" i="1" s="1"/>
  <c r="L21" i="1" s="1"/>
  <c r="K25" i="2"/>
  <c r="K23" i="2" s="1"/>
  <c r="K51" i="2"/>
  <c r="N49" i="1"/>
  <c r="I23" i="1"/>
  <c r="I21" i="1" s="1"/>
  <c r="L34" i="2"/>
  <c r="J25" i="2"/>
  <c r="J23" i="2" s="1"/>
  <c r="M16" i="1"/>
  <c r="M15" i="1" s="1"/>
  <c r="M49" i="1"/>
  <c r="H31" i="1"/>
  <c r="K32" i="1"/>
  <c r="M22" i="2"/>
  <c r="M21" i="2" s="1"/>
  <c r="J40" i="2"/>
  <c r="H38" i="1"/>
  <c r="N34" i="2"/>
  <c r="L49" i="1"/>
  <c r="L22" i="2"/>
  <c r="L21" i="2" s="1"/>
  <c r="J29" i="1"/>
  <c r="J28" i="1" s="1"/>
  <c r="H33" i="2"/>
  <c r="K34" i="2"/>
  <c r="M18" i="2"/>
  <c r="M17" i="2" s="1"/>
  <c r="L32" i="1"/>
  <c r="N31" i="1"/>
  <c r="J32" i="1"/>
  <c r="K33" i="2"/>
  <c r="H49" i="1"/>
  <c r="N40" i="2"/>
  <c r="H40" i="2"/>
  <c r="M40" i="2"/>
  <c r="N38" i="1"/>
  <c r="L38" i="1"/>
  <c r="J38" i="1"/>
  <c r="K29" i="1"/>
  <c r="K28" i="1" s="1"/>
  <c r="I29" i="1"/>
  <c r="I28" i="1" s="1"/>
  <c r="J12" i="7"/>
  <c r="L31" i="1"/>
  <c r="H32" i="1"/>
  <c r="M32" i="1"/>
  <c r="I39" i="7"/>
  <c r="K31" i="1"/>
  <c r="J34" i="2"/>
  <c r="N48" i="2"/>
  <c r="N39" i="1"/>
  <c r="N32" i="1"/>
  <c r="M38" i="1"/>
  <c r="N29" i="1"/>
  <c r="N28" i="1" s="1"/>
  <c r="AY79" i="6"/>
  <c r="K49" i="1" s="1"/>
  <c r="AX85" i="6"/>
  <c r="J47" i="1" s="1"/>
  <c r="I14" i="7"/>
  <c r="I34" i="2"/>
  <c r="J48" i="2"/>
  <c r="I39" i="1"/>
  <c r="I32" i="1"/>
  <c r="I33" i="2"/>
  <c r="M34" i="2"/>
  <c r="L20" i="1"/>
  <c r="L19" i="1" s="1"/>
  <c r="I29" i="7"/>
  <c r="I40" i="2"/>
  <c r="I6" i="7"/>
  <c r="I13" i="7"/>
  <c r="M31" i="7"/>
  <c r="I49" i="2"/>
  <c r="K22" i="2"/>
  <c r="K21" i="2" s="1"/>
  <c r="AS85" i="6"/>
  <c r="AW72" i="6"/>
  <c r="I46" i="1" s="1"/>
  <c r="H20" i="1"/>
  <c r="H19" i="1" s="1"/>
  <c r="H48" i="2"/>
  <c r="H34" i="2"/>
  <c r="L51" i="2"/>
  <c r="M48" i="2"/>
  <c r="AV71" i="6"/>
  <c r="H23" i="1" s="1"/>
  <c r="F35" i="7"/>
  <c r="F18" i="7"/>
  <c r="D18" i="7"/>
  <c r="H18" i="7"/>
  <c r="G18" i="7"/>
  <c r="E18" i="7"/>
  <c r="G35" i="7"/>
  <c r="D9" i="7"/>
  <c r="D35" i="7"/>
  <c r="H35" i="7"/>
  <c r="C35" i="7"/>
  <c r="E35" i="7"/>
  <c r="E9" i="7"/>
  <c r="C9" i="7"/>
  <c r="D20" i="7"/>
  <c r="G20" i="7"/>
  <c r="E20" i="7"/>
  <c r="F20" i="7"/>
  <c r="H20" i="7"/>
  <c r="C32" i="7"/>
  <c r="G32" i="7"/>
  <c r="E32" i="7"/>
  <c r="F32" i="7"/>
  <c r="H32" i="7"/>
  <c r="D32" i="7"/>
  <c r="I21" i="7"/>
  <c r="P38" i="7"/>
  <c r="I10" i="7"/>
  <c r="K23" i="7"/>
  <c r="L38" i="7"/>
  <c r="R38" i="7"/>
  <c r="I23" i="7"/>
  <c r="J23" i="7"/>
  <c r="D104" i="6"/>
  <c r="F104" i="6" s="1"/>
  <c r="M7" i="7"/>
  <c r="O12" i="7"/>
  <c r="N7" i="7"/>
  <c r="L14" i="7"/>
  <c r="J14" i="7"/>
  <c r="K14" i="7"/>
  <c r="S7" i="7"/>
  <c r="Q48" i="1"/>
  <c r="I37" i="7"/>
  <c r="Q26" i="2"/>
  <c r="Q7" i="7"/>
  <c r="I30" i="7"/>
  <c r="J7" i="7"/>
  <c r="M14" i="7"/>
  <c r="P7" i="7"/>
  <c r="Q18" i="1"/>
  <c r="Q33" i="1"/>
  <c r="S31" i="7"/>
  <c r="Q22" i="1"/>
  <c r="K7" i="7"/>
  <c r="M8" i="7"/>
  <c r="J8" i="7"/>
  <c r="P8" i="7"/>
  <c r="N8" i="7"/>
  <c r="S8" i="7"/>
  <c r="K8" i="7"/>
  <c r="L8" i="7"/>
  <c r="Q20" i="2"/>
  <c r="O8" i="7"/>
  <c r="I8" i="7"/>
  <c r="Q8" i="7"/>
  <c r="Q23" i="7"/>
  <c r="O23" i="7"/>
  <c r="P23" i="7"/>
  <c r="R23" i="7"/>
  <c r="S23" i="7"/>
  <c r="L23" i="7"/>
  <c r="N23" i="7"/>
  <c r="M23" i="7"/>
  <c r="Q35" i="2"/>
  <c r="N38" i="7"/>
  <c r="I38" i="7"/>
  <c r="Q38" i="7"/>
  <c r="Q50" i="2"/>
  <c r="O38" i="7"/>
  <c r="S38" i="7"/>
  <c r="K38" i="7"/>
  <c r="M38" i="7"/>
  <c r="R8" i="7"/>
  <c r="I28" i="7"/>
  <c r="P14" i="7"/>
  <c r="S14" i="7"/>
  <c r="Q14" i="7"/>
  <c r="O14" i="7"/>
  <c r="Q24" i="1"/>
  <c r="L31" i="7"/>
  <c r="J31" i="7"/>
  <c r="N31" i="7"/>
  <c r="K31" i="7"/>
  <c r="R31" i="7"/>
  <c r="Q31" i="7"/>
  <c r="O31" i="7"/>
  <c r="P31" i="7"/>
  <c r="I31" i="7"/>
  <c r="R14" i="7"/>
  <c r="Q41" i="1"/>
  <c r="P12" i="7"/>
  <c r="I12" i="7"/>
  <c r="L12" i="7"/>
  <c r="Q24" i="2"/>
  <c r="K12" i="7"/>
  <c r="N12" i="7"/>
  <c r="S12" i="7"/>
  <c r="M12" i="7"/>
  <c r="R12" i="7"/>
  <c r="Q12" i="7"/>
  <c r="Q43" i="2"/>
  <c r="O7" i="7"/>
  <c r="I7" i="7"/>
  <c r="R7" i="7"/>
  <c r="L7" i="7"/>
  <c r="Q17" i="1"/>
  <c r="Q19" i="2"/>
  <c r="N14" i="7"/>
  <c r="BE85" i="6" l="1"/>
  <c r="BE72" i="6"/>
  <c r="BE79" i="6"/>
  <c r="BE84" i="6"/>
  <c r="BE15" i="6"/>
  <c r="BE71" i="6"/>
  <c r="BE78" i="6"/>
  <c r="O30" i="1"/>
  <c r="O34" i="1" s="1"/>
  <c r="H39" i="2"/>
  <c r="H44" i="2" s="1"/>
  <c r="O45" i="1"/>
  <c r="O50" i="1" s="1"/>
  <c r="O25" i="1"/>
  <c r="O32" i="2"/>
  <c r="O36" i="2" s="1"/>
  <c r="O51" i="2"/>
  <c r="O47" i="2" s="1"/>
  <c r="O52" i="2" s="1"/>
  <c r="R19" i="7"/>
  <c r="R9" i="7"/>
  <c r="N10" i="7"/>
  <c r="Q18" i="2"/>
  <c r="Q17" i="2" s="1"/>
  <c r="S17" i="2" s="1"/>
  <c r="R27" i="2"/>
  <c r="R54" i="2" s="1"/>
  <c r="R52" i="1"/>
  <c r="H37" i="1"/>
  <c r="H42" i="1" s="1"/>
  <c r="C52" i="1"/>
  <c r="F40" i="7"/>
  <c r="D52" i="1"/>
  <c r="C54" i="2"/>
  <c r="F96" i="6"/>
  <c r="BD18" i="9"/>
  <c r="D15" i="3"/>
  <c r="G15" i="3" s="1"/>
  <c r="G30" i="3" s="1"/>
  <c r="D75" i="9"/>
  <c r="D79" i="9" s="1"/>
  <c r="F79" i="9" s="1"/>
  <c r="C24" i="7"/>
  <c r="K46" i="1"/>
  <c r="K45" i="1" s="1"/>
  <c r="K50" i="1" s="1"/>
  <c r="G24" i="7"/>
  <c r="M30" i="1"/>
  <c r="M34" i="1" s="1"/>
  <c r="F94" i="6"/>
  <c r="H24" i="7"/>
  <c r="M39" i="2"/>
  <c r="M44" i="2" s="1"/>
  <c r="H47" i="2"/>
  <c r="H52" i="2" s="1"/>
  <c r="G54" i="2"/>
  <c r="N30" i="1"/>
  <c r="N34" i="1" s="1"/>
  <c r="I39" i="2"/>
  <c r="I44" i="2" s="1"/>
  <c r="J6" i="7"/>
  <c r="F54" i="2"/>
  <c r="E54" i="2"/>
  <c r="J32" i="2"/>
  <c r="J29" i="7"/>
  <c r="I30" i="1"/>
  <c r="I34" i="1" s="1"/>
  <c r="D105" i="6"/>
  <c r="N46" i="1"/>
  <c r="N45" i="1" s="1"/>
  <c r="N50" i="1" s="1"/>
  <c r="K39" i="2"/>
  <c r="K44" i="2" s="1"/>
  <c r="L39" i="2"/>
  <c r="L44" i="2" s="1"/>
  <c r="M32" i="2"/>
  <c r="M36" i="2" s="1"/>
  <c r="I37" i="1"/>
  <c r="I42" i="1" s="1"/>
  <c r="N47" i="2"/>
  <c r="N52" i="2" s="1"/>
  <c r="K6" i="7"/>
  <c r="O30" i="7"/>
  <c r="J39" i="7"/>
  <c r="L39" i="7"/>
  <c r="I47" i="2"/>
  <c r="I52" i="2" s="1"/>
  <c r="K39" i="7"/>
  <c r="N39" i="7"/>
  <c r="D30" i="3"/>
  <c r="Q16" i="1"/>
  <c r="E24" i="7"/>
  <c r="F24" i="7"/>
  <c r="G40" i="7"/>
  <c r="D24" i="7"/>
  <c r="H30" i="1"/>
  <c r="H34" i="1" s="1"/>
  <c r="L27" i="2"/>
  <c r="K30" i="7"/>
  <c r="J30" i="7"/>
  <c r="R30" i="7"/>
  <c r="J37" i="1"/>
  <c r="J42" i="1" s="1"/>
  <c r="K30" i="1"/>
  <c r="K34" i="1" s="1"/>
  <c r="I45" i="1"/>
  <c r="I50" i="1" s="1"/>
  <c r="H45" i="1"/>
  <c r="J39" i="2"/>
  <c r="J44" i="2" s="1"/>
  <c r="L37" i="1"/>
  <c r="L42" i="1" s="1"/>
  <c r="N39" i="2"/>
  <c r="N44" i="2" s="1"/>
  <c r="J25" i="1"/>
  <c r="K47" i="2"/>
  <c r="K52" i="2" s="1"/>
  <c r="K36" i="7"/>
  <c r="L15" i="1"/>
  <c r="L25" i="1" s="1"/>
  <c r="E40" i="7"/>
  <c r="L30" i="1"/>
  <c r="L34" i="1" s="1"/>
  <c r="M25" i="1"/>
  <c r="N25" i="1"/>
  <c r="Q31" i="1"/>
  <c r="J19" i="7"/>
  <c r="H32" i="2"/>
  <c r="H36" i="2" s="1"/>
  <c r="O39" i="7"/>
  <c r="P30" i="7"/>
  <c r="J13" i="7"/>
  <c r="K10" i="7"/>
  <c r="M39" i="7"/>
  <c r="J10" i="7"/>
  <c r="P39" i="7"/>
  <c r="N30" i="7"/>
  <c r="N27" i="2"/>
  <c r="M30" i="7"/>
  <c r="K25" i="1"/>
  <c r="N32" i="2"/>
  <c r="N36" i="2" s="1"/>
  <c r="M28" i="7"/>
  <c r="J27" i="2"/>
  <c r="K27" i="2"/>
  <c r="M45" i="1"/>
  <c r="M50" i="1" s="1"/>
  <c r="S30" i="7"/>
  <c r="I32" i="2"/>
  <c r="I36" i="2" s="1"/>
  <c r="Q42" i="2"/>
  <c r="L30" i="7"/>
  <c r="Q39" i="7"/>
  <c r="P6" i="7"/>
  <c r="K32" i="2"/>
  <c r="K36" i="2" s="1"/>
  <c r="L45" i="1"/>
  <c r="L50" i="1" s="1"/>
  <c r="Q30" i="7"/>
  <c r="Q49" i="1"/>
  <c r="N37" i="1"/>
  <c r="N42" i="1" s="1"/>
  <c r="Q37" i="7"/>
  <c r="L10" i="7"/>
  <c r="N19" i="7"/>
  <c r="K28" i="7"/>
  <c r="L28" i="7"/>
  <c r="J28" i="7"/>
  <c r="O6" i="7"/>
  <c r="H27" i="2"/>
  <c r="Q32" i="1"/>
  <c r="R39" i="7"/>
  <c r="Q49" i="2"/>
  <c r="N28" i="7"/>
  <c r="S37" i="7"/>
  <c r="Q40" i="1"/>
  <c r="K21" i="7"/>
  <c r="R28" i="7"/>
  <c r="Q33" i="2"/>
  <c r="P28" i="7"/>
  <c r="N37" i="7"/>
  <c r="Q40" i="2"/>
  <c r="I27" i="2"/>
  <c r="M22" i="7"/>
  <c r="Q38" i="1"/>
  <c r="B38" i="7"/>
  <c r="Q28" i="7"/>
  <c r="L37" i="7"/>
  <c r="K37" i="1"/>
  <c r="K42" i="1" s="1"/>
  <c r="K22" i="7"/>
  <c r="J22" i="7"/>
  <c r="Q29" i="1"/>
  <c r="Q28" i="1" s="1"/>
  <c r="O28" i="7"/>
  <c r="P37" i="7"/>
  <c r="M27" i="2"/>
  <c r="J46" i="1"/>
  <c r="J45" i="1" s="1"/>
  <c r="J50" i="1" s="1"/>
  <c r="J37" i="7"/>
  <c r="I36" i="7"/>
  <c r="K37" i="7"/>
  <c r="Q34" i="2"/>
  <c r="J36" i="7"/>
  <c r="L32" i="2"/>
  <c r="L36" i="2" s="1"/>
  <c r="O37" i="7"/>
  <c r="M37" i="7"/>
  <c r="Q47" i="1"/>
  <c r="R37" i="7"/>
  <c r="P29" i="7"/>
  <c r="P21" i="7"/>
  <c r="L47" i="2"/>
  <c r="L52" i="2" s="1"/>
  <c r="O29" i="7"/>
  <c r="I25" i="1"/>
  <c r="S28" i="7"/>
  <c r="B8" i="7"/>
  <c r="J30" i="1"/>
  <c r="J34" i="1" s="1"/>
  <c r="Q21" i="7"/>
  <c r="N21" i="7"/>
  <c r="Q29" i="7"/>
  <c r="M37" i="1"/>
  <c r="M42" i="1" s="1"/>
  <c r="R22" i="7"/>
  <c r="J47" i="2"/>
  <c r="J52" i="2" s="1"/>
  <c r="S39" i="7"/>
  <c r="I22" i="7"/>
  <c r="M29" i="7"/>
  <c r="O22" i="7"/>
  <c r="Q20" i="1"/>
  <c r="Q19" i="1" s="1"/>
  <c r="O21" i="7"/>
  <c r="Q25" i="2"/>
  <c r="Q23" i="2" s="1"/>
  <c r="Q39" i="1"/>
  <c r="N29" i="7"/>
  <c r="S22" i="7"/>
  <c r="R29" i="7"/>
  <c r="S29" i="7"/>
  <c r="J21" i="7"/>
  <c r="N6" i="7"/>
  <c r="M47" i="2"/>
  <c r="M52" i="2" s="1"/>
  <c r="K29" i="7"/>
  <c r="L6" i="7"/>
  <c r="R6" i="7"/>
  <c r="L22" i="7"/>
  <c r="Q22" i="7"/>
  <c r="R21" i="7"/>
  <c r="M21" i="7"/>
  <c r="M6" i="7"/>
  <c r="P22" i="7"/>
  <c r="Q48" i="2"/>
  <c r="L21" i="7"/>
  <c r="Q6" i="7"/>
  <c r="L19" i="7"/>
  <c r="S21" i="7"/>
  <c r="N18" i="7"/>
  <c r="I19" i="7"/>
  <c r="S6" i="7"/>
  <c r="L29" i="7"/>
  <c r="Q41" i="2"/>
  <c r="K19" i="7"/>
  <c r="N22" i="7"/>
  <c r="H21" i="1"/>
  <c r="H25" i="1" s="1"/>
  <c r="C40" i="7"/>
  <c r="H40" i="7"/>
  <c r="D40" i="7"/>
  <c r="C15" i="7"/>
  <c r="B23" i="7"/>
  <c r="B31" i="7"/>
  <c r="I20" i="7"/>
  <c r="I27" i="7"/>
  <c r="I5" i="7"/>
  <c r="J5" i="7"/>
  <c r="K5" i="7"/>
  <c r="B12" i="7"/>
  <c r="I9" i="7"/>
  <c r="B7" i="7"/>
  <c r="I35" i="7"/>
  <c r="B14" i="7"/>
  <c r="Q37" i="1" l="1"/>
  <c r="Q39" i="2"/>
  <c r="Q44" i="2" s="1"/>
  <c r="H50" i="1"/>
  <c r="H52" i="1" s="1"/>
  <c r="Q45" i="1"/>
  <c r="Q15" i="1"/>
  <c r="B5" i="7" s="1"/>
  <c r="B6" i="7"/>
  <c r="O52" i="1"/>
  <c r="Q32" i="2"/>
  <c r="Q19" i="7"/>
  <c r="O19" i="7"/>
  <c r="S19" i="7"/>
  <c r="Q31" i="2"/>
  <c r="Q30" i="2" s="1"/>
  <c r="S30" i="2" s="1"/>
  <c r="M19" i="7"/>
  <c r="P19" i="7"/>
  <c r="N24" i="7"/>
  <c r="P20" i="7"/>
  <c r="O10" i="7"/>
  <c r="S10" i="7"/>
  <c r="P10" i="7"/>
  <c r="M10" i="7"/>
  <c r="R10" i="7"/>
  <c r="S5" i="7"/>
  <c r="Q10" i="7"/>
  <c r="Q30" i="1"/>
  <c r="Q34" i="1" s="1"/>
  <c r="J36" i="2"/>
  <c r="J54" i="2" s="1"/>
  <c r="K13" i="7"/>
  <c r="L13" i="7"/>
  <c r="O13" i="7"/>
  <c r="P13" i="7"/>
  <c r="Q23" i="1"/>
  <c r="M13" i="7"/>
  <c r="Q13" i="7"/>
  <c r="R13" i="7"/>
  <c r="N13" i="7"/>
  <c r="S13" i="7"/>
  <c r="Q51" i="2"/>
  <c r="B39" i="7" s="1"/>
  <c r="B30" i="7"/>
  <c r="H54" i="2"/>
  <c r="B17" i="5" s="1"/>
  <c r="K52" i="1"/>
  <c r="N54" i="2"/>
  <c r="B21" i="7"/>
  <c r="K54" i="2"/>
  <c r="B37" i="7"/>
  <c r="B22" i="7"/>
  <c r="I54" i="2"/>
  <c r="I52" i="1"/>
  <c r="L52" i="1"/>
  <c r="B28" i="7"/>
  <c r="Q42" i="1"/>
  <c r="J35" i="7"/>
  <c r="K9" i="7"/>
  <c r="L36" i="7"/>
  <c r="O35" i="7"/>
  <c r="N36" i="7"/>
  <c r="M36" i="7"/>
  <c r="M52" i="1"/>
  <c r="J52" i="1"/>
  <c r="N52" i="1"/>
  <c r="Q9" i="7"/>
  <c r="J9" i="7"/>
  <c r="P9" i="7"/>
  <c r="O9" i="7"/>
  <c r="M9" i="7"/>
  <c r="N9" i="7"/>
  <c r="S9" i="7"/>
  <c r="L9" i="7"/>
  <c r="L54" i="2"/>
  <c r="J27" i="7"/>
  <c r="M18" i="7"/>
  <c r="K20" i="7"/>
  <c r="Q47" i="2"/>
  <c r="Q52" i="2" s="1"/>
  <c r="L20" i="7"/>
  <c r="P18" i="7"/>
  <c r="P36" i="7"/>
  <c r="S36" i="7"/>
  <c r="O36" i="7"/>
  <c r="Q46" i="1"/>
  <c r="B36" i="7" s="1"/>
  <c r="Q27" i="7"/>
  <c r="O27" i="7"/>
  <c r="J24" i="7"/>
  <c r="Q36" i="7"/>
  <c r="P27" i="7"/>
  <c r="R27" i="7"/>
  <c r="O18" i="7"/>
  <c r="L18" i="7"/>
  <c r="K27" i="7"/>
  <c r="R18" i="7"/>
  <c r="R36" i="7"/>
  <c r="M54" i="2"/>
  <c r="S18" i="7"/>
  <c r="S27" i="7"/>
  <c r="N27" i="7"/>
  <c r="B29" i="7"/>
  <c r="S23" i="2"/>
  <c r="J20" i="7"/>
  <c r="K32" i="7"/>
  <c r="J18" i="7"/>
  <c r="Q18" i="7"/>
  <c r="I18" i="7"/>
  <c r="K18" i="7"/>
  <c r="L5" i="7"/>
  <c r="L27" i="7"/>
  <c r="M27" i="7"/>
  <c r="J32" i="7"/>
  <c r="O32" i="7"/>
  <c r="M32" i="7"/>
  <c r="L32" i="7"/>
  <c r="N32" i="7"/>
  <c r="R32" i="7"/>
  <c r="I32" i="7"/>
  <c r="S32" i="7"/>
  <c r="K24" i="7"/>
  <c r="I24" i="7"/>
  <c r="Q32" i="7"/>
  <c r="I40" i="7"/>
  <c r="J40" i="7"/>
  <c r="P32" i="7"/>
  <c r="S28" i="1"/>
  <c r="S19" i="1"/>
  <c r="S15" i="1" l="1"/>
  <c r="M24" i="7"/>
  <c r="N20" i="7"/>
  <c r="R20" i="7"/>
  <c r="O20" i="7"/>
  <c r="M20" i="7"/>
  <c r="S20" i="7"/>
  <c r="B18" i="7"/>
  <c r="Q20" i="7"/>
  <c r="B19" i="7"/>
  <c r="Q36" i="2"/>
  <c r="B21" i="5"/>
  <c r="O5" i="7"/>
  <c r="N5" i="7"/>
  <c r="M5" i="7"/>
  <c r="Q5" i="7"/>
  <c r="P5" i="7"/>
  <c r="R5" i="7"/>
  <c r="Q21" i="1"/>
  <c r="Q25" i="1" s="1"/>
  <c r="R24" i="7"/>
  <c r="O24" i="7"/>
  <c r="P24" i="7"/>
  <c r="B13" i="7"/>
  <c r="S32" i="2"/>
  <c r="S36" i="2" s="1"/>
  <c r="S37" i="1"/>
  <c r="S42" i="1" s="1"/>
  <c r="S47" i="2"/>
  <c r="S52" i="2" s="1"/>
  <c r="S30" i="1"/>
  <c r="S34" i="1" s="1"/>
  <c r="B20" i="7"/>
  <c r="N35" i="7"/>
  <c r="Q35" i="7"/>
  <c r="L35" i="7"/>
  <c r="R35" i="7"/>
  <c r="P35" i="7"/>
  <c r="M35" i="7"/>
  <c r="Q50" i="1"/>
  <c r="S35" i="7"/>
  <c r="K35" i="7"/>
  <c r="S24" i="7"/>
  <c r="L24" i="7"/>
  <c r="Q24" i="7"/>
  <c r="S39" i="2"/>
  <c r="S44" i="2" s="1"/>
  <c r="B27" i="7"/>
  <c r="B32" i="7"/>
  <c r="B11" i="7" l="1"/>
  <c r="B24" i="7"/>
  <c r="S21" i="1"/>
  <c r="S25" i="1" s="1"/>
  <c r="Q52" i="1"/>
  <c r="B40" i="7"/>
  <c r="S45" i="1"/>
  <c r="S50" i="1" s="1"/>
  <c r="B35" i="7"/>
  <c r="P40" i="7"/>
  <c r="N40" i="7"/>
  <c r="Q40" i="7"/>
  <c r="L40" i="7"/>
  <c r="R40" i="7"/>
  <c r="M40" i="7"/>
  <c r="O40" i="7"/>
  <c r="S40" i="7"/>
  <c r="K40" i="7"/>
  <c r="S52" i="1" l="1"/>
  <c r="G11" i="7"/>
  <c r="H11" i="7"/>
  <c r="M11" i="7"/>
  <c r="L11" i="7"/>
  <c r="D11" i="7"/>
  <c r="I11" i="7"/>
  <c r="P11" i="7"/>
  <c r="S11" i="7"/>
  <c r="E11" i="7"/>
  <c r="J11" i="7"/>
  <c r="K11" i="7"/>
  <c r="Q11" i="7"/>
  <c r="F11" i="7"/>
  <c r="O11" i="7"/>
  <c r="R11" i="7"/>
  <c r="N11" i="7"/>
  <c r="D27" i="2"/>
  <c r="H15" i="7" s="1"/>
  <c r="S15" i="7" l="1"/>
  <c r="J15" i="7"/>
  <c r="F15" i="7"/>
  <c r="D54" i="2"/>
  <c r="E15" i="7"/>
  <c r="I15" i="7"/>
  <c r="D15" i="7"/>
  <c r="O15" i="7"/>
  <c r="P15" i="7"/>
  <c r="G15" i="7"/>
  <c r="K15" i="7"/>
  <c r="Q15" i="7"/>
  <c r="R15" i="7"/>
  <c r="L15" i="7"/>
  <c r="N15" i="7"/>
  <c r="M15" i="7"/>
  <c r="AM81" i="6" l="1"/>
  <c r="BE81" i="6" s="1"/>
  <c r="O22" i="2" l="1"/>
  <c r="Q22" i="2" s="1"/>
  <c r="B10" i="7" s="1"/>
  <c r="O21" i="2" l="1"/>
  <c r="O27" i="2" s="1"/>
  <c r="O54" i="2" s="1"/>
  <c r="Q21" i="2"/>
  <c r="B9" i="7" s="1"/>
  <c r="Q27" i="2" l="1"/>
  <c r="B15" i="7" s="1"/>
  <c r="S21" i="2"/>
  <c r="S27" i="2" s="1"/>
  <c r="S54" i="2" s="1"/>
  <c r="Q54" i="2" l="1"/>
  <c r="D1" i="6" l="1"/>
  <c r="D87" i="6"/>
  <c r="D106" i="6"/>
  <c r="D109" i="6" s="1"/>
  <c r="F109" i="6" s="1"/>
</calcChain>
</file>

<file path=xl/comments1.xml><?xml version="1.0" encoding="utf-8"?>
<comments xmlns="http://schemas.openxmlformats.org/spreadsheetml/2006/main">
  <authors>
    <author>Josue Andreé Ricart Vásquez</author>
  </authors>
  <commentList>
    <comment ref="C4" authorId="0" shapeId="0">
      <text>
        <r>
          <rPr>
            <b/>
            <sz val="9"/>
            <color indexed="81"/>
            <rFont val="Tahoma"/>
            <family val="2"/>
          </rPr>
          <t>Josue Andreé Ricart Vásquez:</t>
        </r>
        <r>
          <rPr>
            <sz val="9"/>
            <color indexed="81"/>
            <rFont val="Tahoma"/>
            <family val="2"/>
          </rPr>
          <t xml:space="preserve">
FHI</t>
        </r>
      </text>
    </comment>
    <comment ref="E5" authorId="0" shapeId="0">
      <text>
        <r>
          <rPr>
            <b/>
            <sz val="9"/>
            <color indexed="81"/>
            <rFont val="Tahoma"/>
            <family val="2"/>
          </rPr>
          <t>Josue Andreé Ricart Vásquez:</t>
        </r>
        <r>
          <rPr>
            <sz val="9"/>
            <color indexed="81"/>
            <rFont val="Tahoma"/>
            <family val="2"/>
          </rPr>
          <t xml:space="preserve">
Según Liseth es probable que se ejecute en abril
</t>
        </r>
      </text>
    </comment>
    <comment ref="C7" authorId="0" shapeId="0">
      <text>
        <r>
          <rPr>
            <b/>
            <sz val="9"/>
            <color indexed="81"/>
            <rFont val="Tahoma"/>
            <family val="2"/>
          </rPr>
          <t>Josue Andreé Ricart Vásquez:</t>
        </r>
        <r>
          <rPr>
            <sz val="9"/>
            <color indexed="81"/>
            <rFont val="Tahoma"/>
            <family val="2"/>
          </rPr>
          <t xml:space="preserve">
Universidades Programas de Formación</t>
        </r>
      </text>
    </comment>
    <comment ref="D7" authorId="0" shapeId="0">
      <text>
        <r>
          <rPr>
            <b/>
            <sz val="9"/>
            <color indexed="81"/>
            <rFont val="Tahoma"/>
            <family val="2"/>
          </rPr>
          <t>Josue Andreé Ricart Vásquez:</t>
        </r>
        <r>
          <rPr>
            <sz val="9"/>
            <color indexed="81"/>
            <rFont val="Tahoma"/>
            <family val="2"/>
          </rPr>
          <t xml:space="preserve">
Cambia de 3M a 4M ya estaba platicado con John</t>
        </r>
      </text>
    </comment>
    <comment ref="C9" authorId="0" shapeId="0">
      <text>
        <r>
          <rPr>
            <sz val="9"/>
            <color indexed="81"/>
            <rFont val="Tahoma"/>
            <family val="2"/>
          </rPr>
          <t xml:space="preserve">
CAMBIA EL MONTO ADJUDICADO DE 2,800,000 A 2,400,000
GOPA</t>
        </r>
      </text>
    </comment>
    <comment ref="C12"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C13" authorId="0" shapeId="0">
      <text>
        <r>
          <rPr>
            <b/>
            <sz val="9"/>
            <color indexed="81"/>
            <rFont val="Tahoma"/>
            <family val="2"/>
          </rPr>
          <t>Josue Andreé Ricart Vásquez:</t>
        </r>
        <r>
          <rPr>
            <sz val="9"/>
            <color indexed="81"/>
            <rFont val="Tahoma"/>
            <family val="2"/>
          </rPr>
          <t xml:space="preserve">
FHI</t>
        </r>
      </text>
    </comment>
    <comment ref="C15" authorId="0" shapeId="0">
      <text>
        <r>
          <rPr>
            <b/>
            <sz val="9"/>
            <color indexed="81"/>
            <rFont val="Tahoma"/>
            <family val="2"/>
          </rPr>
          <t>Josue Andreé Ricart Vásquez:</t>
        </r>
        <r>
          <rPr>
            <sz val="9"/>
            <color indexed="81"/>
            <rFont val="Tahoma"/>
            <family val="2"/>
          </rPr>
          <t>contrato finalizá febrero 2017</t>
        </r>
      </text>
    </comment>
    <comment ref="C16" authorId="0" shapeId="0">
      <text>
        <r>
          <rPr>
            <b/>
            <sz val="9"/>
            <color indexed="81"/>
            <rFont val="Tahoma"/>
            <family val="2"/>
          </rPr>
          <t>Josue Andreé Ricart Vásquez:</t>
        </r>
        <r>
          <rPr>
            <sz val="9"/>
            <color indexed="81"/>
            <rFont val="Tahoma"/>
            <family val="2"/>
          </rPr>
          <t xml:space="preserve">
el primer pago (mes de marzo) se realizará en los primero días de abril</t>
        </r>
      </text>
    </comment>
    <comment ref="C17" authorId="0" shapeId="0">
      <text>
        <r>
          <rPr>
            <b/>
            <sz val="9"/>
            <color indexed="81"/>
            <rFont val="Tahoma"/>
            <family val="2"/>
          </rPr>
          <t>Josue Andreé Ricart Vásquez:</t>
        </r>
        <r>
          <rPr>
            <sz val="9"/>
            <color indexed="81"/>
            <rFont val="Tahoma"/>
            <family val="2"/>
          </rPr>
          <t xml:space="preserve">
Lilian Merlo contrato 2018
</t>
        </r>
      </text>
    </comment>
    <comment ref="C18" authorId="0" shapeId="0">
      <text>
        <r>
          <rPr>
            <b/>
            <sz val="9"/>
            <color indexed="81"/>
            <rFont val="Tahoma"/>
            <family val="2"/>
          </rPr>
          <t>Josue Andreé Ricart Vásquez:</t>
        </r>
        <r>
          <rPr>
            <sz val="9"/>
            <color indexed="81"/>
            <rFont val="Tahoma"/>
            <family val="2"/>
          </rPr>
          <t xml:space="preserve">
en fase inicial se pretendió adquirir sus servicios en el q6 pero sigue en fase de TDR´s por lo que se traslada al q7
borrar el ya no va a estar</t>
        </r>
      </text>
    </comment>
    <comment ref="C19" authorId="0" shapeId="0">
      <text>
        <r>
          <rPr>
            <b/>
            <sz val="9"/>
            <color indexed="81"/>
            <rFont val="Tahoma"/>
            <family val="2"/>
          </rPr>
          <t>Josue Andreé Ricart Vásquez:</t>
        </r>
        <r>
          <rPr>
            <sz val="9"/>
            <color indexed="81"/>
            <rFont val="Tahoma"/>
            <family val="2"/>
          </rPr>
          <t xml:space="preserve">
consultor en sistema de aduanas</t>
        </r>
      </text>
    </comment>
    <comment ref="C20" authorId="0" shapeId="0">
      <text>
        <r>
          <rPr>
            <b/>
            <sz val="9"/>
            <color indexed="81"/>
            <rFont val="Tahoma"/>
            <family val="2"/>
          </rPr>
          <t>Josue Andreé Ricart Vásquez:</t>
        </r>
        <r>
          <rPr>
            <sz val="9"/>
            <color indexed="81"/>
            <rFont val="Tahoma"/>
            <family val="2"/>
          </rPr>
          <t xml:space="preserve">
esta en fase de tdr</t>
        </r>
      </text>
    </comment>
    <comment ref="C21" authorId="0" shapeId="0">
      <text>
        <r>
          <rPr>
            <b/>
            <sz val="9"/>
            <color indexed="81"/>
            <rFont val="Tahoma"/>
            <family val="2"/>
          </rPr>
          <t>Josue Andreé Ricart Vásquez:</t>
        </r>
        <r>
          <rPr>
            <sz val="9"/>
            <color indexed="81"/>
            <rFont val="Tahoma"/>
            <family val="2"/>
          </rPr>
          <t xml:space="preserve">
LAS DATABASE YA FUERON PAGADAS</t>
        </r>
      </text>
    </comment>
    <comment ref="C23" authorId="0" shapeId="0">
      <text>
        <r>
          <rPr>
            <b/>
            <sz val="9"/>
            <color indexed="81"/>
            <rFont val="Tahoma"/>
            <family val="2"/>
          </rPr>
          <t>Josue Andreé Ricart Vásquez:</t>
        </r>
        <r>
          <rPr>
            <sz val="9"/>
            <color indexed="81"/>
            <rFont val="Tahoma"/>
            <family val="2"/>
          </rPr>
          <t xml:space="preserve">
PAGOS DICIEMBRE Y ENERO
</t>
        </r>
      </text>
    </comment>
    <comment ref="C24" authorId="0" shapeId="0">
      <text>
        <r>
          <rPr>
            <b/>
            <sz val="9"/>
            <color indexed="81"/>
            <rFont val="Tahoma"/>
            <family val="2"/>
          </rPr>
          <t>Josue Andreé Ricart Vásquez:</t>
        </r>
        <r>
          <rPr>
            <sz val="9"/>
            <color indexed="81"/>
            <rFont val="Tahoma"/>
            <family val="2"/>
          </rPr>
          <t xml:space="preserve">
CONTRATACIONES 2018 Y PAGO DE FEBRERO 2018</t>
        </r>
      </text>
    </comment>
    <comment ref="C25" authorId="0" shapeId="0">
      <text>
        <r>
          <rPr>
            <b/>
            <sz val="9"/>
            <color indexed="81"/>
            <rFont val="Tahoma"/>
            <family val="2"/>
          </rPr>
          <t>investigadores de aduanas</t>
        </r>
        <r>
          <rPr>
            <sz val="9"/>
            <color indexed="81"/>
            <rFont val="Tahoma"/>
            <family val="2"/>
          </rPr>
          <t xml:space="preserve">
</t>
        </r>
      </text>
    </comment>
    <comment ref="C27" authorId="0" shapeId="0">
      <text>
        <r>
          <rPr>
            <sz val="9"/>
            <color indexed="81"/>
            <rFont val="Tahoma"/>
            <family val="2"/>
          </rPr>
          <t>pagado</t>
        </r>
      </text>
    </comment>
    <comment ref="C29" authorId="0" shapeId="0">
      <text>
        <r>
          <rPr>
            <sz val="9"/>
            <color indexed="81"/>
            <rFont val="Tahoma"/>
            <family val="2"/>
          </rPr>
          <t>UNIVERSIDAD INTERNACIONES</t>
        </r>
      </text>
    </comment>
    <comment ref="C30" authorId="0" shapeId="0">
      <text>
        <r>
          <rPr>
            <b/>
            <sz val="9"/>
            <color indexed="81"/>
            <rFont val="Tahoma"/>
            <family val="2"/>
          </rPr>
          <t>Josue Andreé Ricart Vásquez:</t>
        </r>
        <r>
          <rPr>
            <sz val="9"/>
            <color indexed="81"/>
            <rFont val="Tahoma"/>
            <family val="2"/>
          </rPr>
          <t xml:space="preserve">
Enmienda 1
</t>
        </r>
      </text>
    </comment>
    <comment ref="C33" authorId="0" shapeId="0">
      <text>
        <r>
          <rPr>
            <sz val="9"/>
            <color indexed="81"/>
            <rFont val="Tahoma"/>
            <family val="2"/>
          </rPr>
          <t xml:space="preserve">Probablemente Sergio Bravo
</t>
        </r>
      </text>
    </comment>
    <comment ref="C34" authorId="0" shapeId="0">
      <text>
        <r>
          <rPr>
            <b/>
            <sz val="9"/>
            <color indexed="81"/>
            <rFont val="Tahoma"/>
            <family val="2"/>
          </rPr>
          <t>Josue Andreé Ricart Vásquez:</t>
        </r>
        <r>
          <rPr>
            <sz val="9"/>
            <color indexed="81"/>
            <rFont val="Tahoma"/>
            <family val="2"/>
          </rPr>
          <t xml:space="preserve">
ya fue pagado en su totalidad PU-MCC-002-2016</t>
        </r>
      </text>
    </comment>
    <comment ref="C35" authorId="0" shapeId="0">
      <text>
        <r>
          <rPr>
            <b/>
            <sz val="9"/>
            <color indexed="81"/>
            <rFont val="Tahoma"/>
            <family val="2"/>
          </rPr>
          <t>probablemente un tercer contrato de sergio bravo</t>
        </r>
      </text>
    </comment>
    <comment ref="C36" authorId="0" shapeId="0">
      <text>
        <r>
          <rPr>
            <b/>
            <sz val="9"/>
            <color indexed="81"/>
            <rFont val="Tahoma"/>
            <family val="2"/>
          </rPr>
          <t>Josue Andreé Ricart Vásquez:</t>
        </r>
        <r>
          <rPr>
            <sz val="9"/>
            <color indexed="81"/>
            <rFont val="Tahoma"/>
            <family val="2"/>
          </rPr>
          <t xml:space="preserve">
Deloitte</t>
        </r>
      </text>
    </comment>
    <comment ref="C37" authorId="0" shapeId="0">
      <text>
        <r>
          <rPr>
            <b/>
            <sz val="9"/>
            <color indexed="81"/>
            <rFont val="Tahoma"/>
            <family val="2"/>
          </rPr>
          <t>Josue Andreé Ricart Vásquez:</t>
        </r>
        <r>
          <rPr>
            <sz val="9"/>
            <color indexed="81"/>
            <rFont val="Tahoma"/>
            <family val="2"/>
          </rPr>
          <t xml:space="preserve">
ya están los terminos de referencia</t>
        </r>
      </text>
    </comment>
    <comment ref="C38" authorId="0" shapeId="0">
      <text>
        <r>
          <rPr>
            <b/>
            <sz val="9"/>
            <color indexed="81"/>
            <rFont val="Tahoma"/>
            <family val="2"/>
          </rPr>
          <t>Josue Andreé Ricart Vásquez:</t>
        </r>
        <r>
          <rPr>
            <sz val="9"/>
            <color indexed="81"/>
            <rFont val="Tahoma"/>
            <family val="2"/>
          </rPr>
          <t xml:space="preserve">
MGO</t>
        </r>
      </text>
    </comment>
    <comment ref="C39" authorId="0" shapeId="0">
      <text>
        <r>
          <rPr>
            <b/>
            <sz val="9"/>
            <color indexed="81"/>
            <rFont val="Tahoma"/>
            <family val="2"/>
          </rPr>
          <t>Josue Andreé Ricart Vásquez:</t>
        </r>
        <r>
          <rPr>
            <sz val="9"/>
            <color indexed="81"/>
            <rFont val="Tahoma"/>
            <family val="2"/>
          </rPr>
          <t xml:space="preserve">
QUINTOS TRAVEL</t>
        </r>
      </text>
    </comment>
    <comment ref="C41" authorId="0" shapeId="0">
      <text>
        <r>
          <rPr>
            <b/>
            <sz val="9"/>
            <color indexed="81"/>
            <rFont val="Tahoma"/>
            <family val="2"/>
          </rPr>
          <t>Se agrupa con los de endline y cambian los montos de 350K a 800K</t>
        </r>
      </text>
    </comment>
    <comment ref="C51" authorId="0" shapeId="0">
      <text>
        <r>
          <rPr>
            <sz val="9"/>
            <color indexed="81"/>
            <rFont val="Tahoma"/>
            <family val="2"/>
          </rPr>
          <t>Experto en escala vertical</t>
        </r>
      </text>
    </comment>
    <comment ref="C57" authorId="0" shapeId="0">
      <text>
        <r>
          <rPr>
            <b/>
            <sz val="9"/>
            <color indexed="81"/>
            <rFont val="Tahoma"/>
            <family val="2"/>
          </rPr>
          <t>Josue Andreé Ricart Grupo Sega</t>
        </r>
      </text>
    </comment>
    <comment ref="C58" authorId="0" shapeId="0">
      <text>
        <r>
          <rPr>
            <b/>
            <sz val="9"/>
            <color indexed="81"/>
            <rFont val="Tahoma"/>
            <family val="2"/>
          </rPr>
          <t>Josue Andreé Ricart Vásquez:</t>
        </r>
        <r>
          <rPr>
            <sz val="9"/>
            <color indexed="81"/>
            <rFont val="Tahoma"/>
            <family val="2"/>
          </rPr>
          <t xml:space="preserve">
Tecnasa</t>
        </r>
      </text>
    </comment>
    <comment ref="C60" authorId="0" shapeId="0">
      <text>
        <r>
          <rPr>
            <b/>
            <sz val="9"/>
            <color indexed="81"/>
            <rFont val="Tahoma"/>
            <family val="2"/>
          </rPr>
          <t>Josue Andreé Ricart Vásquez:</t>
        </r>
        <r>
          <rPr>
            <sz val="9"/>
            <color indexed="81"/>
            <rFont val="Tahoma"/>
            <family val="2"/>
          </rPr>
          <t xml:space="preserve">
poliycom phone</t>
        </r>
      </text>
    </comment>
    <comment ref="C61" authorId="0" shapeId="0">
      <text>
        <r>
          <rPr>
            <b/>
            <sz val="9"/>
            <color indexed="81"/>
            <rFont val="Tahoma"/>
            <family val="2"/>
          </rPr>
          <t>Josue Andreé Ricart Vásquez:</t>
        </r>
        <r>
          <rPr>
            <sz val="9"/>
            <color indexed="81"/>
            <rFont val="Tahoma"/>
            <family val="2"/>
          </rPr>
          <t xml:space="preserve">
Reparación Impresora</t>
        </r>
      </text>
    </comment>
    <comment ref="C62" authorId="0" shapeId="0">
      <text>
        <r>
          <rPr>
            <b/>
            <sz val="9"/>
            <color indexed="81"/>
            <rFont val="Tahoma"/>
            <family val="2"/>
          </rPr>
          <t>Josue Andreé Ricart Vásquez:</t>
        </r>
        <r>
          <rPr>
            <sz val="9"/>
            <color indexed="81"/>
            <rFont val="Tahoma"/>
            <family val="2"/>
          </rPr>
          <t xml:space="preserve">
compra de credenzas</t>
        </r>
      </text>
    </comment>
    <comment ref="C63" authorId="0" shapeId="0">
      <text>
        <r>
          <rPr>
            <b/>
            <sz val="9"/>
            <color indexed="81"/>
            <rFont val="Tahoma"/>
            <family val="2"/>
          </rPr>
          <t>Josue Andreé Ricart Vásquez:</t>
        </r>
        <r>
          <rPr>
            <sz val="9"/>
            <color indexed="81"/>
            <rFont val="Tahoma"/>
            <family val="2"/>
          </rPr>
          <t xml:space="preserve">
PU-MCC-SNC-001-2016
</t>
        </r>
      </text>
    </comment>
    <comment ref="C64" authorId="0" shapeId="0">
      <text>
        <r>
          <rPr>
            <b/>
            <sz val="9"/>
            <color indexed="81"/>
            <rFont val="Tahoma"/>
            <family val="2"/>
          </rPr>
          <t>Josue Andreé Ricart Vásquez:</t>
        </r>
        <r>
          <rPr>
            <sz val="9"/>
            <color indexed="81"/>
            <rFont val="Tahoma"/>
            <family val="2"/>
          </rPr>
          <t xml:space="preserve">
01-2017</t>
        </r>
      </text>
    </comment>
    <comment ref="C65" authorId="0" shapeId="0">
      <text>
        <r>
          <rPr>
            <b/>
            <sz val="9"/>
            <color indexed="81"/>
            <rFont val="Tahoma"/>
            <family val="2"/>
          </rPr>
          <t>Josue Andreé Ricart Vásquez:</t>
        </r>
        <r>
          <rPr>
            <sz val="9"/>
            <color indexed="81"/>
            <rFont val="Tahoma"/>
            <family val="2"/>
          </rPr>
          <t xml:space="preserve">
03-2017
</t>
        </r>
      </text>
    </comment>
    <comment ref="C66" authorId="0" shapeId="0">
      <text>
        <r>
          <rPr>
            <b/>
            <sz val="9"/>
            <color indexed="81"/>
            <rFont val="Tahoma"/>
            <family val="2"/>
          </rPr>
          <t>Josue Andreé Ricart Vásquez:</t>
        </r>
        <r>
          <rPr>
            <sz val="9"/>
            <color indexed="81"/>
            <rFont val="Tahoma"/>
            <family val="2"/>
          </rPr>
          <t xml:space="preserve">
01-2018</t>
        </r>
      </text>
    </comment>
    <comment ref="C71" authorId="0" shapeId="0">
      <text>
        <r>
          <rPr>
            <b/>
            <sz val="9"/>
            <color indexed="81"/>
            <rFont val="Tahoma"/>
            <family val="2"/>
          </rPr>
          <t xml:space="preserve">julio
</t>
        </r>
      </text>
    </comment>
  </commentList>
</comments>
</file>

<file path=xl/sharedStrings.xml><?xml version="1.0" encoding="utf-8"?>
<sst xmlns="http://schemas.openxmlformats.org/spreadsheetml/2006/main" count="889" uniqueCount="285">
  <si>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</si>
  <si>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</si>
  <si>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</si>
  <si>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</si>
  <si>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</si>
  <si>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</si>
  <si>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</si>
  <si>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</si>
  <si>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</si>
  <si>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</si>
  <si>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</si>
  <si>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</si>
  <si>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</si>
  <si>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</si>
  <si>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</si>
  <si>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</si>
  <si>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</si>
  <si>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</si>
  <si>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</si>
  <si>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</si>
  <si>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</si>
  <si>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</si>
  <si>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</si>
  <si>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</si>
  <si>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</si>
  <si>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</si>
  <si>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</si>
  <si>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</si>
  <si>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</si>
  <si>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</si>
  <si>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</si>
  <si>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</si>
  <si>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</si>
  <si>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</si>
  <si>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</si>
  <si>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</si>
  <si>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</si>
  <si>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</si>
  <si>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</si>
  <si>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</si>
  <si>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</si>
  <si>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</si>
  <si>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</si>
  <si>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</si>
  <si>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</si>
  <si>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</si>
  <si>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</si>
  <si>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</si>
  <si>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</si>
  <si>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</si>
  <si>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</si>
  <si>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</si>
  <si>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</si>
  <si>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</si>
  <si>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</si>
  <si>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</si>
  <si>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</si>
  <si>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</si>
  <si>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</si>
  <si>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</si>
  <si>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Date:  _____________________________________________________________</t>
  </si>
  <si>
    <t xml:space="preserve">Name: </t>
  </si>
  <si>
    <t>TOTAL - Education</t>
  </si>
  <si>
    <t>TOTAL - Resource Mobilization</t>
  </si>
  <si>
    <t>Apr '18
Jun '18</t>
  </si>
  <si>
    <t>Oct '18
Dec '18</t>
  </si>
  <si>
    <t>Jan '19
Mar '19</t>
  </si>
  <si>
    <t>Apr '19
Jun '19</t>
  </si>
  <si>
    <t>Guatemala</t>
  </si>
  <si>
    <t>PRONACOM</t>
  </si>
  <si>
    <t>TR14GTM15001</t>
  </si>
  <si>
    <t>Grant Quarter #8</t>
  </si>
  <si>
    <t>Grant Quarter #10</t>
  </si>
  <si>
    <t>Grant Quarter #11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</si>
  <si>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</si>
  <si>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</si>
  <si>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</si>
  <si>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</si>
  <si>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</si>
  <si>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</si>
  <si>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</si>
  <si>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</si>
  <si>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</si>
  <si>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</si>
  <si>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</si>
  <si>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</si>
  <si>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</si>
  <si>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</si>
  <si>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</si>
  <si>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</si>
  <si>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</si>
  <si>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Adjustment Reported/
Approved
(insert date)</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</si>
  <si>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</si>
  <si>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</si>
  <si>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</si>
  <si>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</si>
  <si>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</si>
  <si>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</si>
  <si>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</si>
  <si>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</si>
  <si>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</si>
  <si>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</si>
  <si>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</si>
  <si>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7</t>
  </si>
  <si>
    <t>Column 8</t>
  </si>
  <si>
    <t>Column 9</t>
  </si>
  <si>
    <t>Column 10</t>
  </si>
  <si>
    <t>Column 11</t>
  </si>
  <si>
    <t>Column 12</t>
  </si>
  <si>
    <t>Column 13</t>
  </si>
  <si>
    <t>Column 14</t>
  </si>
  <si>
    <t>Column 15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</si>
  <si>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</si>
  <si>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</si>
  <si>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</si>
  <si>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</si>
  <si>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</si>
  <si>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</si>
  <si>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</si>
  <si>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</si>
  <si>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</si>
  <si>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</si>
  <si>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</si>
  <si>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</si>
  <si>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</si>
  <si>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</si>
  <si>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</si>
  <si>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</si>
  <si>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</si>
  <si>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</si>
  <si>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</si>
  <si>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</si>
  <si>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</si>
  <si>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</si>
  <si>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</si>
  <si>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</si>
  <si>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</si>
  <si>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</si>
  <si>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</si>
  <si>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</si>
  <si>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</si>
  <si>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</si>
  <si>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</si>
  <si>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</si>
  <si>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</si>
  <si>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</si>
  <si>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</si>
  <si>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</si>
  <si>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</si>
  <si>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</si>
  <si>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</si>
  <si>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</si>
  <si>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</si>
  <si>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</si>
  <si>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</si>
  <si>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</si>
  <si>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</si>
  <si>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</si>
  <si>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</si>
  <si>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</si>
  <si>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</si>
  <si>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</si>
  <si>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</si>
  <si>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</si>
  <si>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</si>
  <si>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</si>
  <si>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</si>
  <si>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</si>
  <si>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</si>
  <si>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</si>
  <si>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</si>
  <si>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</si>
  <si>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</si>
  <si>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</si>
  <si>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</si>
  <si>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</si>
  <si>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</si>
  <si>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</si>
  <si>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</si>
  <si>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</si>
  <si>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</si>
  <si>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</si>
  <si>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</si>
  <si>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</si>
  <si>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</si>
  <si>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</si>
  <si>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</si>
  <si>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</si>
  <si>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</si>
  <si>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</si>
  <si>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</si>
  <si>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</si>
  <si>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</si>
  <si>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</si>
  <si>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</si>
  <si>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</si>
  <si>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</si>
  <si>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</si>
  <si>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</si>
  <si>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</si>
  <si>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</si>
  <si>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</si>
  <si>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</si>
  <si>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</si>
  <si>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</si>
  <si>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</si>
  <si>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</si>
  <si>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</si>
  <si>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</si>
  <si>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</si>
  <si>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</si>
  <si>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</si>
  <si>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</si>
  <si>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</si>
  <si>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</si>
  <si>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</si>
  <si>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</si>
  <si>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</si>
  <si>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</si>
  <si>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</si>
  <si>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</si>
  <si>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Oct '19
Dec '19</t>
  </si>
  <si>
    <t>Jan '20
Mar '20</t>
  </si>
  <si>
    <t>FxT Coordinator</t>
  </si>
  <si>
    <t>Actual Cumulative Disbursements at Beginning of Current Period</t>
  </si>
  <si>
    <t>Out of Cycle Report:  Yes [ ] | No [ x ]</t>
  </si>
  <si>
    <t>M&amp;E</t>
  </si>
  <si>
    <t>Total Comprometido a la fecha</t>
  </si>
  <si>
    <t>TVET place holder</t>
  </si>
  <si>
    <t>place holder</t>
  </si>
  <si>
    <t>q15</t>
  </si>
  <si>
    <t>MCC (Acting Fiscal Agent)</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</si>
  <si>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</si>
  <si>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</si>
  <si>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</si>
  <si>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</si>
  <si>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</si>
  <si>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</si>
  <si>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</si>
  <si>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</si>
  <si>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</si>
  <si>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</si>
  <si>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</si>
  <si>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</si>
  <si>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</si>
  <si>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</si>
  <si>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</si>
  <si>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</si>
  <si>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cash before Com</t>
  </si>
  <si>
    <t xml:space="preserve"> com-cash</t>
  </si>
  <si>
    <t>total</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</si>
  <si>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</si>
  <si>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</si>
  <si>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</si>
  <si>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</si>
  <si>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</si>
  <si>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</si>
  <si>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</si>
  <si>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Jul '18
Sep '18</t>
  </si>
  <si>
    <t>Jul '19
Sep '19</t>
  </si>
  <si>
    <t>Grant Quarter #9</t>
  </si>
  <si>
    <t>Apr '20
Jun '20</t>
  </si>
  <si>
    <t>* This activity has  MCC Managed (commitments and disbursements are reported on the quarterly MCC-Managed Report)</t>
  </si>
  <si>
    <t>* This activity (0443) is partially MCC-Managed</t>
  </si>
  <si>
    <t>Projected Disbursements during Current Period</t>
  </si>
  <si>
    <t>q10</t>
  </si>
  <si>
    <t>q9</t>
  </si>
  <si>
    <t>Signed by the  Acting Executive Director of PRONACOM</t>
  </si>
  <si>
    <t>Adjustment Reported/
Approved
(Q6 - 10/11/2017)</t>
  </si>
  <si>
    <t>Dic ´ 2017</t>
  </si>
  <si>
    <t>Apr´18</t>
  </si>
  <si>
    <t>May`18</t>
  </si>
  <si>
    <t>Jun´18</t>
  </si>
  <si>
    <t>Apr-20</t>
  </si>
  <si>
    <t>Jan ´18
Mar ´18</t>
  </si>
  <si>
    <t>Dec´ 2017</t>
  </si>
  <si>
    <t>Q16</t>
  </si>
  <si>
    <t>Name: Francisca de Jesús Cárdenas Morán</t>
  </si>
  <si>
    <t>Name:  Acisclo Valladares Urruela</t>
  </si>
  <si>
    <t>Threshold Program / Program Administration and Monitoring and Evaluation</t>
  </si>
  <si>
    <t>April 8, 2015/May 16, 2016</t>
  </si>
  <si>
    <t>two million, seven hundred thirty-three thousand, seven hundred sixty-one dollars and fifty-two cents</t>
  </si>
  <si>
    <t>Certified by the Minister of Economy</t>
  </si>
  <si>
    <t>March 09, 2018</t>
  </si>
  <si>
    <t>Date: March 09,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</si>
</sst>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_(&quot;$&quot;* #,##0.0000_);_(&quot;$&quot;* \(#,##0.0000\);_(&quot;$&quot;* &quot;-&quot;??_);_(@_)"/>
  </numFmts>
  <fonts count="37"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s>
  <fills count="24">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9998168889431442"/>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s>
  <cellStyleXfs count="20">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cellStyleXfs>
  <cellXfs count="420">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4" fillId="5" borderId="13" xfId="2" applyNumberFormat="1" applyFont="1" applyFill="1" applyBorder="1"/>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49" fontId="2" fillId="0" borderId="11" xfId="2" applyNumberFormat="1" applyFont="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3" xfId="2" applyNumberFormat="1" applyFont="1" applyFill="1" applyBorder="1"/>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3" xfId="2" applyNumberFormat="1" applyFont="1" applyFill="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7" borderId="12" xfId="4" applyFont="1" applyFill="1" applyBorder="1" applyAlignment="1">
      <alignment horizontal="center" vertical="center" wrapText="1"/>
    </xf>
    <xf numFmtId="170" fontId="0" fillId="0" borderId="0" xfId="0" applyNumberFormat="1"/>
    <xf numFmtId="173" fontId="0" fillId="0" borderId="0" xfId="0" applyNumberFormat="1"/>
    <xf numFmtId="172" fontId="0" fillId="0" borderId="0" xfId="12" applyNumberFormat="1" applyFont="1"/>
    <xf numFmtId="172" fontId="0" fillId="0" borderId="0" xfId="0" applyNumberForma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172" fontId="0" fillId="6" borderId="0" xfId="0" applyNumberFormat="1" applyFill="1"/>
    <xf numFmtId="166" fontId="2" fillId="0" borderId="0" xfId="4" applyNumberFormat="1" applyAlignment="1">
      <alignment horizontal="center" vertical="center"/>
    </xf>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67" fontId="4" fillId="6" borderId="15" xfId="2" applyNumberFormat="1" applyFont="1" applyFill="1" applyBorder="1" applyAlignment="1">
      <alignment vertical="center"/>
    </xf>
    <xf numFmtId="172" fontId="0" fillId="13" borderId="0" xfId="12" applyNumberFormat="1" applyFont="1" applyFill="1"/>
    <xf numFmtId="172" fontId="27"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0" fillId="0" borderId="0" xfId="0" applyAlignment="1">
      <alignment vertical="center"/>
    </xf>
    <xf numFmtId="172" fontId="0" fillId="6" borderId="0" xfId="0" applyNumberFormat="1" applyFill="1" applyAlignment="1">
      <alignment vertical="center"/>
    </xf>
    <xf numFmtId="0" fontId="0" fillId="0" borderId="0" xfId="0" applyFill="1" applyAlignment="1">
      <alignment vertical="center"/>
    </xf>
    <xf numFmtId="9" fontId="0" fillId="0" borderId="0" xfId="0" applyNumberFormat="1" applyFill="1" applyAlignment="1">
      <alignment vertical="center"/>
    </xf>
    <xf numFmtId="10" fontId="0" fillId="0" borderId="0" xfId="0" applyNumberFormat="1" applyFill="1" applyAlignment="1">
      <alignment vertical="center"/>
    </xf>
    <xf numFmtId="9" fontId="0" fillId="0" borderId="0" xfId="0" applyNumberFormat="1" applyFill="1" applyBorder="1" applyAlignment="1">
      <alignment vertical="center"/>
    </xf>
    <xf numFmtId="172" fontId="22" fillId="0" borderId="0" xfId="12" applyNumberFormat="1" applyFont="1" applyFill="1" applyAlignment="1">
      <alignment vertical="center"/>
    </xf>
    <xf numFmtId="172" fontId="0" fillId="0" borderId="0" xfId="12" applyNumberFormat="1" applyFont="1" applyFill="1"/>
    <xf numFmtId="0" fontId="4" fillId="0" borderId="33" xfId="5" applyFont="1" applyFill="1" applyBorder="1"/>
    <xf numFmtId="166" fontId="0" fillId="6" borderId="0" xfId="1" applyFont="1" applyFill="1"/>
    <xf numFmtId="0" fontId="17" fillId="0" borderId="12" xfId="5" applyFont="1" applyFill="1" applyBorder="1" applyAlignment="1">
      <alignment horizontal="left" vertical="top" wrapText="1"/>
    </xf>
    <xf numFmtId="0" fontId="0" fillId="14" borderId="0" xfId="0" applyFill="1"/>
    <xf numFmtId="9" fontId="0" fillId="0" borderId="0" xfId="19" applyFont="1" applyFill="1" applyAlignment="1">
      <alignment vertical="center"/>
    </xf>
    <xf numFmtId="169" fontId="35" fillId="0" borderId="8" xfId="0" applyNumberFormat="1" applyFont="1" applyBorder="1" applyAlignment="1">
      <alignment horizontal="left" indent="1"/>
    </xf>
    <xf numFmtId="172" fontId="22" fillId="0" borderId="0" xfId="12" applyNumberFormat="1" applyFont="1" applyFill="1"/>
    <xf numFmtId="4" fontId="0" fillId="0" borderId="0" xfId="0" applyNumberFormat="1" applyFill="1"/>
    <xf numFmtId="9" fontId="0" fillId="0" borderId="0" xfId="0" applyNumberFormat="1" applyFill="1"/>
    <xf numFmtId="166" fontId="2" fillId="22" borderId="12" xfId="0" applyNumberFormat="1" applyFont="1" applyFill="1" applyBorder="1"/>
    <xf numFmtId="173" fontId="30" fillId="0" borderId="0" xfId="0" applyNumberFormat="1" applyFont="1" applyFill="1" applyAlignment="1">
      <alignment vertical="center"/>
    </xf>
    <xf numFmtId="173" fontId="0" fillId="0" borderId="0" xfId="0" applyNumberFormat="1" applyFill="1" applyAlignment="1">
      <alignment vertical="center"/>
    </xf>
    <xf numFmtId="0" fontId="30" fillId="0" borderId="0" xfId="0" applyFont="1" applyFill="1" applyAlignment="1">
      <alignment vertical="center"/>
    </xf>
    <xf numFmtId="9" fontId="30" fillId="0" borderId="0" xfId="0" applyNumberFormat="1" applyFont="1" applyFill="1" applyAlignment="1">
      <alignment vertical="center"/>
    </xf>
    <xf numFmtId="9" fontId="30" fillId="0" borderId="0" xfId="19" applyFont="1" applyFill="1" applyAlignment="1">
      <alignment vertical="center"/>
    </xf>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0" fontId="4" fillId="7" borderId="12" xfId="4" applyFont="1" applyFill="1" applyBorder="1" applyAlignment="1">
      <alignment horizontal="center" vertical="center" wrapText="1"/>
    </xf>
    <xf numFmtId="6" fontId="0" fillId="6" borderId="0" xfId="0" applyNumberFormat="1" applyFill="1"/>
    <xf numFmtId="49" fontId="0" fillId="0" borderId="0" xfId="0" applyNumberFormat="1"/>
    <xf numFmtId="49" fontId="0" fillId="0" borderId="0" xfId="0" applyNumberFormat="1" applyFill="1"/>
    <xf numFmtId="166" fontId="24" fillId="0" borderId="0" xfId="1" applyFont="1" applyFill="1"/>
    <xf numFmtId="165" fontId="0" fillId="0" borderId="0" xfId="0" applyNumberFormat="1"/>
    <xf numFmtId="175" fontId="0" fillId="0" borderId="0" xfId="0" applyNumberFormat="1"/>
    <xf numFmtId="9" fontId="22" fillId="0" borderId="0" xfId="19" applyFont="1" applyFill="1"/>
    <xf numFmtId="9" fontId="35" fillId="0" borderId="0" xfId="19" applyFont="1" applyFill="1"/>
    <xf numFmtId="9" fontId="0" fillId="0" borderId="0" xfId="19" applyFont="1" applyFill="1"/>
    <xf numFmtId="9" fontId="30" fillId="0" borderId="0" xfId="0" applyNumberFormat="1" applyFont="1" applyFill="1" applyBorder="1" applyAlignment="1">
      <alignment vertical="center"/>
    </xf>
    <xf numFmtId="172" fontId="32" fillId="0" borderId="0" xfId="12" applyNumberFormat="1" applyFont="1" applyFill="1" applyAlignment="1">
      <alignment vertical="center"/>
    </xf>
    <xf numFmtId="172" fontId="32" fillId="0" borderId="0" xfId="12" applyNumberFormat="1" applyFont="1" applyFill="1"/>
    <xf numFmtId="172" fontId="30" fillId="0" borderId="0" xfId="12" applyNumberFormat="1" applyFont="1" applyFill="1"/>
    <xf numFmtId="172" fontId="0" fillId="0" borderId="0" xfId="12" applyNumberFormat="1" applyFont="1" applyFill="1" applyAlignment="1">
      <alignment vertical="center"/>
    </xf>
    <xf numFmtId="0" fontId="30" fillId="23" borderId="0" xfId="0" applyFont="1" applyFill="1"/>
    <xf numFmtId="9" fontId="0" fillId="0" borderId="0" xfId="19" applyNumberFormat="1" applyFont="1" applyFill="1"/>
    <xf numFmtId="43" fontId="30" fillId="0" borderId="0" xfId="0" applyNumberFormat="1" applyFont="1"/>
    <xf numFmtId="166" fontId="22" fillId="0" borderId="0" xfId="1" applyFont="1" applyFill="1"/>
    <xf numFmtId="166" fontId="32" fillId="0" borderId="0" xfId="1" applyFont="1" applyFill="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4" fontId="3" fillId="5" borderId="14" xfId="0" applyNumberFormat="1" applyFont="1" applyFill="1" applyBorder="1" applyAlignment="1">
      <alignment horizontal="center" vertical="center" wrapText="1"/>
    </xf>
    <xf numFmtId="4" fontId="3" fillId="5" borderId="15" xfId="0" applyNumberFormat="1" applyFont="1" applyFill="1" applyBorder="1" applyAlignment="1">
      <alignment horizontal="center" vertical="center" wrapText="1"/>
    </xf>
    <xf numFmtId="4" fontId="3" fillId="5" borderId="13" xfId="0" applyNumberFormat="1"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20" borderId="0" xfId="0" applyFont="1" applyFill="1" applyAlignment="1">
      <alignment horizontal="left"/>
    </xf>
  </cellXfs>
  <cellStyles count="20">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topLeftCell="B10" zoomScale="70" zoomScaleNormal="70" zoomScaleSheetLayoutView="70" zoomScalePageLayoutView="85" workbookViewId="0">
      <selection activeCell="H14" sqref="H14:H52"/>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8" customWidth="1" outlineLevel="1"/>
    <col min="4" max="4" width="17.42578125" style="1" customWidth="1"/>
    <col min="5" max="7" width="17.42578125" style="270" customWidth="1" outlineLevel="1"/>
    <col min="8" max="8" width="20.42578125" style="1" customWidth="1"/>
    <col min="9" max="16" width="17.42578125" style="1" customWidth="1"/>
    <col min="17" max="17" width="17.42578125" style="6" customWidth="1"/>
    <col min="18" max="18" width="17.42578125" style="192" customWidth="1"/>
    <col min="19" max="19" width="17.42578125" style="7" customWidth="1"/>
    <col min="20" max="16384" width="0" style="1" hidden="1"/>
  </cols>
  <sheetData>
    <row r="1" spans="1:20" ht="13.5" hidden="1" outlineLevel="1" thickBot="1" x14ac:dyDescent="0.25">
      <c r="B1" s="2" t="s">
        <v>0</v>
      </c>
      <c r="C1" s="3"/>
      <c r="D1" s="4"/>
      <c r="E1" s="261"/>
      <c r="F1" s="261"/>
      <c r="G1" s="261"/>
    </row>
    <row r="2" spans="1:20" ht="13.5" hidden="1" outlineLevel="1" thickBot="1" x14ac:dyDescent="0.25">
      <c r="B2" s="8"/>
      <c r="C2" s="3"/>
      <c r="D2" s="4"/>
      <c r="E2" s="261"/>
      <c r="F2" s="261"/>
      <c r="G2" s="261"/>
      <c r="R2" s="193"/>
    </row>
    <row r="3" spans="1:20" ht="12.75" hidden="1" customHeight="1" outlineLevel="1" x14ac:dyDescent="0.25">
      <c r="B3" s="11" t="s">
        <v>1</v>
      </c>
      <c r="C3" s="12"/>
      <c r="D3" s="13" t="s">
        <v>68</v>
      </c>
      <c r="E3" s="262"/>
      <c r="F3" s="262"/>
      <c r="G3" s="262"/>
    </row>
    <row r="4" spans="1:20" ht="12.75" hidden="1" customHeight="1" outlineLevel="1" x14ac:dyDescent="0.25">
      <c r="B4" s="14" t="s">
        <v>2</v>
      </c>
      <c r="C4" s="15"/>
      <c r="D4" s="16" t="s">
        <v>69</v>
      </c>
      <c r="E4" s="262"/>
      <c r="F4" s="262"/>
      <c r="G4" s="262"/>
    </row>
    <row r="5" spans="1:20" ht="12.75" hidden="1" customHeight="1" outlineLevel="1" x14ac:dyDescent="0.25">
      <c r="B5" s="17" t="s">
        <v>3</v>
      </c>
      <c r="C5" s="15"/>
      <c r="D5" s="16" t="str">
        <f>'THP DR'!B7</f>
        <v>TR14GTM15001</v>
      </c>
      <c r="E5" s="262"/>
      <c r="F5" s="262"/>
      <c r="G5" s="262"/>
    </row>
    <row r="6" spans="1:20" ht="12.75" hidden="1" customHeight="1" outlineLevel="1" x14ac:dyDescent="0.25">
      <c r="B6" s="14" t="s">
        <v>4</v>
      </c>
      <c r="C6" s="15"/>
      <c r="D6" s="308">
        <v>43063</v>
      </c>
      <c r="E6" s="262"/>
      <c r="F6" s="262"/>
      <c r="G6" s="262"/>
      <c r="R6" s="194"/>
    </row>
    <row r="7" spans="1:20" ht="13.5" hidden="1" customHeight="1" outlineLevel="1" thickBot="1" x14ac:dyDescent="0.25">
      <c r="B7" s="18" t="s">
        <v>5</v>
      </c>
      <c r="C7" s="19"/>
      <c r="D7" s="190">
        <f>'THP DR'!B13</f>
        <v>8</v>
      </c>
      <c r="E7" s="262"/>
      <c r="F7" s="262"/>
      <c r="G7" s="262"/>
    </row>
    <row r="8" spans="1:20" s="25" customFormat="1" ht="13.5" hidden="1" customHeight="1" outlineLevel="1" x14ac:dyDescent="0.2">
      <c r="B8" s="26"/>
      <c r="C8" s="27"/>
      <c r="D8" s="28"/>
      <c r="E8" s="265"/>
      <c r="F8" s="265"/>
      <c r="G8" s="265"/>
      <c r="Q8" s="24"/>
      <c r="R8" s="192"/>
      <c r="S8" s="7"/>
    </row>
    <row r="9" spans="1:20" ht="15.75" hidden="1" outlineLevel="1" x14ac:dyDescent="0.2">
      <c r="A9" s="5"/>
      <c r="B9" s="387" t="s">
        <v>6</v>
      </c>
      <c r="C9" s="29" t="s">
        <v>7</v>
      </c>
      <c r="D9" s="30" t="s">
        <v>8</v>
      </c>
      <c r="E9" s="391" t="s">
        <v>9</v>
      </c>
      <c r="F9" s="392"/>
      <c r="G9" s="393"/>
      <c r="H9" s="327"/>
      <c r="I9" s="327"/>
      <c r="J9" s="327"/>
      <c r="K9" s="327"/>
      <c r="L9" s="327"/>
      <c r="M9" s="232"/>
      <c r="N9" s="232"/>
      <c r="O9" s="232"/>
      <c r="P9" s="232"/>
      <c r="Q9" s="31" t="s">
        <v>10</v>
      </c>
      <c r="R9" s="195" t="s">
        <v>10</v>
      </c>
      <c r="S9" s="31" t="s">
        <v>11</v>
      </c>
    </row>
    <row r="10" spans="1:20" s="38" customFormat="1" ht="72.75" customHeight="1" collapsed="1" x14ac:dyDescent="0.2">
      <c r="A10" s="5"/>
      <c r="B10" s="387"/>
      <c r="C10" s="33" t="s">
        <v>12</v>
      </c>
      <c r="D10" s="34" t="s">
        <v>13</v>
      </c>
      <c r="E10" s="394" t="str">
        <f>"Grant Quarter #"&amp;$D$7</f>
        <v>Grant Quarter #8</v>
      </c>
      <c r="F10" s="395"/>
      <c r="G10" s="395"/>
      <c r="H10" s="361"/>
      <c r="I10" s="35" t="s">
        <v>260</v>
      </c>
      <c r="J10" s="330" t="s">
        <v>72</v>
      </c>
      <c r="K10" s="330" t="s">
        <v>73</v>
      </c>
      <c r="L10" s="330" t="s">
        <v>74</v>
      </c>
      <c r="M10" s="330" t="s">
        <v>75</v>
      </c>
      <c r="N10" s="330" t="s">
        <v>76</v>
      </c>
      <c r="O10" s="330" t="s">
        <v>219</v>
      </c>
      <c r="P10" s="330" t="s">
        <v>220</v>
      </c>
      <c r="Q10" s="389" t="s">
        <v>14</v>
      </c>
      <c r="R10" s="388" t="s">
        <v>135</v>
      </c>
      <c r="S10" s="386" t="s">
        <v>15</v>
      </c>
      <c r="T10" s="37"/>
    </row>
    <row r="11" spans="1:20" s="38" customFormat="1" ht="25.5" x14ac:dyDescent="0.2">
      <c r="A11" s="5"/>
      <c r="B11" s="39" t="s">
        <v>16</v>
      </c>
      <c r="C11" s="40" t="s">
        <v>269</v>
      </c>
      <c r="D11" s="41"/>
      <c r="E11" s="271" t="s">
        <v>270</v>
      </c>
      <c r="F11" s="271" t="s">
        <v>271</v>
      </c>
      <c r="G11" s="271" t="s">
        <v>272</v>
      </c>
      <c r="H11" s="361" t="s">
        <v>64</v>
      </c>
      <c r="I11" s="233" t="s">
        <v>258</v>
      </c>
      <c r="J11" s="233" t="s">
        <v>65</v>
      </c>
      <c r="K11" s="233" t="s">
        <v>66</v>
      </c>
      <c r="L11" s="233" t="s">
        <v>67</v>
      </c>
      <c r="M11" s="233" t="s">
        <v>259</v>
      </c>
      <c r="N11" s="233" t="s">
        <v>221</v>
      </c>
      <c r="O11" s="233" t="s">
        <v>222</v>
      </c>
      <c r="P11" s="330" t="s">
        <v>261</v>
      </c>
      <c r="Q11" s="390"/>
      <c r="R11" s="388"/>
      <c r="S11" s="386"/>
      <c r="T11" s="37"/>
    </row>
    <row r="12" spans="1:20" customFormat="1" ht="15" x14ac:dyDescent="0.25">
      <c r="B12" s="189" t="s">
        <v>97</v>
      </c>
      <c r="C12" s="189" t="s">
        <v>98</v>
      </c>
      <c r="D12" s="189" t="s">
        <v>99</v>
      </c>
      <c r="E12" s="266" t="s">
        <v>100</v>
      </c>
      <c r="F12" s="266" t="s">
        <v>101</v>
      </c>
      <c r="G12" s="260" t="s">
        <v>102</v>
      </c>
      <c r="H12" s="189" t="s">
        <v>103</v>
      </c>
      <c r="I12" s="266" t="s">
        <v>104</v>
      </c>
      <c r="J12" s="266" t="s">
        <v>105</v>
      </c>
      <c r="K12" s="260" t="s">
        <v>106</v>
      </c>
      <c r="L12" s="189" t="s">
        <v>107</v>
      </c>
      <c r="M12" s="189" t="s">
        <v>108</v>
      </c>
      <c r="N12" s="266" t="s">
        <v>109</v>
      </c>
      <c r="O12" s="266" t="s">
        <v>110</v>
      </c>
      <c r="P12" s="260" t="s">
        <v>111</v>
      </c>
      <c r="Q12" s="189" t="s">
        <v>112</v>
      </c>
      <c r="R12" s="196" t="s">
        <v>113</v>
      </c>
      <c r="S12" s="189" t="s">
        <v>114</v>
      </c>
    </row>
    <row r="13" spans="1:20" s="38" customFormat="1" x14ac:dyDescent="0.2">
      <c r="A13" s="5"/>
      <c r="B13" s="43"/>
      <c r="C13" s="44"/>
      <c r="D13" s="43"/>
      <c r="E13" s="267"/>
      <c r="F13" s="267"/>
      <c r="G13" s="267"/>
      <c r="H13" s="43"/>
      <c r="I13" s="43"/>
      <c r="J13" s="43"/>
      <c r="K13" s="43"/>
      <c r="L13" s="43"/>
      <c r="M13" s="43"/>
      <c r="N13" s="43"/>
      <c r="O13" s="43"/>
      <c r="P13" s="43"/>
      <c r="Q13" s="43"/>
      <c r="R13" s="43"/>
      <c r="S13" s="43"/>
      <c r="T13" s="37"/>
    </row>
    <row r="14" spans="1:20" s="38" customFormat="1" x14ac:dyDescent="0.2">
      <c r="A14" s="5"/>
      <c r="B14" s="45" t="s">
        <v>78</v>
      </c>
      <c r="C14" s="46"/>
      <c r="D14" s="47"/>
      <c r="E14" s="268"/>
      <c r="F14" s="268"/>
      <c r="G14" s="268"/>
      <c r="H14" s="47"/>
      <c r="I14" s="47"/>
      <c r="J14" s="47"/>
      <c r="K14" s="47"/>
      <c r="L14" s="47"/>
      <c r="M14" s="47"/>
      <c r="N14" s="47"/>
      <c r="O14" s="47"/>
      <c r="P14" s="47"/>
      <c r="Q14" s="48"/>
      <c r="R14" s="197"/>
      <c r="S14" s="48"/>
      <c r="T14" s="37"/>
    </row>
    <row r="15" spans="1:20" s="209" customFormat="1" outlineLevel="1" x14ac:dyDescent="0.2">
      <c r="A15" s="206" t="str">
        <f>LEFT(B15,4)</f>
        <v xml:space="preserve">1.1 </v>
      </c>
      <c r="B15" s="50" t="s">
        <v>79</v>
      </c>
      <c r="C15" s="198">
        <f>SUM(C16:C18)</f>
        <v>7593016.0899999999</v>
      </c>
      <c r="D15" s="198">
        <f>SUM(D16:D18)</f>
        <v>4000000</v>
      </c>
      <c r="E15" s="198">
        <f t="shared" ref="E15:K15" si="0">SUM(E16:E18)</f>
        <v>2000</v>
      </c>
      <c r="F15" s="198">
        <f t="shared" si="0"/>
        <v>2000</v>
      </c>
      <c r="G15" s="198">
        <f t="shared" si="0"/>
        <v>202000</v>
      </c>
      <c r="H15" s="198">
        <f t="shared" si="0"/>
        <v>206000</v>
      </c>
      <c r="I15" s="198">
        <f t="shared" si="0"/>
        <v>200000</v>
      </c>
      <c r="J15" s="198">
        <f t="shared" si="0"/>
        <v>0</v>
      </c>
      <c r="K15" s="198">
        <f t="shared" si="0"/>
        <v>0</v>
      </c>
      <c r="L15" s="198">
        <f t="shared" ref="L15:O15" si="1">SUM(L16:L18)</f>
        <v>0</v>
      </c>
      <c r="M15" s="198">
        <f t="shared" si="1"/>
        <v>0</v>
      </c>
      <c r="N15" s="198">
        <f t="shared" si="1"/>
        <v>0</v>
      </c>
      <c r="O15" s="198">
        <f t="shared" si="1"/>
        <v>0</v>
      </c>
      <c r="P15" s="198">
        <f t="shared" ref="P15" si="2">SUM(P16:P18)</f>
        <v>0</v>
      </c>
      <c r="Q15" s="198">
        <f>SUM(Q16:Q18)</f>
        <v>11999016.09</v>
      </c>
      <c r="R15" s="200">
        <f>'QFR - B'!G15</f>
        <v>12000000</v>
      </c>
      <c r="S15" s="287">
        <f>R15-Q15</f>
        <v>983.91000000014901</v>
      </c>
      <c r="T15" s="208"/>
    </row>
    <row r="16" spans="1:20" s="209" customFormat="1" outlineLevel="1" x14ac:dyDescent="0.2">
      <c r="A16" s="206" t="s">
        <v>145</v>
      </c>
      <c r="B16" s="202" t="s">
        <v>115</v>
      </c>
      <c r="C16" s="203">
        <v>7593016.0899999999</v>
      </c>
      <c r="D16" s="302">
        <v>0</v>
      </c>
      <c r="E16" s="302">
        <v>0</v>
      </c>
      <c r="F16" s="302"/>
      <c r="G16" s="302">
        <v>200000</v>
      </c>
      <c r="H16" s="204">
        <f>SUMIF('Contract level'!$A:$A,"="&amp;'DFP-Com'!$A16,'Contract level'!AV:AV)</f>
        <v>200000</v>
      </c>
      <c r="I16" s="204">
        <f>SUMIF('Contract level'!$A:$A,"="&amp;'DFP-Com'!$A16,'Contract level'!AW:AW)</f>
        <v>200000</v>
      </c>
      <c r="J16" s="204">
        <f>SUMIF('Contract level'!$A:$A,"="&amp;'DFP-Com'!$A16,'Contract level'!AX:AX)</f>
        <v>0</v>
      </c>
      <c r="K16" s="204">
        <f>SUMIF('Contract level'!$A:$A,"="&amp;'DFP-Com'!$A16,'Contract level'!AY:AY)</f>
        <v>0</v>
      </c>
      <c r="L16" s="204">
        <f>SUMIF('Contract level'!$A:$A,"="&amp;'DFP-Com'!$A16,'Contract level'!AZ:AZ)</f>
        <v>0</v>
      </c>
      <c r="M16" s="204">
        <f>SUMIF('Contract level'!$A:$A,"="&amp;'DFP-Com'!$A16,'Contract level'!BA:BA)</f>
        <v>0</v>
      </c>
      <c r="N16" s="204">
        <f>SUMIF('Contract level'!$A:$A,"="&amp;'DFP-Com'!$A16,'Contract level'!BB:BB)</f>
        <v>0</v>
      </c>
      <c r="O16" s="204">
        <f>SUMIF('Contract level'!$A:$A,"="&amp;'DFP-Com'!$A16,'Contract level'!BC:BC)</f>
        <v>0</v>
      </c>
      <c r="P16" s="302">
        <f>SUMIF('Contract level'!$A:$A,"="&amp;'DFP-Com'!$A16,'Contract level'!BD:BD)</f>
        <v>0</v>
      </c>
      <c r="Q16" s="204">
        <f>SUM(H16:P16)+D16+C16</f>
        <v>7993016.0899999999</v>
      </c>
      <c r="R16" s="205">
        <v>0</v>
      </c>
      <c r="S16" s="288"/>
      <c r="T16" s="208"/>
    </row>
    <row r="17" spans="1:20" s="209" customFormat="1" outlineLevel="1" x14ac:dyDescent="0.2">
      <c r="A17" s="206" t="s">
        <v>146</v>
      </c>
      <c r="B17" s="202" t="s">
        <v>116</v>
      </c>
      <c r="C17" s="203">
        <v>0</v>
      </c>
      <c r="D17" s="204">
        <v>4000000</v>
      </c>
      <c r="E17" s="204">
        <v>0</v>
      </c>
      <c r="F17" s="204"/>
      <c r="G17" s="204"/>
      <c r="H17" s="204">
        <f>SUMIF('Contract level'!$A:$A,"="&amp;'DFP-Com'!$A17,'Contract level'!AV:AV)</f>
        <v>0</v>
      </c>
      <c r="I17" s="204">
        <f>SUMIF('Contract level'!$A:$A,"="&amp;'DFP-Com'!$A17,'Contract level'!AW:AW)</f>
        <v>0</v>
      </c>
      <c r="J17" s="204">
        <f>SUMIF('Contract level'!$A:$A,"="&amp;'DFP-Com'!$A17,'Contract level'!AX:AX)</f>
        <v>0</v>
      </c>
      <c r="K17" s="204">
        <f>SUMIF('Contract level'!$A:$A,"="&amp;'DFP-Com'!$A17,'Contract level'!AY:AY)</f>
        <v>0</v>
      </c>
      <c r="L17" s="204">
        <f>SUMIF('Contract level'!$A:$A,"="&amp;'DFP-Com'!$A17,'Contract level'!AZ:AZ)</f>
        <v>0</v>
      </c>
      <c r="M17" s="204">
        <f>SUMIF('Contract level'!$A:$A,"="&amp;'DFP-Com'!$A17,'Contract level'!BA:BA)</f>
        <v>0</v>
      </c>
      <c r="N17" s="204">
        <f>SUMIF('Contract level'!$A:$A,"="&amp;'DFP-Com'!$A17,'Contract level'!BB:BB)</f>
        <v>0</v>
      </c>
      <c r="O17" s="204">
        <f>SUMIF('Contract level'!$A:$A,"="&amp;'DFP-Com'!$A17,'Contract level'!BC:BC)</f>
        <v>0</v>
      </c>
      <c r="P17" s="302">
        <f>SUMIF('Contract level'!$A:$A,"="&amp;'DFP-Com'!$A17,'Contract level'!BD:BD)</f>
        <v>0</v>
      </c>
      <c r="Q17" s="302">
        <f>SUM(H17:P17)+D17+C17</f>
        <v>4000000</v>
      </c>
      <c r="R17" s="205">
        <v>0</v>
      </c>
      <c r="S17" s="288"/>
      <c r="T17" s="208"/>
    </row>
    <row r="18" spans="1:20" s="209" customFormat="1" outlineLevel="1" x14ac:dyDescent="0.2">
      <c r="A18" s="206" t="s">
        <v>147</v>
      </c>
      <c r="B18" s="202" t="s">
        <v>123</v>
      </c>
      <c r="C18" s="203">
        <v>0</v>
      </c>
      <c r="D18" s="204">
        <v>0</v>
      </c>
      <c r="E18" s="204">
        <v>2000</v>
      </c>
      <c r="F18" s="204">
        <v>2000</v>
      </c>
      <c r="G18" s="204">
        <v>2000</v>
      </c>
      <c r="H18" s="204">
        <f>SUMIF('Contract level'!$A:$A,"="&amp;'DFP-Com'!$A18,'Contract level'!AV:AV)</f>
        <v>6000</v>
      </c>
      <c r="I18" s="204">
        <f>SUMIF('Contract level'!$A:$A,"="&amp;'DFP-Com'!$A18,'Contract level'!AW:AW)</f>
        <v>0</v>
      </c>
      <c r="J18" s="204">
        <f>SUMIF('Contract level'!$A:$A,"="&amp;'DFP-Com'!$A18,'Contract level'!AX:AX)</f>
        <v>0</v>
      </c>
      <c r="K18" s="204">
        <f>SUMIF('Contract level'!$A:$A,"="&amp;'DFP-Com'!$A18,'Contract level'!AY:AY)</f>
        <v>0</v>
      </c>
      <c r="L18" s="204">
        <f>SUMIF('Contract level'!$A:$A,"="&amp;'DFP-Com'!$A18,'Contract level'!AZ:AZ)</f>
        <v>0</v>
      </c>
      <c r="M18" s="204">
        <f>SUMIF('Contract level'!$A:$A,"="&amp;'DFP-Com'!$A18,'Contract level'!BA:BA)</f>
        <v>0</v>
      </c>
      <c r="N18" s="204">
        <f>SUMIF('Contract level'!$A:$A,"="&amp;'DFP-Com'!$A18,'Contract level'!BB:BB)</f>
        <v>0</v>
      </c>
      <c r="O18" s="204">
        <f>SUMIF('Contract level'!$A:$A,"="&amp;'DFP-Com'!$A18,'Contract level'!BC:BC)</f>
        <v>0</v>
      </c>
      <c r="P18" s="302">
        <f>SUMIF('Contract level'!$A:$A,"="&amp;'DFP-Com'!$A18,'Contract level'!BD:BD)</f>
        <v>0</v>
      </c>
      <c r="Q18" s="204">
        <f>SUM(H18:O18)+D18+C18</f>
        <v>6000</v>
      </c>
      <c r="R18" s="205">
        <v>0</v>
      </c>
      <c r="S18" s="288"/>
      <c r="T18" s="208"/>
    </row>
    <row r="19" spans="1:20" s="209" customFormat="1" ht="12.95" customHeight="1" outlineLevel="1" x14ac:dyDescent="0.2">
      <c r="A19" s="206" t="str">
        <f t="shared" ref="A19:A37" si="3">LEFT(B19,4)</f>
        <v xml:space="preserve">1.2 </v>
      </c>
      <c r="B19" s="50" t="s">
        <v>80</v>
      </c>
      <c r="C19" s="198">
        <f>C20</f>
        <v>2364509.34</v>
      </c>
      <c r="D19" s="198">
        <f>D20</f>
        <v>0</v>
      </c>
      <c r="E19" s="198">
        <f t="shared" ref="E19:Q19" si="4">E20</f>
        <v>160400</v>
      </c>
      <c r="F19" s="198">
        <f t="shared" si="4"/>
        <v>2000</v>
      </c>
      <c r="G19" s="198">
        <f t="shared" si="4"/>
        <v>37002.5</v>
      </c>
      <c r="H19" s="198">
        <f t="shared" si="4"/>
        <v>199402.5</v>
      </c>
      <c r="I19" s="198">
        <f t="shared" si="4"/>
        <v>1400000</v>
      </c>
      <c r="J19" s="198">
        <f t="shared" si="4"/>
        <v>0</v>
      </c>
      <c r="K19" s="198">
        <f t="shared" si="4"/>
        <v>0</v>
      </c>
      <c r="L19" s="198">
        <f t="shared" si="4"/>
        <v>22253</v>
      </c>
      <c r="M19" s="198">
        <f t="shared" si="4"/>
        <v>0</v>
      </c>
      <c r="N19" s="198">
        <f t="shared" si="4"/>
        <v>0</v>
      </c>
      <c r="O19" s="198">
        <f t="shared" si="4"/>
        <v>0</v>
      </c>
      <c r="P19" s="198">
        <f t="shared" si="4"/>
        <v>0</v>
      </c>
      <c r="Q19" s="198">
        <f t="shared" si="4"/>
        <v>3986164.84</v>
      </c>
      <c r="R19" s="200">
        <f>'QFR - B'!G16</f>
        <v>4300000</v>
      </c>
      <c r="S19" s="287">
        <f>R19-Q19</f>
        <v>313835.16000000015</v>
      </c>
      <c r="T19" s="208"/>
    </row>
    <row r="20" spans="1:20" s="209" customFormat="1" ht="12.95" customHeight="1" outlineLevel="1" x14ac:dyDescent="0.2">
      <c r="A20" s="206" t="s">
        <v>148</v>
      </c>
      <c r="B20" s="202" t="s">
        <v>124</v>
      </c>
      <c r="C20" s="203">
        <v>2364509.34</v>
      </c>
      <c r="D20" s="302">
        <v>0</v>
      </c>
      <c r="E20" s="302">
        <f>2000+158400</f>
        <v>160400</v>
      </c>
      <c r="F20" s="302">
        <v>2000</v>
      </c>
      <c r="G20" s="302">
        <f>35002.5+2000</f>
        <v>37002.5</v>
      </c>
      <c r="H20" s="204">
        <f>SUMIF('Contract level'!$A:$A,"="&amp;'DFP-Com'!$A20,'Contract level'!AV:AV)</f>
        <v>199402.5</v>
      </c>
      <c r="I20" s="204">
        <f>SUMIF('Contract level'!$A:$A,"="&amp;'DFP-Com'!$A20,'Contract level'!AW:AW)</f>
        <v>1400000</v>
      </c>
      <c r="J20" s="204">
        <f>SUMIF('Contract level'!$A:$A,"="&amp;'DFP-Com'!$A20,'Contract level'!AX:AX)</f>
        <v>0</v>
      </c>
      <c r="K20" s="204">
        <f>SUMIF('Contract level'!$A:$A,"="&amp;'DFP-Com'!$A20,'Contract level'!AY:AY)</f>
        <v>0</v>
      </c>
      <c r="L20" s="204">
        <f>SUMIF('Contract level'!$A:$A,"="&amp;'DFP-Com'!$A20,'Contract level'!AZ:AZ)</f>
        <v>22253</v>
      </c>
      <c r="M20" s="204">
        <f>SUMIF('Contract level'!$A:$A,"="&amp;'DFP-Com'!$A20,'Contract level'!BA:BA)</f>
        <v>0</v>
      </c>
      <c r="N20" s="204">
        <f>SUMIF('Contract level'!$A:$A,"="&amp;'DFP-Com'!$A20,'Contract level'!BB:BB)</f>
        <v>0</v>
      </c>
      <c r="O20" s="204">
        <f>SUMIF('Contract level'!$A:$A,"="&amp;'DFP-Com'!$A20,'Contract level'!BC:BC)</f>
        <v>0</v>
      </c>
      <c r="P20" s="302">
        <f>SUMIF('Contract level'!$A:$A,"="&amp;'DFP-Com'!$A20,'Contract level'!BD:BD)</f>
        <v>0</v>
      </c>
      <c r="Q20" s="204">
        <f>SUM(H20:P20)+D20+C20</f>
        <v>3986164.84</v>
      </c>
      <c r="R20" s="205">
        <v>0</v>
      </c>
      <c r="S20" s="288"/>
      <c r="T20" s="208"/>
    </row>
    <row r="21" spans="1:20" s="209" customFormat="1" outlineLevel="1" x14ac:dyDescent="0.2">
      <c r="A21" s="206">
        <v>1.3</v>
      </c>
      <c r="B21" s="50" t="s">
        <v>81</v>
      </c>
      <c r="C21" s="198">
        <f>SUM(C22:C24)</f>
        <v>2838011.3800000004</v>
      </c>
      <c r="D21" s="198">
        <f>SUM(D22:D24)</f>
        <v>47258</v>
      </c>
      <c r="E21" s="198">
        <f t="shared" ref="E21:Q21" si="5">SUM(E22:E24)</f>
        <v>0</v>
      </c>
      <c r="F21" s="198">
        <f t="shared" si="5"/>
        <v>2000</v>
      </c>
      <c r="G21" s="198">
        <f t="shared" si="5"/>
        <v>0</v>
      </c>
      <c r="H21" s="198">
        <f t="shared" si="5"/>
        <v>2000</v>
      </c>
      <c r="I21" s="198">
        <f t="shared" si="5"/>
        <v>0</v>
      </c>
      <c r="J21" s="198">
        <f t="shared" si="5"/>
        <v>24000</v>
      </c>
      <c r="K21" s="198">
        <f t="shared" si="5"/>
        <v>42000</v>
      </c>
      <c r="L21" s="198">
        <f t="shared" ref="L21:O21" si="6">SUM(L22:L24)</f>
        <v>0</v>
      </c>
      <c r="M21" s="198">
        <f t="shared" si="6"/>
        <v>0</v>
      </c>
      <c r="N21" s="198">
        <f t="shared" si="6"/>
        <v>14320.16</v>
      </c>
      <c r="O21" s="198">
        <f t="shared" si="6"/>
        <v>17640.88</v>
      </c>
      <c r="P21" s="198">
        <f t="shared" ref="P21" si="7">SUM(P22:P24)</f>
        <v>0</v>
      </c>
      <c r="Q21" s="198">
        <f t="shared" si="5"/>
        <v>2985230.42</v>
      </c>
      <c r="R21" s="200">
        <f>'QFR - B'!G17</f>
        <v>3000000</v>
      </c>
      <c r="S21" s="287">
        <f>R21-Q21</f>
        <v>14769.580000000075</v>
      </c>
      <c r="T21" s="208"/>
    </row>
    <row r="22" spans="1:20" s="209" customFormat="1" ht="12.95" customHeight="1" outlineLevel="1" x14ac:dyDescent="0.2">
      <c r="A22" s="206" t="s">
        <v>149</v>
      </c>
      <c r="B22" s="202" t="s">
        <v>117</v>
      </c>
      <c r="C22" s="203">
        <v>2772876.18</v>
      </c>
      <c r="D22" s="302">
        <v>0</v>
      </c>
      <c r="E22" s="204"/>
      <c r="F22" s="204"/>
      <c r="G22" s="204"/>
      <c r="H22" s="204">
        <f>SUMIF('Contract level'!$A:$A,"="&amp;'DFP-Com'!$A22,'Contract level'!AV:AV)</f>
        <v>0</v>
      </c>
      <c r="I22" s="204">
        <f>SUMIF('Contract level'!$A:$A,"="&amp;'DFP-Com'!$A22,'Contract level'!AW:AW)</f>
        <v>0</v>
      </c>
      <c r="J22" s="204">
        <f>SUMIF('Contract level'!$A:$A,"="&amp;'DFP-Com'!$A22,'Contract level'!AX:AX)</f>
        <v>0</v>
      </c>
      <c r="K22" s="204">
        <f>SUMIF('Contract level'!$A:$A,"="&amp;'DFP-Com'!$A22,'Contract level'!AY:AY)</f>
        <v>0</v>
      </c>
      <c r="L22" s="204">
        <f>SUMIF('Contract level'!$A:$A,"="&amp;'DFP-Com'!$A22,'Contract level'!AZ:AZ)</f>
        <v>0</v>
      </c>
      <c r="M22" s="204">
        <f>SUMIF('Contract level'!$A:$A,"="&amp;'DFP-Com'!$A22,'Contract level'!BA:BA)</f>
        <v>0</v>
      </c>
      <c r="N22" s="204">
        <f>SUMIF('Contract level'!$A:$A,"="&amp;'DFP-Com'!$A22,'Contract level'!BB:BB)</f>
        <v>0</v>
      </c>
      <c r="O22" s="204">
        <f>SUMIF('Contract level'!$A:$A,"="&amp;'DFP-Com'!$A22,'Contract level'!BC:BC)</f>
        <v>0</v>
      </c>
      <c r="P22" s="302">
        <f>SUMIF('Contract level'!$A:$A,"="&amp;'DFP-Com'!$A22,'Contract level'!BD:BD)</f>
        <v>0</v>
      </c>
      <c r="Q22" s="204">
        <f>SUM(H22:P22)+D22+C22</f>
        <v>2772876.18</v>
      </c>
      <c r="R22" s="205"/>
      <c r="S22" s="288"/>
      <c r="T22" s="208"/>
    </row>
    <row r="23" spans="1:20" s="209" customFormat="1" ht="12.95" customHeight="1" outlineLevel="1" x14ac:dyDescent="0.2">
      <c r="A23" s="206" t="s">
        <v>150</v>
      </c>
      <c r="B23" s="202" t="s">
        <v>133</v>
      </c>
      <c r="C23" s="203">
        <v>65135.199999999997</v>
      </c>
      <c r="D23" s="204">
        <f>43758+3500</f>
        <v>47258</v>
      </c>
      <c r="E23" s="302">
        <v>0</v>
      </c>
      <c r="F23" s="302"/>
      <c r="G23" s="302"/>
      <c r="H23" s="204">
        <f>SUMIF('Contract level'!$A:$A,"="&amp;'DFP-Com'!$A23,'Contract level'!AV:AV)</f>
        <v>0</v>
      </c>
      <c r="I23" s="204">
        <f>SUMIF('Contract level'!$A:$A,"="&amp;'DFP-Com'!$A23,'Contract level'!AW:AW)</f>
        <v>0</v>
      </c>
      <c r="J23" s="204">
        <f>SUMIF('Contract level'!$A:$A,"="&amp;'DFP-Com'!$A23,'Contract level'!AX:AX)</f>
        <v>24000</v>
      </c>
      <c r="K23" s="204">
        <f>SUMIF('Contract level'!$A:$A,"="&amp;'DFP-Com'!$A23,'Contract level'!AY:AY)</f>
        <v>42000</v>
      </c>
      <c r="L23" s="204">
        <f>SUMIF('Contract level'!$A:$A,"="&amp;'DFP-Com'!$A23,'Contract level'!AZ:AZ)</f>
        <v>0</v>
      </c>
      <c r="M23" s="204">
        <f>SUMIF('Contract level'!$A:$A,"="&amp;'DFP-Com'!$A23,'Contract level'!BA:BA)</f>
        <v>0</v>
      </c>
      <c r="N23" s="204">
        <f>SUMIF('Contract level'!$A:$A,"="&amp;'DFP-Com'!$A23,'Contract level'!BB:BB)</f>
        <v>14320.16</v>
      </c>
      <c r="O23" s="204">
        <f>SUMIF('Contract level'!$A:$A,"="&amp;'DFP-Com'!$A23,'Contract level'!BC:BC)</f>
        <v>17640.88</v>
      </c>
      <c r="P23" s="302">
        <f>SUMIF('Contract level'!$A:$A,"="&amp;'DFP-Com'!$A23,'Contract level'!BD:BD)</f>
        <v>0</v>
      </c>
      <c r="Q23" s="302">
        <f>SUM(H23:P23)+D23+C23</f>
        <v>210354.24</v>
      </c>
      <c r="R23" s="205"/>
      <c r="S23" s="288"/>
      <c r="T23" s="208"/>
    </row>
    <row r="24" spans="1:20" s="209" customFormat="1" outlineLevel="1" x14ac:dyDescent="0.2">
      <c r="A24" s="206" t="s">
        <v>151</v>
      </c>
      <c r="B24" s="202" t="s">
        <v>132</v>
      </c>
      <c r="C24" s="203"/>
      <c r="D24" s="204">
        <v>0</v>
      </c>
      <c r="E24" s="204">
        <v>0</v>
      </c>
      <c r="F24" s="204">
        <v>2000</v>
      </c>
      <c r="G24" s="204">
        <v>0</v>
      </c>
      <c r="H24" s="204">
        <f>SUMIF('Contract level'!$A:$A,"="&amp;'DFP-Com'!$A24,'Contract level'!AV:AV)</f>
        <v>2000</v>
      </c>
      <c r="I24" s="204">
        <f>SUMIF('Contract level'!$A:$A,"="&amp;'DFP-Com'!$A24,'Contract level'!AW:AW)</f>
        <v>0</v>
      </c>
      <c r="J24" s="204">
        <f>SUMIF('Contract level'!$A:$A,"="&amp;'DFP-Com'!$A24,'Contract level'!AX:AX)</f>
        <v>0</v>
      </c>
      <c r="K24" s="204">
        <f>SUMIF('Contract level'!$A:$A,"="&amp;'DFP-Com'!$A24,'Contract level'!AY:AY)</f>
        <v>0</v>
      </c>
      <c r="L24" s="204">
        <f>SUMIF('Contract level'!$A:$A,"="&amp;'DFP-Com'!$A24,'Contract level'!AZ:AZ)</f>
        <v>0</v>
      </c>
      <c r="M24" s="204">
        <f>SUMIF('Contract level'!$A:$A,"="&amp;'DFP-Com'!$A24,'Contract level'!BA:BA)</f>
        <v>0</v>
      </c>
      <c r="N24" s="204">
        <f>SUMIF('Contract level'!$A:$A,"="&amp;'DFP-Com'!$A24,'Contract level'!BB:BB)</f>
        <v>0</v>
      </c>
      <c r="O24" s="204">
        <f>SUMIF('Contract level'!$A:$A,"="&amp;'DFP-Com'!$A24,'Contract level'!BC:BC)</f>
        <v>0</v>
      </c>
      <c r="P24" s="302">
        <f>SUMIF('Contract level'!$A:$A,"="&amp;'DFP-Com'!$A24,'Contract level'!BD:BD)</f>
        <v>0</v>
      </c>
      <c r="Q24" s="204">
        <f>SUM(H24:O24)+D24+C24</f>
        <v>2000</v>
      </c>
      <c r="R24" s="205"/>
      <c r="S24" s="288"/>
      <c r="T24" s="208"/>
    </row>
    <row r="25" spans="1:20" s="209" customFormat="1" x14ac:dyDescent="0.2">
      <c r="A25" s="206" t="str">
        <f t="shared" si="3"/>
        <v>TOTA</v>
      </c>
      <c r="B25" s="52" t="s">
        <v>62</v>
      </c>
      <c r="C25" s="199">
        <f>C21+C19+C15</f>
        <v>12795536.810000001</v>
      </c>
      <c r="D25" s="199">
        <f>D21+D19+D15</f>
        <v>4047258</v>
      </c>
      <c r="E25" s="199">
        <f t="shared" ref="E25:Q25" si="8">E21+E19+E15</f>
        <v>162400</v>
      </c>
      <c r="F25" s="199">
        <f t="shared" si="8"/>
        <v>6000</v>
      </c>
      <c r="G25" s="199">
        <f t="shared" si="8"/>
        <v>239002.5</v>
      </c>
      <c r="H25" s="199">
        <f t="shared" si="8"/>
        <v>407402.5</v>
      </c>
      <c r="I25" s="199">
        <f t="shared" si="8"/>
        <v>1600000</v>
      </c>
      <c r="J25" s="199">
        <f t="shared" si="8"/>
        <v>24000</v>
      </c>
      <c r="K25" s="199">
        <f t="shared" si="8"/>
        <v>42000</v>
      </c>
      <c r="L25" s="199">
        <f t="shared" ref="L25:O25" si="9">L21+L19+L15</f>
        <v>22253</v>
      </c>
      <c r="M25" s="199">
        <f t="shared" si="9"/>
        <v>0</v>
      </c>
      <c r="N25" s="199">
        <f t="shared" si="9"/>
        <v>14320.16</v>
      </c>
      <c r="O25" s="199">
        <f t="shared" si="9"/>
        <v>17640.88</v>
      </c>
      <c r="P25" s="199">
        <f t="shared" ref="P25" si="10">P21+P19+P15</f>
        <v>0</v>
      </c>
      <c r="Q25" s="199">
        <f t="shared" si="8"/>
        <v>18970411.350000001</v>
      </c>
      <c r="R25" s="201">
        <f>R15+R19+R21</f>
        <v>19300000</v>
      </c>
      <c r="S25" s="289">
        <f>S15+S19+S21</f>
        <v>329588.65000000037</v>
      </c>
      <c r="T25" s="208"/>
    </row>
    <row r="26" spans="1:20" s="38" customFormat="1" x14ac:dyDescent="0.2">
      <c r="A26" s="206" t="str">
        <f t="shared" si="3"/>
        <v/>
      </c>
      <c r="B26" s="54"/>
      <c r="C26" s="276"/>
      <c r="D26" s="218"/>
      <c r="E26" s="218"/>
      <c r="F26" s="218"/>
      <c r="G26" s="218"/>
      <c r="H26" s="218"/>
      <c r="I26" s="218"/>
      <c r="J26" s="218"/>
      <c r="K26" s="218"/>
      <c r="L26" s="218"/>
      <c r="M26" s="218"/>
      <c r="N26" s="218"/>
      <c r="O26" s="218"/>
      <c r="P26" s="218"/>
      <c r="Q26" s="218"/>
      <c r="R26" s="272"/>
      <c r="S26" s="290"/>
      <c r="T26" s="37"/>
    </row>
    <row r="27" spans="1:20" s="38" customFormat="1" x14ac:dyDescent="0.2">
      <c r="A27" s="206" t="str">
        <f t="shared" si="3"/>
        <v>2. R</v>
      </c>
      <c r="B27" s="45" t="s">
        <v>84</v>
      </c>
      <c r="C27" s="277"/>
      <c r="D27" s="219"/>
      <c r="E27" s="219"/>
      <c r="F27" s="219"/>
      <c r="G27" s="219"/>
      <c r="H27" s="219"/>
      <c r="I27" s="219"/>
      <c r="J27" s="219"/>
      <c r="K27" s="219"/>
      <c r="L27" s="219"/>
      <c r="M27" s="219"/>
      <c r="N27" s="219"/>
      <c r="O27" s="219"/>
      <c r="P27" s="219"/>
      <c r="Q27" s="219"/>
      <c r="R27" s="273"/>
      <c r="S27" s="291"/>
      <c r="T27" s="37"/>
    </row>
    <row r="28" spans="1:20" s="38" customFormat="1" outlineLevel="1" x14ac:dyDescent="0.2">
      <c r="A28" s="206">
        <v>2.1</v>
      </c>
      <c r="B28" s="50" t="s">
        <v>134</v>
      </c>
      <c r="C28" s="221">
        <f t="shared" ref="C28:Q28" si="11">SUM(C29:C29)</f>
        <v>140500</v>
      </c>
      <c r="D28" s="221">
        <f t="shared" si="11"/>
        <v>182336.42</v>
      </c>
      <c r="E28" s="221">
        <f t="shared" si="11"/>
        <v>4000</v>
      </c>
      <c r="F28" s="221">
        <f t="shared" si="11"/>
        <v>0</v>
      </c>
      <c r="G28" s="221">
        <f t="shared" si="11"/>
        <v>0</v>
      </c>
      <c r="H28" s="221">
        <f t="shared" si="11"/>
        <v>4000</v>
      </c>
      <c r="I28" s="221">
        <f t="shared" si="11"/>
        <v>449725.48</v>
      </c>
      <c r="J28" s="221">
        <f t="shared" si="11"/>
        <v>0</v>
      </c>
      <c r="K28" s="221">
        <f t="shared" si="11"/>
        <v>0</v>
      </c>
      <c r="L28" s="221">
        <f t="shared" si="11"/>
        <v>0</v>
      </c>
      <c r="M28" s="221">
        <f t="shared" si="11"/>
        <v>0</v>
      </c>
      <c r="N28" s="221">
        <f t="shared" si="11"/>
        <v>0</v>
      </c>
      <c r="O28" s="221">
        <f t="shared" si="11"/>
        <v>0</v>
      </c>
      <c r="P28" s="221">
        <f t="shared" si="11"/>
        <v>0</v>
      </c>
      <c r="Q28" s="221">
        <f t="shared" si="11"/>
        <v>776561.9</v>
      </c>
      <c r="R28" s="200">
        <f>'QFR - B'!G20</f>
        <v>800000</v>
      </c>
      <c r="S28" s="287">
        <f>R28-Q28</f>
        <v>23438.099999999977</v>
      </c>
      <c r="T28" s="37"/>
    </row>
    <row r="29" spans="1:20" s="209" customFormat="1" outlineLevel="1" x14ac:dyDescent="0.2">
      <c r="A29" s="206" t="s">
        <v>152</v>
      </c>
      <c r="B29" s="202" t="s">
        <v>127</v>
      </c>
      <c r="C29" s="203">
        <v>140500</v>
      </c>
      <c r="D29" s="302">
        <v>182336.42</v>
      </c>
      <c r="E29" s="302">
        <v>4000</v>
      </c>
      <c r="F29" s="302">
        <v>0</v>
      </c>
      <c r="G29" s="302">
        <v>0</v>
      </c>
      <c r="H29" s="204">
        <f>SUMIF('Contract level'!$A:$A,"="&amp;'DFP-Com'!$A29,'Contract level'!AV:AV)</f>
        <v>4000</v>
      </c>
      <c r="I29" s="204">
        <f>SUMIF('Contract level'!$A:$A,"="&amp;'DFP-Com'!$A29,'Contract level'!AW:AW)</f>
        <v>449725.48</v>
      </c>
      <c r="J29" s="204">
        <f>SUMIF('Contract level'!$A:$A,"="&amp;'DFP-Com'!$A29,'Contract level'!AX:AX)</f>
        <v>0</v>
      </c>
      <c r="K29" s="204">
        <f>SUMIF('Contract level'!$A:$A,"="&amp;'DFP-Com'!$A29,'Contract level'!AY:AY)</f>
        <v>0</v>
      </c>
      <c r="L29" s="204">
        <f>SUMIF('Contract level'!$A:$A,"="&amp;'DFP-Com'!$A29,'Contract level'!AZ:AZ)</f>
        <v>0</v>
      </c>
      <c r="M29" s="204">
        <f>SUMIF('Contract level'!$A:$A,"="&amp;'DFP-Com'!$A29,'Contract level'!BA:BA)</f>
        <v>0</v>
      </c>
      <c r="N29" s="204">
        <f>SUMIF('Contract level'!$A:$A,"="&amp;'DFP-Com'!$A29,'Contract level'!BB:BB)</f>
        <v>0</v>
      </c>
      <c r="O29" s="204">
        <f>SUMIF('Contract level'!$A:$A,"="&amp;'DFP-Com'!$A29,'Contract level'!BC:BC)</f>
        <v>0</v>
      </c>
      <c r="P29" s="302">
        <f>SUMIF('Contract level'!$A:$A,"="&amp;'DFP-Com'!$A29,'Contract level'!BD:BD)</f>
        <v>0</v>
      </c>
      <c r="Q29" s="204">
        <f>SUM(H29:P29)+D29+C29</f>
        <v>776561.9</v>
      </c>
      <c r="R29" s="205"/>
      <c r="S29" s="288"/>
      <c r="T29" s="208"/>
    </row>
    <row r="30" spans="1:20" s="38" customFormat="1" outlineLevel="1" x14ac:dyDescent="0.2">
      <c r="A30" s="206">
        <v>2.2000000000000002</v>
      </c>
      <c r="B30" s="50" t="s">
        <v>88</v>
      </c>
      <c r="C30" s="198">
        <f>SUM(C31:C33)</f>
        <v>1617046.91</v>
      </c>
      <c r="D30" s="198">
        <f>SUM(D31:D33)</f>
        <v>6425.8</v>
      </c>
      <c r="E30" s="198">
        <f t="shared" ref="E30:K30" si="12">SUM(E31:E33)</f>
        <v>0</v>
      </c>
      <c r="F30" s="198">
        <f t="shared" si="12"/>
        <v>0</v>
      </c>
      <c r="G30" s="198">
        <f t="shared" si="12"/>
        <v>1745000</v>
      </c>
      <c r="H30" s="198">
        <f t="shared" si="12"/>
        <v>1745000</v>
      </c>
      <c r="I30" s="198">
        <f t="shared" si="12"/>
        <v>147000</v>
      </c>
      <c r="J30" s="198">
        <f t="shared" si="12"/>
        <v>73500</v>
      </c>
      <c r="K30" s="198">
        <f t="shared" si="12"/>
        <v>0</v>
      </c>
      <c r="L30" s="198">
        <f t="shared" ref="L30:O30" si="13">SUM(L31:L33)</f>
        <v>0</v>
      </c>
      <c r="M30" s="198">
        <f t="shared" si="13"/>
        <v>0</v>
      </c>
      <c r="N30" s="198">
        <f t="shared" si="13"/>
        <v>0</v>
      </c>
      <c r="O30" s="198">
        <f t="shared" si="13"/>
        <v>0</v>
      </c>
      <c r="P30" s="198">
        <f t="shared" ref="P30" si="14">SUM(P31:P33)</f>
        <v>0</v>
      </c>
      <c r="Q30" s="198">
        <f>SUM(Q31:Q33)</f>
        <v>3588972.7100000004</v>
      </c>
      <c r="R30" s="200">
        <f>'QFR - B'!G21</f>
        <v>3600000</v>
      </c>
      <c r="S30" s="287">
        <f>R30-Q30</f>
        <v>11027.289999999572</v>
      </c>
      <c r="T30" s="37"/>
    </row>
    <row r="31" spans="1:20" s="209" customFormat="1" outlineLevel="1" x14ac:dyDescent="0.2">
      <c r="A31" s="206" t="s">
        <v>153</v>
      </c>
      <c r="B31" s="202" t="s">
        <v>128</v>
      </c>
      <c r="C31" s="203">
        <v>580856.27</v>
      </c>
      <c r="D31" s="302">
        <v>6425.8</v>
      </c>
      <c r="E31" s="204">
        <v>0</v>
      </c>
      <c r="F31" s="204">
        <v>0</v>
      </c>
      <c r="G31" s="204">
        <v>0</v>
      </c>
      <c r="H31" s="204">
        <f>SUMIF('Contract level'!$A:$A,"="&amp;'DFP-Com'!$A31,'Contract level'!AV:AV)</f>
        <v>0</v>
      </c>
      <c r="I31" s="204">
        <f>SUMIF('Contract level'!$A:$A,"="&amp;'DFP-Com'!$A31,'Contract level'!AW:AW)</f>
        <v>147000</v>
      </c>
      <c r="J31" s="204">
        <f>SUMIF('Contract level'!$A:$A,"="&amp;'DFP-Com'!$A31,'Contract level'!AX:AX)</f>
        <v>73500</v>
      </c>
      <c r="K31" s="204">
        <f>SUMIF('Contract level'!$A:$A,"="&amp;'DFP-Com'!$A31,'Contract level'!AY:AY)</f>
        <v>0</v>
      </c>
      <c r="L31" s="204">
        <f>SUMIF('Contract level'!$A:$A,"="&amp;'DFP-Com'!$A31,'Contract level'!AZ:AZ)</f>
        <v>0</v>
      </c>
      <c r="M31" s="204">
        <f>SUMIF('Contract level'!$A:$A,"="&amp;'DFP-Com'!$A31,'Contract level'!BA:BA)</f>
        <v>0</v>
      </c>
      <c r="N31" s="204">
        <f>SUMIF('Contract level'!$A:$A,"="&amp;'DFP-Com'!$A31,'Contract level'!BB:BB)</f>
        <v>0</v>
      </c>
      <c r="O31" s="204">
        <f>SUMIF('Contract level'!$A:$A,"="&amp;'DFP-Com'!$A31,'Contract level'!BC:BC)</f>
        <v>0</v>
      </c>
      <c r="P31" s="302">
        <f>SUMIF('Contract level'!$A:$A,"="&amp;'DFP-Com'!$A31,'Contract level'!BD:BD)</f>
        <v>0</v>
      </c>
      <c r="Q31" s="204">
        <f>SUM(H31:P31)+D31+C31</f>
        <v>807782.07000000007</v>
      </c>
      <c r="R31" s="205"/>
      <c r="S31" s="288"/>
      <c r="T31" s="208"/>
    </row>
    <row r="32" spans="1:20" s="209" customFormat="1" outlineLevel="1" x14ac:dyDescent="0.2">
      <c r="A32" s="206" t="s">
        <v>154</v>
      </c>
      <c r="B32" s="202" t="s">
        <v>129</v>
      </c>
      <c r="C32" s="203">
        <v>1030229</v>
      </c>
      <c r="D32" s="204">
        <v>0</v>
      </c>
      <c r="E32" s="302">
        <v>0</v>
      </c>
      <c r="F32" s="302">
        <v>0</v>
      </c>
      <c r="G32" s="302">
        <v>1745000</v>
      </c>
      <c r="H32" s="204">
        <f>SUMIF('Contract level'!$A:$A,"="&amp;'DFP-Com'!$A32,'Contract level'!AV:AV)</f>
        <v>1745000</v>
      </c>
      <c r="I32" s="204">
        <f>SUMIF('Contract level'!$A:$A,"="&amp;'DFP-Com'!$A32,'Contract level'!AW:AW)</f>
        <v>0</v>
      </c>
      <c r="J32" s="204">
        <f>SUMIF('Contract level'!$A:$A,"="&amp;'DFP-Com'!$A32,'Contract level'!AX:AX)</f>
        <v>0</v>
      </c>
      <c r="K32" s="204">
        <f>SUMIF('Contract level'!$A:$A,"="&amp;'DFP-Com'!$A32,'Contract level'!AY:AY)</f>
        <v>0</v>
      </c>
      <c r="L32" s="204">
        <f>SUMIF('Contract level'!$A:$A,"="&amp;'DFP-Com'!$A32,'Contract level'!AZ:AZ)</f>
        <v>0</v>
      </c>
      <c r="M32" s="204">
        <f>SUMIF('Contract level'!$A:$A,"="&amp;'DFP-Com'!$A32,'Contract level'!BA:BA)</f>
        <v>0</v>
      </c>
      <c r="N32" s="204">
        <f>SUMIF('Contract level'!$A:$A,"="&amp;'DFP-Com'!$A32,'Contract level'!BB:BB)</f>
        <v>0</v>
      </c>
      <c r="O32" s="204">
        <f>SUMIF('Contract level'!$A:$A,"="&amp;'DFP-Com'!$A32,'Contract level'!BC:BC)</f>
        <v>0</v>
      </c>
      <c r="P32" s="302">
        <f>SUMIF('Contract level'!$A:$A,"="&amp;'DFP-Com'!$A32,'Contract level'!BD:BD)</f>
        <v>0</v>
      </c>
      <c r="Q32" s="302">
        <f>SUM(H32:P32)+D32+C32</f>
        <v>2775229</v>
      </c>
      <c r="R32" s="205"/>
      <c r="S32" s="288"/>
      <c r="T32" s="208"/>
    </row>
    <row r="33" spans="1:20" s="209" customFormat="1" outlineLevel="1" x14ac:dyDescent="0.2">
      <c r="A33" s="206" t="s">
        <v>155</v>
      </c>
      <c r="B33" s="202" t="s">
        <v>131</v>
      </c>
      <c r="C33" s="203">
        <v>5961.64</v>
      </c>
      <c r="D33" s="302">
        <v>0</v>
      </c>
      <c r="E33" s="204">
        <v>0</v>
      </c>
      <c r="F33" s="204">
        <v>0</v>
      </c>
      <c r="G33" s="204">
        <v>0</v>
      </c>
      <c r="H33" s="204">
        <f>SUMIF('Contract level'!$A:$A,"="&amp;'DFP-Com'!$A33,'Contract level'!AV:AV)</f>
        <v>0</v>
      </c>
      <c r="I33" s="204">
        <f>SUMIF('Contract level'!$A:$A,"="&amp;'DFP-Com'!$A33,'Contract level'!AW:AW)</f>
        <v>0</v>
      </c>
      <c r="J33" s="204">
        <f>SUMIF('Contract level'!$A:$A,"="&amp;'DFP-Com'!$A33,'Contract level'!AX:AX)</f>
        <v>0</v>
      </c>
      <c r="K33" s="204">
        <f>SUMIF('Contract level'!$A:$A,"="&amp;'DFP-Com'!$A33,'Contract level'!AY:AY)</f>
        <v>0</v>
      </c>
      <c r="L33" s="204">
        <f>SUMIF('Contract level'!$A:$A,"="&amp;'DFP-Com'!$A33,'Contract level'!AZ:AZ)</f>
        <v>0</v>
      </c>
      <c r="M33" s="204">
        <f>SUMIF('Contract level'!$A:$A,"="&amp;'DFP-Com'!$A33,'Contract level'!BA:BA)</f>
        <v>0</v>
      </c>
      <c r="N33" s="204">
        <f>SUMIF('Contract level'!$A:$A,"="&amp;'DFP-Com'!$A33,'Contract level'!BB:BB)</f>
        <v>0</v>
      </c>
      <c r="O33" s="204">
        <f>SUMIF('Contract level'!$A:$A,"="&amp;'DFP-Com'!$A33,'Contract level'!BC:BC)</f>
        <v>0</v>
      </c>
      <c r="P33" s="302">
        <f>SUMIF('Contract level'!$A:$A,"="&amp;'DFP-Com'!$A33,'Contract level'!BD:BD)</f>
        <v>0</v>
      </c>
      <c r="Q33" s="204">
        <f>SUM(H33:O33)+D33+C33</f>
        <v>5961.64</v>
      </c>
      <c r="R33" s="205"/>
      <c r="S33" s="288"/>
      <c r="T33" s="208"/>
    </row>
    <row r="34" spans="1:20" s="38" customFormat="1" x14ac:dyDescent="0.2">
      <c r="A34" s="206" t="str">
        <f t="shared" si="3"/>
        <v>TOTA</v>
      </c>
      <c r="B34" s="59" t="s">
        <v>63</v>
      </c>
      <c r="C34" s="199">
        <f>C30+C28</f>
        <v>1757546.91</v>
      </c>
      <c r="D34" s="199">
        <f>D30+D28</f>
        <v>188762.22</v>
      </c>
      <c r="E34" s="199">
        <f>+E28+E30</f>
        <v>4000</v>
      </c>
      <c r="F34" s="199">
        <f>+F28+F30</f>
        <v>0</v>
      </c>
      <c r="G34" s="199">
        <f>+G28+G30</f>
        <v>1745000</v>
      </c>
      <c r="H34" s="199">
        <f t="shared" ref="H34:O34" si="15">H30+H28</f>
        <v>1749000</v>
      </c>
      <c r="I34" s="199">
        <f t="shared" si="15"/>
        <v>596725.48</v>
      </c>
      <c r="J34" s="199">
        <f t="shared" si="15"/>
        <v>73500</v>
      </c>
      <c r="K34" s="199">
        <f t="shared" si="15"/>
        <v>0</v>
      </c>
      <c r="L34" s="199">
        <f t="shared" si="15"/>
        <v>0</v>
      </c>
      <c r="M34" s="199">
        <f t="shared" si="15"/>
        <v>0</v>
      </c>
      <c r="N34" s="199">
        <f t="shared" si="15"/>
        <v>0</v>
      </c>
      <c r="O34" s="199">
        <f t="shared" si="15"/>
        <v>0</v>
      </c>
      <c r="P34" s="199">
        <f t="shared" ref="P34" si="16">P30+P28</f>
        <v>0</v>
      </c>
      <c r="Q34" s="199">
        <f>Q28+Q30</f>
        <v>4365534.6100000003</v>
      </c>
      <c r="R34" s="275">
        <f>SUM(R28:R33)</f>
        <v>4400000</v>
      </c>
      <c r="S34" s="289">
        <f>SUM(S27:S33)</f>
        <v>34465.389999999548</v>
      </c>
      <c r="T34" s="37"/>
    </row>
    <row r="35" spans="1:20" s="38" customFormat="1" x14ac:dyDescent="0.2">
      <c r="A35" s="206" t="str">
        <f t="shared" si="3"/>
        <v/>
      </c>
      <c r="B35" s="54"/>
      <c r="C35" s="276"/>
      <c r="D35" s="218"/>
      <c r="E35" s="218"/>
      <c r="F35" s="218"/>
      <c r="G35" s="218"/>
      <c r="H35" s="218"/>
      <c r="I35" s="218"/>
      <c r="J35" s="218"/>
      <c r="K35" s="218"/>
      <c r="L35" s="218"/>
      <c r="M35" s="218"/>
      <c r="N35" s="218"/>
      <c r="O35" s="218"/>
      <c r="P35" s="218"/>
      <c r="Q35" s="218"/>
      <c r="R35" s="272"/>
      <c r="S35" s="290"/>
      <c r="T35" s="37"/>
    </row>
    <row r="36" spans="1:20" s="64" customFormat="1" x14ac:dyDescent="0.2">
      <c r="A36" s="206" t="str">
        <f t="shared" si="3"/>
        <v>3. M</v>
      </c>
      <c r="B36" s="45" t="s">
        <v>93</v>
      </c>
      <c r="C36" s="278"/>
      <c r="D36" s="269"/>
      <c r="E36" s="269"/>
      <c r="F36" s="269"/>
      <c r="G36" s="269"/>
      <c r="H36" s="269"/>
      <c r="I36" s="269"/>
      <c r="J36" s="269"/>
      <c r="K36" s="269"/>
      <c r="L36" s="269"/>
      <c r="M36" s="269"/>
      <c r="N36" s="269"/>
      <c r="O36" s="269"/>
      <c r="P36" s="269"/>
      <c r="Q36" s="219"/>
      <c r="R36" s="273"/>
      <c r="S36" s="291"/>
      <c r="T36" s="63"/>
    </row>
    <row r="37" spans="1:20" s="64" customFormat="1" outlineLevel="1" x14ac:dyDescent="0.2">
      <c r="A37" s="206" t="str">
        <f t="shared" si="3"/>
        <v xml:space="preserve">   M</v>
      </c>
      <c r="B37" s="65" t="s">
        <v>94</v>
      </c>
      <c r="C37" s="198">
        <f t="shared" ref="C37:H37" si="17">SUM(C38:C41)</f>
        <v>114504.88</v>
      </c>
      <c r="D37" s="198">
        <f t="shared" si="17"/>
        <v>66000</v>
      </c>
      <c r="E37" s="198">
        <f t="shared" si="17"/>
        <v>2000</v>
      </c>
      <c r="F37" s="198">
        <f t="shared" si="17"/>
        <v>32000</v>
      </c>
      <c r="G37" s="198">
        <f t="shared" si="17"/>
        <v>95000</v>
      </c>
      <c r="H37" s="198">
        <f t="shared" si="17"/>
        <v>129000</v>
      </c>
      <c r="I37" s="198">
        <f t="shared" ref="I37:K37" si="18">SUM(I38:I40)</f>
        <v>0</v>
      </c>
      <c r="J37" s="198">
        <f t="shared" si="18"/>
        <v>0</v>
      </c>
      <c r="K37" s="198">
        <f t="shared" si="18"/>
        <v>0</v>
      </c>
      <c r="L37" s="198">
        <f t="shared" ref="L37:O37" si="19">SUM(L38:L40)</f>
        <v>0</v>
      </c>
      <c r="M37" s="198">
        <f t="shared" si="19"/>
        <v>0</v>
      </c>
      <c r="N37" s="198">
        <f t="shared" si="19"/>
        <v>0</v>
      </c>
      <c r="O37" s="198">
        <f t="shared" si="19"/>
        <v>170000</v>
      </c>
      <c r="P37" s="198">
        <f t="shared" ref="P37" si="20">SUM(P38:P40)</f>
        <v>0</v>
      </c>
      <c r="Q37" s="221">
        <f>SUM(Q38:Q41)</f>
        <v>479504.88</v>
      </c>
      <c r="R37" s="200">
        <f>'QFR - B'!G24</f>
        <v>1700000</v>
      </c>
      <c r="S37" s="287">
        <f>R37-Q37</f>
        <v>1220495.1200000001</v>
      </c>
      <c r="T37" s="63"/>
    </row>
    <row r="38" spans="1:20" s="216" customFormat="1" outlineLevel="1" x14ac:dyDescent="0.2">
      <c r="A38" s="206" t="s">
        <v>156</v>
      </c>
      <c r="B38" s="213" t="s">
        <v>118</v>
      </c>
      <c r="C38" s="203">
        <v>100000</v>
      </c>
      <c r="D38" s="302">
        <v>60000</v>
      </c>
      <c r="E38" s="203"/>
      <c r="F38" s="203">
        <v>30000</v>
      </c>
      <c r="G38" s="203">
        <v>93000</v>
      </c>
      <c r="H38" s="204">
        <f>SUMIF('Contract level'!$A:$A,"="&amp;'DFP-Com'!$A38,'Contract level'!AV:AV)</f>
        <v>123000</v>
      </c>
      <c r="I38" s="204">
        <f>SUMIF('Contract level'!$A:$A,"="&amp;'DFP-Com'!$A38,'Contract level'!AW:AW)</f>
        <v>0</v>
      </c>
      <c r="J38" s="204">
        <f>SUMIF('Contract level'!$A:$A,"="&amp;'DFP-Com'!$A38,'Contract level'!AX:AX)</f>
        <v>0</v>
      </c>
      <c r="K38" s="204">
        <f>SUMIF('Contract level'!$A:$A,"="&amp;'DFP-Com'!$A38,'Contract level'!AY:AY)</f>
        <v>0</v>
      </c>
      <c r="L38" s="204">
        <f>SUMIF('Contract level'!$A:$A,"="&amp;'DFP-Com'!$A38,'Contract level'!AZ:AZ)</f>
        <v>0</v>
      </c>
      <c r="M38" s="204">
        <f>SUMIF('Contract level'!$A:$A,"="&amp;'DFP-Com'!$A38,'Contract level'!BA:BA)</f>
        <v>0</v>
      </c>
      <c r="N38" s="204">
        <f>SUMIF('Contract level'!$A:$A,"="&amp;'DFP-Com'!$A38,'Contract level'!BB:BB)</f>
        <v>0</v>
      </c>
      <c r="O38" s="204">
        <f>SUMIF('Contract level'!$A:$A,"="&amp;'DFP-Com'!$A38,'Contract level'!BC:BC)</f>
        <v>0</v>
      </c>
      <c r="P38" s="302">
        <f>SUMIF('Contract level'!$A:$A,"="&amp;'DFP-Com'!$A38,'Contract level'!BD:BD)</f>
        <v>0</v>
      </c>
      <c r="Q38" s="204">
        <f>SUM(H38:P38)+D38+C38</f>
        <v>283000</v>
      </c>
      <c r="R38" s="274"/>
      <c r="S38" s="292"/>
      <c r="T38" s="215"/>
    </row>
    <row r="39" spans="1:20" s="216" customFormat="1" outlineLevel="1" x14ac:dyDescent="0.2">
      <c r="A39" s="206" t="s">
        <v>157</v>
      </c>
      <c r="B39" s="213" t="s">
        <v>119</v>
      </c>
      <c r="C39" s="203">
        <v>0</v>
      </c>
      <c r="D39" s="204">
        <v>0</v>
      </c>
      <c r="E39" s="203"/>
      <c r="F39" s="203">
        <v>0</v>
      </c>
      <c r="G39" s="203"/>
      <c r="H39" s="204">
        <f>SUMIF('Contract level'!$A:$A,"="&amp;'DFP-Com'!$A39,'Contract level'!AV:AV)</f>
        <v>0</v>
      </c>
      <c r="I39" s="204">
        <f>SUMIF('Contract level'!$A:$A,"="&amp;'DFP-Com'!$A39,'Contract level'!AW:AW)</f>
        <v>0</v>
      </c>
      <c r="J39" s="204">
        <f>SUMIF('Contract level'!$A:$A,"="&amp;'DFP-Com'!$A39,'Contract level'!AX:AX)</f>
        <v>0</v>
      </c>
      <c r="K39" s="204">
        <f>SUMIF('Contract level'!$A:$A,"="&amp;'DFP-Com'!$A39,'Contract level'!AY:AY)</f>
        <v>0</v>
      </c>
      <c r="L39" s="204">
        <f>SUMIF('Contract level'!$A:$A,"="&amp;'DFP-Com'!$A39,'Contract level'!AZ:AZ)</f>
        <v>0</v>
      </c>
      <c r="M39" s="204">
        <f>SUMIF('Contract level'!$A:$A,"="&amp;'DFP-Com'!$A39,'Contract level'!BA:BA)</f>
        <v>0</v>
      </c>
      <c r="N39" s="204">
        <f>SUMIF('Contract level'!$A:$A,"="&amp;'DFP-Com'!$A39,'Contract level'!BB:BB)</f>
        <v>0</v>
      </c>
      <c r="O39" s="204">
        <f>SUMIF('Contract level'!$A:$A,"="&amp;'DFP-Com'!$A39,'Contract level'!BC:BC)</f>
        <v>0</v>
      </c>
      <c r="P39" s="302">
        <f>SUMIF('Contract level'!$A:$A,"="&amp;'DFP-Com'!$A39,'Contract level'!BD:BD)</f>
        <v>0</v>
      </c>
      <c r="Q39" s="302">
        <f>SUM(H39:P39)+D39+C39</f>
        <v>0</v>
      </c>
      <c r="R39" s="274"/>
      <c r="S39" s="292"/>
      <c r="T39" s="215"/>
    </row>
    <row r="40" spans="1:20" s="216" customFormat="1" outlineLevel="1" x14ac:dyDescent="0.2">
      <c r="A40" s="206" t="s">
        <v>158</v>
      </c>
      <c r="B40" s="213" t="s">
        <v>120</v>
      </c>
      <c r="C40" s="203">
        <v>0</v>
      </c>
      <c r="D40" s="204">
        <v>0</v>
      </c>
      <c r="E40" s="203"/>
      <c r="F40" s="203"/>
      <c r="G40" s="203"/>
      <c r="H40" s="204">
        <f>SUMIF('Contract level'!$A:$A,"="&amp;'DFP-Com'!$A40,'Contract level'!AV:AV)</f>
        <v>0</v>
      </c>
      <c r="I40" s="204">
        <f>SUMIF('Contract level'!$A:$A,"="&amp;'DFP-Com'!$A40,'Contract level'!AW:AW)</f>
        <v>0</v>
      </c>
      <c r="J40" s="204">
        <f>SUMIF('Contract level'!$A:$A,"="&amp;'DFP-Com'!$A40,'Contract level'!AX:AX)</f>
        <v>0</v>
      </c>
      <c r="K40" s="204">
        <f>SUMIF('Contract level'!$A:$A,"="&amp;'DFP-Com'!$A40,'Contract level'!AY:AY)</f>
        <v>0</v>
      </c>
      <c r="L40" s="204">
        <f>SUMIF('Contract level'!$A:$A,"="&amp;'DFP-Com'!$A40,'Contract level'!AZ:AZ)</f>
        <v>0</v>
      </c>
      <c r="M40" s="204">
        <f>SUMIF('Contract level'!$A:$A,"="&amp;'DFP-Com'!$A40,'Contract level'!BA:BA)</f>
        <v>0</v>
      </c>
      <c r="N40" s="204">
        <f>SUMIF('Contract level'!$A:$A,"="&amp;'DFP-Com'!$A40,'Contract level'!BB:BB)</f>
        <v>0</v>
      </c>
      <c r="O40" s="204">
        <f>SUMIF('Contract level'!$A:$A,"="&amp;'DFP-Com'!$A40,'Contract level'!BC:BC)</f>
        <v>170000</v>
      </c>
      <c r="P40" s="302">
        <f>SUMIF('Contract level'!$A:$A,"="&amp;'DFP-Com'!$A40,'Contract level'!BD:BD)</f>
        <v>0</v>
      </c>
      <c r="Q40" s="302">
        <f>SUM(H40:P40)+D40+C40</f>
        <v>170000</v>
      </c>
      <c r="R40" s="274"/>
      <c r="S40" s="292"/>
      <c r="T40" s="215"/>
    </row>
    <row r="41" spans="1:20" s="216" customFormat="1" outlineLevel="1" x14ac:dyDescent="0.2">
      <c r="A41" s="206" t="s">
        <v>159</v>
      </c>
      <c r="B41" s="213" t="s">
        <v>130</v>
      </c>
      <c r="C41" s="203">
        <v>14504.88</v>
      </c>
      <c r="D41" s="204">
        <v>6000</v>
      </c>
      <c r="E41" s="203">
        <v>2000</v>
      </c>
      <c r="F41" s="203">
        <v>2000</v>
      </c>
      <c r="G41" s="203">
        <v>2000</v>
      </c>
      <c r="H41" s="204">
        <f>SUMIF('Contract level'!$A:$A,"="&amp;'DFP-Com'!$A41,'Contract level'!AV:AV)</f>
        <v>6000</v>
      </c>
      <c r="I41" s="204">
        <f>SUMIF('Contract level'!$A:$A,"="&amp;'DFP-Com'!$A41,'Contract level'!AW:AW)</f>
        <v>0</v>
      </c>
      <c r="J41" s="204">
        <f>SUMIF('Contract level'!$A:$A,"="&amp;'DFP-Com'!$A41,'Contract level'!AX:AX)</f>
        <v>0</v>
      </c>
      <c r="K41" s="204">
        <f>SUMIF('Contract level'!$A:$A,"="&amp;'DFP-Com'!$A41,'Contract level'!AY:AY)</f>
        <v>0</v>
      </c>
      <c r="L41" s="204">
        <f>SUMIF('Contract level'!$A:$A,"="&amp;'DFP-Com'!$A41,'Contract level'!AZ:AZ)</f>
        <v>0</v>
      </c>
      <c r="M41" s="204">
        <f>SUMIF('Contract level'!$A:$A,"="&amp;'DFP-Com'!$A41,'Contract level'!BA:BA)</f>
        <v>0</v>
      </c>
      <c r="N41" s="204">
        <f>SUMIF('Contract level'!$A:$A,"="&amp;'DFP-Com'!$A41,'Contract level'!BB:BB)</f>
        <v>0</v>
      </c>
      <c r="O41" s="204">
        <f>SUMIF('Contract level'!$A:$A,"="&amp;'DFP-Com'!$A41,'Contract level'!BC:BC)</f>
        <v>0</v>
      </c>
      <c r="P41" s="302">
        <f>SUMIF('Contract level'!$A:$A,"="&amp;'DFP-Com'!$A41,'Contract level'!BD:BD)</f>
        <v>0</v>
      </c>
      <c r="Q41" s="302">
        <f>SUM(H41:P41)+D41+C41</f>
        <v>26504.879999999997</v>
      </c>
      <c r="R41" s="274"/>
      <c r="S41" s="292"/>
      <c r="T41" s="215"/>
    </row>
    <row r="42" spans="1:20" s="38" customFormat="1" x14ac:dyDescent="0.2">
      <c r="A42" s="206"/>
      <c r="B42" s="59" t="s">
        <v>17</v>
      </c>
      <c r="C42" s="199">
        <f>C37</f>
        <v>114504.88</v>
      </c>
      <c r="D42" s="199">
        <f>D37</f>
        <v>66000</v>
      </c>
      <c r="E42" s="199">
        <f t="shared" ref="E42:S42" si="21">E37</f>
        <v>2000</v>
      </c>
      <c r="F42" s="199">
        <f t="shared" si="21"/>
        <v>32000</v>
      </c>
      <c r="G42" s="199">
        <f t="shared" si="21"/>
        <v>95000</v>
      </c>
      <c r="H42" s="199">
        <f t="shared" si="21"/>
        <v>129000</v>
      </c>
      <c r="I42" s="199">
        <f t="shared" si="21"/>
        <v>0</v>
      </c>
      <c r="J42" s="199">
        <f t="shared" si="21"/>
        <v>0</v>
      </c>
      <c r="K42" s="199">
        <f t="shared" si="21"/>
        <v>0</v>
      </c>
      <c r="L42" s="199">
        <f t="shared" ref="L42:O42" si="22">L37</f>
        <v>0</v>
      </c>
      <c r="M42" s="199">
        <f t="shared" si="22"/>
        <v>0</v>
      </c>
      <c r="N42" s="199">
        <f t="shared" si="22"/>
        <v>0</v>
      </c>
      <c r="O42" s="199">
        <f t="shared" si="22"/>
        <v>170000</v>
      </c>
      <c r="P42" s="199">
        <f t="shared" ref="P42" si="23">P37</f>
        <v>0</v>
      </c>
      <c r="Q42" s="199">
        <f t="shared" si="21"/>
        <v>479504.88</v>
      </c>
      <c r="R42" s="275">
        <f t="shared" si="21"/>
        <v>1700000</v>
      </c>
      <c r="S42" s="293">
        <f t="shared" si="21"/>
        <v>1220495.1200000001</v>
      </c>
      <c r="T42" s="37"/>
    </row>
    <row r="43" spans="1:20" s="38" customFormat="1" x14ac:dyDescent="0.2">
      <c r="A43" s="206"/>
      <c r="B43" s="54"/>
      <c r="C43" s="276"/>
      <c r="D43" s="218"/>
      <c r="E43" s="218"/>
      <c r="F43" s="218"/>
      <c r="G43" s="218"/>
      <c r="H43" s="218"/>
      <c r="I43" s="218"/>
      <c r="J43" s="218"/>
      <c r="K43" s="218"/>
      <c r="L43" s="218"/>
      <c r="M43" s="218"/>
      <c r="N43" s="218"/>
      <c r="O43" s="218"/>
      <c r="P43" s="218"/>
      <c r="Q43" s="218"/>
      <c r="R43" s="272"/>
      <c r="S43" s="290"/>
      <c r="T43" s="37"/>
    </row>
    <row r="44" spans="1:20" s="64" customFormat="1" x14ac:dyDescent="0.2">
      <c r="A44" s="206"/>
      <c r="B44" s="45" t="s">
        <v>86</v>
      </c>
      <c r="C44" s="278"/>
      <c r="D44" s="269"/>
      <c r="E44" s="269"/>
      <c r="F44" s="269"/>
      <c r="G44" s="269"/>
      <c r="H44" s="269"/>
      <c r="I44" s="269"/>
      <c r="J44" s="269"/>
      <c r="K44" s="269"/>
      <c r="L44" s="269"/>
      <c r="M44" s="269"/>
      <c r="N44" s="269"/>
      <c r="O44" s="269"/>
      <c r="P44" s="269"/>
      <c r="Q44" s="219"/>
      <c r="R44" s="273"/>
      <c r="S44" s="291"/>
      <c r="T44" s="63"/>
    </row>
    <row r="45" spans="1:20" s="38" customFormat="1" outlineLevel="1" x14ac:dyDescent="0.2">
      <c r="A45" s="206"/>
      <c r="B45" s="66" t="s">
        <v>96</v>
      </c>
      <c r="C45" s="198">
        <f t="shared" ref="C45:K45" si="24">SUM(C46:C49)</f>
        <v>304390.05</v>
      </c>
      <c r="D45" s="198">
        <f t="shared" si="24"/>
        <v>126780.83</v>
      </c>
      <c r="E45" s="198">
        <f t="shared" si="24"/>
        <v>48000</v>
      </c>
      <c r="F45" s="198">
        <f t="shared" si="24"/>
        <v>34800</v>
      </c>
      <c r="G45" s="198">
        <f t="shared" si="24"/>
        <v>0</v>
      </c>
      <c r="H45" s="198">
        <f t="shared" si="24"/>
        <v>82800</v>
      </c>
      <c r="I45" s="198">
        <f t="shared" si="24"/>
        <v>24500</v>
      </c>
      <c r="J45" s="198">
        <f t="shared" si="24"/>
        <v>34300</v>
      </c>
      <c r="K45" s="198">
        <f t="shared" si="24"/>
        <v>36800</v>
      </c>
      <c r="L45" s="198">
        <f t="shared" ref="L45:O45" si="25">SUM(L46:L49)</f>
        <v>76800</v>
      </c>
      <c r="M45" s="198">
        <f t="shared" si="25"/>
        <v>27205.35</v>
      </c>
      <c r="N45" s="198">
        <f t="shared" si="25"/>
        <v>19344.36</v>
      </c>
      <c r="O45" s="198">
        <f t="shared" si="25"/>
        <v>13992.84</v>
      </c>
      <c r="P45" s="198">
        <f t="shared" ref="P45" si="26">SUM(P46:P49)</f>
        <v>12132.7</v>
      </c>
      <c r="Q45" s="221">
        <f>C45+D45+SUM(H45:P45)</f>
        <v>759046.13</v>
      </c>
      <c r="R45" s="200">
        <f>'QFR - B'!G27</f>
        <v>797500</v>
      </c>
      <c r="S45" s="287">
        <f>R45-Q45</f>
        <v>38453.869999999995</v>
      </c>
      <c r="T45" s="37"/>
    </row>
    <row r="46" spans="1:20" s="209" customFormat="1" ht="12.75" customHeight="1" outlineLevel="1" x14ac:dyDescent="0.2">
      <c r="A46" s="206" t="s">
        <v>160</v>
      </c>
      <c r="B46" s="217" t="s">
        <v>140</v>
      </c>
      <c r="C46" s="203">
        <v>271241.17</v>
      </c>
      <c r="D46" s="204">
        <v>6240.83</v>
      </c>
      <c r="E46" s="301">
        <v>42000</v>
      </c>
      <c r="F46" s="301">
        <v>28800</v>
      </c>
      <c r="G46" s="301">
        <v>0</v>
      </c>
      <c r="H46" s="204">
        <f>SUMIF('Contract level'!$A:$A,"="&amp;'DFP-Com'!$A46,'Contract level'!AV:AV)</f>
        <v>70800</v>
      </c>
      <c r="I46" s="204">
        <f>SUMIF('Contract level'!$A:$A,"="&amp;'DFP-Com'!$A46,'Contract level'!AW:AW)</f>
        <v>24000</v>
      </c>
      <c r="J46" s="204">
        <f>SUMIF('Contract level'!$A:$A,"="&amp;'DFP-Com'!$A46,'Contract level'!AX:AX)</f>
        <v>28800</v>
      </c>
      <c r="K46" s="204">
        <f>SUMIF('Contract level'!$A:$A,"="&amp;'DFP-Com'!$A46,'Contract level'!AY:AY)</f>
        <v>28800</v>
      </c>
      <c r="L46" s="204">
        <f>SUMIF('Contract level'!$A:$A,"="&amp;'DFP-Com'!$A46,'Contract level'!AZ:AZ)</f>
        <v>70800</v>
      </c>
      <c r="M46" s="204">
        <f>SUMIF('Contract level'!$A:$A,"="&amp;'DFP-Com'!$A46,'Contract level'!BA:BA)</f>
        <v>18000</v>
      </c>
      <c r="N46" s="204">
        <f>SUMIF('Contract level'!$A:$A,"="&amp;'DFP-Com'!$A46,'Contract level'!BB:BB)</f>
        <v>16344.36</v>
      </c>
      <c r="O46" s="204">
        <f>SUMIF('Contract level'!$A:$A,"="&amp;'DFP-Com'!$A46,'Contract level'!BC:BC)</f>
        <v>10992.84</v>
      </c>
      <c r="P46" s="302">
        <f>SUMIF('Contract level'!$A:$A,"="&amp;'DFP-Com'!$A46,'Contract level'!BD:BD)</f>
        <v>10804.800000000001</v>
      </c>
      <c r="Q46" s="204">
        <f>SUM(H46:P46)+D46+C46</f>
        <v>556824</v>
      </c>
      <c r="R46" s="274"/>
      <c r="S46" s="288"/>
      <c r="T46" s="208"/>
    </row>
    <row r="47" spans="1:20" s="209" customFormat="1" outlineLevel="1" x14ac:dyDescent="0.2">
      <c r="A47" s="206" t="s">
        <v>161</v>
      </c>
      <c r="B47" s="217" t="s">
        <v>141</v>
      </c>
      <c r="C47" s="203">
        <f>3221.44+530.99</f>
        <v>3752.4300000000003</v>
      </c>
      <c r="D47" s="204">
        <v>0</v>
      </c>
      <c r="E47" s="301">
        <v>6000</v>
      </c>
      <c r="F47" s="301">
        <v>6000</v>
      </c>
      <c r="G47" s="301">
        <v>0</v>
      </c>
      <c r="H47" s="204">
        <f>SUMIF('Contract level'!$A:$A,"="&amp;'DFP-Com'!$A47,'Contract level'!AV:AV)</f>
        <v>12000</v>
      </c>
      <c r="I47" s="204">
        <f>SUMIF('Contract level'!$A:$A,"="&amp;'DFP-Com'!$A47,'Contract level'!AW:AW)</f>
        <v>500</v>
      </c>
      <c r="J47" s="204">
        <f>SUMIF('Contract level'!$A:$A,"="&amp;'DFP-Com'!$A47,'Contract level'!AX:AX)</f>
        <v>500</v>
      </c>
      <c r="K47" s="204">
        <f>SUMIF('Contract level'!$A:$A,"="&amp;'DFP-Com'!$A47,'Contract level'!AY:AY)</f>
        <v>3000</v>
      </c>
      <c r="L47" s="204">
        <f>SUMIF('Contract level'!$A:$A,"="&amp;'DFP-Com'!$A47,'Contract level'!AZ:AZ)</f>
        <v>1000</v>
      </c>
      <c r="M47" s="204">
        <f>SUMIF('Contract level'!$A:$A,"="&amp;'DFP-Com'!$A47,'Contract level'!BA:BA)</f>
        <v>7205.35</v>
      </c>
      <c r="N47" s="204">
        <f>SUMIF('Contract level'!$A:$A,"="&amp;'DFP-Com'!$A47,'Contract level'!BB:BB)</f>
        <v>1000</v>
      </c>
      <c r="O47" s="204">
        <f>SUMIF('Contract level'!$A:$A,"="&amp;'DFP-Com'!$A47,'Contract level'!BC:BC)</f>
        <v>1000</v>
      </c>
      <c r="P47" s="302">
        <f>SUMIF('Contract level'!$A:$A,"="&amp;'DFP-Com'!$A47,'Contract level'!BD:BD)</f>
        <v>0</v>
      </c>
      <c r="Q47" s="302">
        <f>SUM(H47:P47)+D47+C47</f>
        <v>29957.78</v>
      </c>
      <c r="R47" s="274"/>
      <c r="S47" s="292"/>
      <c r="T47" s="208"/>
    </row>
    <row r="48" spans="1:20" s="209" customFormat="1" outlineLevel="1" x14ac:dyDescent="0.2">
      <c r="A48" s="206" t="s">
        <v>162</v>
      </c>
      <c r="B48" s="217" t="s">
        <v>142</v>
      </c>
      <c r="C48" s="203">
        <v>0</v>
      </c>
      <c r="D48" s="204">
        <v>120000</v>
      </c>
      <c r="E48" s="301">
        <v>0</v>
      </c>
      <c r="F48" s="301">
        <v>0</v>
      </c>
      <c r="G48" s="301">
        <v>0</v>
      </c>
      <c r="H48" s="204">
        <f>SUMIF('Contract level'!$A:$A,"="&amp;'DFP-Com'!$A48,'Contract level'!AV:AV)</f>
        <v>0</v>
      </c>
      <c r="I48" s="204">
        <f>SUMIF('Contract level'!$A:$A,"="&amp;'DFP-Com'!$A48,'Contract level'!AW:AW)</f>
        <v>0</v>
      </c>
      <c r="J48" s="204">
        <f>SUMIF('Contract level'!$A:$A,"="&amp;'DFP-Com'!$A48,'Contract level'!AX:AX)</f>
        <v>0</v>
      </c>
      <c r="K48" s="204">
        <f>SUMIF('Contract level'!$A:$A,"="&amp;'DFP-Com'!$A48,'Contract level'!AY:AY)</f>
        <v>0</v>
      </c>
      <c r="L48" s="204">
        <f>SUMIF('Contract level'!$A:$A,"="&amp;'DFP-Com'!$A48,'Contract level'!AZ:AZ)</f>
        <v>0</v>
      </c>
      <c r="M48" s="204">
        <f>SUMIF('Contract level'!$A:$A,"="&amp;'DFP-Com'!$A48,'Contract level'!BA:BA)</f>
        <v>0</v>
      </c>
      <c r="N48" s="204">
        <f>SUMIF('Contract level'!$A:$A,"="&amp;'DFP-Com'!$A48,'Contract level'!BB:BB)</f>
        <v>0</v>
      </c>
      <c r="O48" s="204">
        <f>SUMIF('Contract level'!$A:$A,"="&amp;'DFP-Com'!$A48,'Contract level'!BC:BC)</f>
        <v>0</v>
      </c>
      <c r="P48" s="302">
        <f>SUMIF('Contract level'!$A:$A,"="&amp;'DFP-Com'!$A48,'Contract level'!BD:BD)</f>
        <v>0</v>
      </c>
      <c r="Q48" s="302">
        <f>SUM(H48:P48)+D48+C48</f>
        <v>120000</v>
      </c>
      <c r="R48" s="274"/>
      <c r="S48" s="292"/>
      <c r="T48" s="208"/>
    </row>
    <row r="49" spans="1:20" s="209" customFormat="1" outlineLevel="1" x14ac:dyDescent="0.2">
      <c r="A49" s="206" t="s">
        <v>163</v>
      </c>
      <c r="B49" s="217" t="s">
        <v>143</v>
      </c>
      <c r="C49" s="203">
        <v>29396.45</v>
      </c>
      <c r="D49" s="302">
        <v>540</v>
      </c>
      <c r="E49" s="301">
        <v>0</v>
      </c>
      <c r="F49" s="301">
        <v>0</v>
      </c>
      <c r="G49" s="301">
        <v>0</v>
      </c>
      <c r="H49" s="204">
        <f>SUMIF('Contract level'!$A:$A,"="&amp;'DFP-Com'!$A49,'Contract level'!AV:AV)</f>
        <v>0</v>
      </c>
      <c r="I49" s="204">
        <f>SUMIF('Contract level'!$A:$A,"="&amp;'DFP-Com'!$A49,'Contract level'!AW:AW)</f>
        <v>0</v>
      </c>
      <c r="J49" s="204">
        <f>SUMIF('Contract level'!$A:$A,"="&amp;'DFP-Com'!$A49,'Contract level'!AX:AX)</f>
        <v>5000</v>
      </c>
      <c r="K49" s="204">
        <f>SUMIF('Contract level'!$A:$A,"="&amp;'DFP-Com'!$A49,'Contract level'!AY:AY)</f>
        <v>5000</v>
      </c>
      <c r="L49" s="204">
        <f>SUMIF('Contract level'!$A:$A,"="&amp;'DFP-Com'!$A49,'Contract level'!AZ:AZ)</f>
        <v>5000</v>
      </c>
      <c r="M49" s="204">
        <f>SUMIF('Contract level'!$A:$A,"="&amp;'DFP-Com'!$A49,'Contract level'!BA:BA)</f>
        <v>2000</v>
      </c>
      <c r="N49" s="204">
        <f>SUMIF('Contract level'!$A:$A,"="&amp;'DFP-Com'!$A49,'Contract level'!BB:BB)</f>
        <v>2000</v>
      </c>
      <c r="O49" s="204">
        <f>SUMIF('Contract level'!$A:$A,"="&amp;'DFP-Com'!$A49,'Contract level'!BC:BC)</f>
        <v>2000</v>
      </c>
      <c r="P49" s="302">
        <f>SUMIF('Contract level'!$A:$A,"="&amp;'DFP-Com'!$A49,'Contract level'!BD:BD)</f>
        <v>1327.9</v>
      </c>
      <c r="Q49" s="302">
        <f>SUM(H49:P49)+D49+C49</f>
        <v>52264.350000000006</v>
      </c>
      <c r="R49" s="274"/>
      <c r="S49" s="292"/>
      <c r="T49" s="208"/>
    </row>
    <row r="50" spans="1:20" s="64" customFormat="1" x14ac:dyDescent="0.2">
      <c r="A50" s="10"/>
      <c r="B50" s="67" t="s">
        <v>95</v>
      </c>
      <c r="C50" s="199">
        <f t="shared" ref="C50:S50" si="27">C45</f>
        <v>304390.05</v>
      </c>
      <c r="D50" s="199">
        <f t="shared" si="27"/>
        <v>126780.83</v>
      </c>
      <c r="E50" s="199">
        <f t="shared" si="27"/>
        <v>48000</v>
      </c>
      <c r="F50" s="199">
        <f t="shared" si="27"/>
        <v>34800</v>
      </c>
      <c r="G50" s="199">
        <f t="shared" si="27"/>
        <v>0</v>
      </c>
      <c r="H50" s="199">
        <f t="shared" si="27"/>
        <v>82800</v>
      </c>
      <c r="I50" s="199">
        <f t="shared" si="27"/>
        <v>24500</v>
      </c>
      <c r="J50" s="199">
        <f t="shared" si="27"/>
        <v>34300</v>
      </c>
      <c r="K50" s="199">
        <f t="shared" si="27"/>
        <v>36800</v>
      </c>
      <c r="L50" s="199">
        <f t="shared" ref="L50:O50" si="28">L45</f>
        <v>76800</v>
      </c>
      <c r="M50" s="199">
        <f t="shared" si="28"/>
        <v>27205.35</v>
      </c>
      <c r="N50" s="199">
        <f t="shared" si="28"/>
        <v>19344.36</v>
      </c>
      <c r="O50" s="199">
        <f t="shared" si="28"/>
        <v>13992.84</v>
      </c>
      <c r="P50" s="199">
        <f t="shared" ref="P50" si="29">P45</f>
        <v>12132.7</v>
      </c>
      <c r="Q50" s="199">
        <f t="shared" si="27"/>
        <v>759046.13</v>
      </c>
      <c r="R50" s="275">
        <f t="shared" si="27"/>
        <v>797500</v>
      </c>
      <c r="S50" s="293">
        <f t="shared" si="27"/>
        <v>38453.869999999995</v>
      </c>
      <c r="T50" s="63"/>
    </row>
    <row r="51" spans="1:20" s="38" customFormat="1" x14ac:dyDescent="0.2">
      <c r="A51" s="5"/>
      <c r="B51" s="54"/>
      <c r="C51" s="276"/>
      <c r="D51" s="218"/>
      <c r="E51" s="218"/>
      <c r="F51" s="218"/>
      <c r="G51" s="218"/>
      <c r="H51" s="218"/>
      <c r="I51" s="218"/>
      <c r="J51" s="218"/>
      <c r="K51" s="218"/>
      <c r="L51" s="218"/>
      <c r="M51" s="218"/>
      <c r="N51" s="218"/>
      <c r="O51" s="218"/>
      <c r="P51" s="218"/>
      <c r="Q51" s="220"/>
      <c r="R51" s="272"/>
      <c r="S51" s="294"/>
      <c r="T51" s="37"/>
    </row>
    <row r="52" spans="1:20" s="229" customFormat="1" ht="13.5" customHeight="1" thickBot="1" x14ac:dyDescent="0.3">
      <c r="A52" s="225"/>
      <c r="B52" s="230" t="s">
        <v>136</v>
      </c>
      <c r="C52" s="227">
        <f t="shared" ref="C52:G52" si="30">C50+C42+C34+C25</f>
        <v>14971978.65</v>
      </c>
      <c r="D52" s="227">
        <f t="shared" si="30"/>
        <v>4428801.05</v>
      </c>
      <c r="E52" s="227">
        <f t="shared" si="30"/>
        <v>216400</v>
      </c>
      <c r="F52" s="227">
        <f t="shared" si="30"/>
        <v>72800</v>
      </c>
      <c r="G52" s="227">
        <f t="shared" si="30"/>
        <v>2079002.5</v>
      </c>
      <c r="H52" s="227">
        <f t="shared" ref="H52:S52" si="31">H50+H42+H34+H25</f>
        <v>2368202.5</v>
      </c>
      <c r="I52" s="227">
        <f t="shared" si="31"/>
        <v>2221225.48</v>
      </c>
      <c r="J52" s="227">
        <f t="shared" si="31"/>
        <v>131800</v>
      </c>
      <c r="K52" s="227">
        <f t="shared" si="31"/>
        <v>78800</v>
      </c>
      <c r="L52" s="227">
        <f t="shared" ref="L52:O52" si="32">L50+L42+L34+L25</f>
        <v>99053</v>
      </c>
      <c r="M52" s="227">
        <f t="shared" si="32"/>
        <v>27205.35</v>
      </c>
      <c r="N52" s="227">
        <f t="shared" si="32"/>
        <v>33664.520000000004</v>
      </c>
      <c r="O52" s="227">
        <f t="shared" si="32"/>
        <v>201633.72</v>
      </c>
      <c r="P52" s="227">
        <f t="shared" ref="P52" si="33">P50+P42+P34+P25</f>
        <v>12132.7</v>
      </c>
      <c r="Q52" s="227">
        <f t="shared" si="31"/>
        <v>24574496.970000003</v>
      </c>
      <c r="R52" s="227">
        <f t="shared" si="31"/>
        <v>26197500</v>
      </c>
      <c r="S52" s="295">
        <f t="shared" si="31"/>
        <v>1623003.0300000003</v>
      </c>
      <c r="T52" s="228"/>
    </row>
    <row r="53" spans="1:20" ht="13.5" thickTop="1" x14ac:dyDescent="0.2">
      <c r="B53" s="7" t="s">
        <v>262</v>
      </c>
      <c r="C53" s="279"/>
      <c r="D53" s="270"/>
      <c r="H53" s="270"/>
      <c r="I53" s="270"/>
      <c r="J53" s="270"/>
      <c r="K53" s="270"/>
      <c r="L53" s="270"/>
      <c r="M53" s="270"/>
      <c r="N53" s="270"/>
      <c r="O53" s="270"/>
      <c r="P53" s="270"/>
      <c r="Q53" s="270"/>
      <c r="R53" s="280"/>
      <c r="S53" s="296"/>
    </row>
    <row r="54" spans="1:20" ht="25.35" customHeight="1" x14ac:dyDescent="0.2">
      <c r="B54" s="385" t="s">
        <v>139</v>
      </c>
      <c r="C54" s="385"/>
      <c r="D54" s="385"/>
      <c r="E54" s="385"/>
      <c r="F54" s="385"/>
      <c r="G54" s="385"/>
      <c r="H54" s="270"/>
      <c r="I54" s="270"/>
      <c r="J54" s="270"/>
      <c r="K54" s="270"/>
      <c r="L54" s="270"/>
      <c r="M54" s="270"/>
      <c r="N54" s="270"/>
      <c r="O54" s="270"/>
      <c r="P54" s="270"/>
      <c r="Q54" s="270"/>
      <c r="R54" s="280"/>
      <c r="S54" s="297"/>
    </row>
    <row r="55" spans="1:20" x14ac:dyDescent="0.2">
      <c r="B55" s="7"/>
      <c r="C55" s="279"/>
      <c r="D55" s="270"/>
      <c r="H55" s="270"/>
      <c r="I55" s="270"/>
      <c r="J55" s="270"/>
      <c r="K55" s="270"/>
      <c r="L55" s="270"/>
      <c r="M55" s="270"/>
      <c r="N55" s="270"/>
      <c r="O55" s="270">
        <f>120000-42000</f>
        <v>78000</v>
      </c>
      <c r="P55" s="270"/>
      <c r="Q55" s="270"/>
      <c r="R55" s="280"/>
      <c r="S55" s="296"/>
    </row>
    <row r="56" spans="1:20" x14ac:dyDescent="0.2">
      <c r="B56" s="7"/>
      <c r="C56" s="279"/>
      <c r="D56" s="270"/>
      <c r="H56" s="270"/>
      <c r="I56" s="270"/>
      <c r="J56" s="270"/>
      <c r="K56" s="270"/>
      <c r="L56" s="270"/>
      <c r="M56" s="270"/>
      <c r="N56" s="270"/>
      <c r="O56" s="270"/>
      <c r="P56" s="270"/>
      <c r="Q56" s="270"/>
      <c r="R56" s="280"/>
      <c r="S56" s="297"/>
    </row>
    <row r="57" spans="1:20" x14ac:dyDescent="0.2">
      <c r="B57" s="7"/>
      <c r="C57" s="279"/>
      <c r="D57" s="270"/>
      <c r="H57" s="270"/>
      <c r="I57" s="270"/>
      <c r="J57" s="270"/>
      <c r="K57" s="270"/>
      <c r="L57" s="270"/>
      <c r="M57" s="270"/>
      <c r="N57" s="270"/>
      <c r="O57" s="270"/>
      <c r="P57" s="270"/>
      <c r="Q57" s="270"/>
      <c r="R57" s="280"/>
      <c r="S57" s="297"/>
    </row>
    <row r="58" spans="1:20" x14ac:dyDescent="0.2">
      <c r="B58" s="7"/>
      <c r="C58" s="279"/>
      <c r="D58" s="270"/>
      <c r="H58" s="270"/>
      <c r="I58" s="270"/>
      <c r="J58" s="270"/>
      <c r="K58" s="270"/>
      <c r="L58" s="270"/>
      <c r="M58" s="270"/>
      <c r="N58" s="270"/>
      <c r="O58" s="270"/>
      <c r="P58" s="270"/>
      <c r="Q58" s="270"/>
      <c r="R58" s="280"/>
      <c r="S58" s="297"/>
    </row>
    <row r="59" spans="1:20" x14ac:dyDescent="0.2">
      <c r="B59" s="7"/>
      <c r="C59" s="279"/>
      <c r="D59" s="270"/>
      <c r="H59" s="270"/>
      <c r="I59" s="270"/>
      <c r="J59" s="270"/>
      <c r="K59" s="270"/>
      <c r="L59" s="270"/>
      <c r="M59" s="270"/>
      <c r="N59" s="270"/>
      <c r="O59" s="270"/>
      <c r="P59" s="270"/>
      <c r="Q59" s="270"/>
      <c r="R59" s="280"/>
      <c r="S59" s="297"/>
    </row>
    <row r="60" spans="1:20" x14ac:dyDescent="0.2">
      <c r="B60" s="7"/>
      <c r="C60" s="279"/>
      <c r="D60" s="270"/>
      <c r="H60" s="270"/>
      <c r="I60" s="270"/>
      <c r="J60" s="270"/>
      <c r="K60" s="270"/>
      <c r="L60" s="270"/>
      <c r="M60" s="270"/>
      <c r="N60" s="270"/>
      <c r="O60" s="270"/>
      <c r="P60" s="270"/>
      <c r="Q60" s="270"/>
      <c r="R60" s="280"/>
      <c r="S60" s="297"/>
    </row>
    <row r="61" spans="1:20" x14ac:dyDescent="0.2">
      <c r="B61" s="7"/>
      <c r="C61" s="279"/>
      <c r="D61" s="270"/>
      <c r="H61" s="270"/>
      <c r="I61" s="270"/>
      <c r="J61" s="270"/>
      <c r="K61" s="270"/>
      <c r="L61" s="270"/>
      <c r="M61" s="270"/>
      <c r="N61" s="270"/>
      <c r="O61" s="270"/>
      <c r="P61" s="270"/>
      <c r="Q61" s="270"/>
      <c r="R61" s="280"/>
      <c r="S61" s="297"/>
    </row>
    <row r="62" spans="1:20" x14ac:dyDescent="0.2">
      <c r="B62" s="7"/>
      <c r="C62" s="279"/>
      <c r="D62" s="270"/>
      <c r="H62" s="270"/>
      <c r="I62" s="270"/>
      <c r="J62" s="270"/>
      <c r="K62" s="270"/>
      <c r="L62" s="270"/>
      <c r="M62" s="270"/>
      <c r="N62" s="270"/>
      <c r="O62" s="270"/>
      <c r="P62" s="270"/>
      <c r="Q62" s="270"/>
      <c r="R62" s="280"/>
      <c r="S62" s="297"/>
    </row>
    <row r="63" spans="1:20" x14ac:dyDescent="0.2">
      <c r="B63" s="7"/>
      <c r="C63" s="279"/>
      <c r="D63" s="270"/>
      <c r="H63" s="270"/>
      <c r="I63" s="270"/>
      <c r="J63" s="270"/>
      <c r="K63" s="270"/>
      <c r="L63" s="270"/>
      <c r="M63" s="270"/>
      <c r="N63" s="270"/>
      <c r="O63" s="270"/>
      <c r="P63" s="270"/>
      <c r="Q63" s="270"/>
      <c r="R63" s="280"/>
      <c r="S63" s="297"/>
    </row>
    <row r="64" spans="1:20" x14ac:dyDescent="0.2">
      <c r="B64" s="7"/>
      <c r="C64" s="279"/>
      <c r="D64" s="270"/>
      <c r="H64" s="270"/>
      <c r="I64" s="270"/>
      <c r="J64" s="270"/>
      <c r="K64" s="270"/>
      <c r="L64" s="270"/>
      <c r="M64" s="270"/>
      <c r="N64" s="270"/>
      <c r="O64" s="270"/>
      <c r="P64" s="270"/>
      <c r="Q64" s="270"/>
      <c r="R64" s="280"/>
      <c r="S64" s="297"/>
    </row>
    <row r="65" spans="3:19" x14ac:dyDescent="0.2">
      <c r="C65" s="279"/>
      <c r="D65" s="270"/>
      <c r="H65" s="270"/>
      <c r="I65" s="270"/>
      <c r="J65" s="270"/>
      <c r="K65" s="270"/>
      <c r="L65" s="270"/>
      <c r="M65" s="270"/>
      <c r="N65" s="270"/>
      <c r="O65" s="270"/>
      <c r="P65" s="270"/>
      <c r="Q65" s="270"/>
      <c r="R65" s="280"/>
      <c r="S65" s="297"/>
    </row>
    <row r="66" spans="3:19" x14ac:dyDescent="0.2">
      <c r="C66" s="279"/>
      <c r="D66" s="270"/>
      <c r="H66" s="270"/>
      <c r="I66" s="270"/>
      <c r="J66" s="270"/>
      <c r="K66" s="270"/>
      <c r="L66" s="270"/>
      <c r="M66" s="270"/>
      <c r="N66" s="270"/>
      <c r="O66" s="270"/>
      <c r="P66" s="270"/>
      <c r="Q66" s="270"/>
      <c r="R66" s="280"/>
      <c r="S66" s="297"/>
    </row>
    <row r="67" spans="3:19" x14ac:dyDescent="0.2">
      <c r="C67" s="279"/>
      <c r="D67" s="270"/>
      <c r="H67" s="270"/>
      <c r="I67" s="270"/>
      <c r="J67" s="270"/>
      <c r="K67" s="270"/>
      <c r="L67" s="270"/>
      <c r="M67" s="270"/>
      <c r="N67" s="270"/>
      <c r="O67" s="270"/>
      <c r="P67" s="270"/>
      <c r="Q67" s="270"/>
      <c r="R67" s="280"/>
      <c r="S67" s="297"/>
    </row>
    <row r="68" spans="3:19" x14ac:dyDescent="0.2">
      <c r="C68" s="279"/>
      <c r="D68" s="270"/>
      <c r="H68" s="270"/>
      <c r="I68" s="270"/>
      <c r="J68" s="270"/>
      <c r="K68" s="270"/>
      <c r="L68" s="270"/>
      <c r="M68" s="270"/>
      <c r="N68" s="270"/>
      <c r="O68" s="270"/>
      <c r="P68" s="270"/>
      <c r="Q68" s="270"/>
      <c r="R68" s="280"/>
      <c r="S68" s="297"/>
    </row>
    <row r="69" spans="3:19" x14ac:dyDescent="0.2">
      <c r="C69" s="279"/>
      <c r="D69" s="270"/>
      <c r="H69" s="270"/>
      <c r="I69" s="270"/>
      <c r="J69" s="270"/>
      <c r="K69" s="270"/>
      <c r="L69" s="270"/>
      <c r="M69" s="270"/>
      <c r="N69" s="270"/>
      <c r="O69" s="270"/>
      <c r="P69" s="270"/>
      <c r="Q69" s="270"/>
      <c r="R69" s="280"/>
      <c r="S69" s="297"/>
    </row>
    <row r="70" spans="3:19" x14ac:dyDescent="0.2">
      <c r="C70" s="279"/>
      <c r="D70" s="270"/>
      <c r="H70" s="270"/>
      <c r="I70" s="270"/>
      <c r="J70" s="270"/>
      <c r="K70" s="270"/>
      <c r="L70" s="270"/>
      <c r="M70" s="270"/>
      <c r="N70" s="270"/>
      <c r="O70" s="270"/>
      <c r="P70" s="270"/>
      <c r="Q70" s="270"/>
      <c r="R70" s="280"/>
      <c r="S70" s="297"/>
    </row>
    <row r="71" spans="3:19" x14ac:dyDescent="0.2">
      <c r="S71" s="297"/>
    </row>
    <row r="72" spans="3:19" x14ac:dyDescent="0.2">
      <c r="S72" s="297"/>
    </row>
    <row r="73" spans="3:19" x14ac:dyDescent="0.2">
      <c r="S73" s="297"/>
    </row>
    <row r="74" spans="3:19" x14ac:dyDescent="0.2">
      <c r="S74" s="297"/>
    </row>
    <row r="75" spans="3:19" x14ac:dyDescent="0.2">
      <c r="S75" s="297"/>
    </row>
    <row r="76" spans="3:19" x14ac:dyDescent="0.2">
      <c r="S76" s="297"/>
    </row>
    <row r="77" spans="3:19" x14ac:dyDescent="0.2">
      <c r="S77" s="297"/>
    </row>
    <row r="87" spans="4:17" x14ac:dyDescent="0.2">
      <c r="H87" s="70"/>
      <c r="I87" s="70"/>
      <c r="J87" s="70"/>
      <c r="K87" s="70"/>
      <c r="L87" s="70"/>
      <c r="M87" s="70"/>
      <c r="N87" s="70"/>
      <c r="O87" s="70"/>
      <c r="P87" s="70"/>
      <c r="Q87" s="71"/>
    </row>
    <row r="88" spans="4:17" x14ac:dyDescent="0.2">
      <c r="D88" s="72"/>
    </row>
  </sheetData>
  <mergeCells count="7">
    <mergeCell ref="B54:G54"/>
    <mergeCell ref="S10:S11"/>
    <mergeCell ref="B9:B10"/>
    <mergeCell ref="R10:R11"/>
    <mergeCell ref="Q10:Q11"/>
    <mergeCell ref="E9:G9"/>
    <mergeCell ref="E10:G10"/>
  </mergeCells>
  <phoneticPr fontId="28" type="noConversion"/>
  <printOptions horizontalCentered="1"/>
  <pageMargins left="0.23622047244094491" right="0.23622047244094491"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5"/>
  <sheetViews>
    <sheetView showGridLines="0" tabSelected="1" topLeftCell="B12" zoomScale="70" zoomScaleNormal="70" zoomScalePageLayoutView="85" workbookViewId="0">
      <selection activeCell="F41" sqref="F41"/>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8" customWidth="1"/>
    <col min="4" max="4" width="17.5703125" style="1" customWidth="1"/>
    <col min="5" max="6" width="17.42578125" style="1" customWidth="1"/>
    <col min="7" max="7" width="17.42578125" style="270" customWidth="1"/>
    <col min="8" max="18" width="17.42578125" style="1" customWidth="1"/>
    <col min="19" max="19" width="19.42578125" style="6" customWidth="1"/>
    <col min="20" max="20" width="2.85546875" style="1" customWidth="1"/>
    <col min="21" max="21" width="17.42578125" style="10" hidden="1" customWidth="1"/>
    <col min="22" max="22" width="22.42578125" style="10" hidden="1" customWidth="1"/>
    <col min="23" max="30" width="11.42578125" style="5" hidden="1" customWidth="1"/>
    <col min="31" max="16384" width="0" style="5" hidden="1"/>
  </cols>
  <sheetData>
    <row r="1" spans="1:23" ht="13.5" hidden="1" outlineLevel="1" thickBot="1" x14ac:dyDescent="0.25">
      <c r="B1" s="2" t="s">
        <v>18</v>
      </c>
      <c r="C1" s="3"/>
      <c r="D1" s="4"/>
      <c r="E1" s="5"/>
      <c r="F1" s="5"/>
      <c r="G1" s="261"/>
    </row>
    <row r="2" spans="1:23" ht="13.5" hidden="1" outlineLevel="1" thickBot="1" x14ac:dyDescent="0.25">
      <c r="B2" s="8"/>
      <c r="C2" s="3"/>
      <c r="D2" s="4"/>
      <c r="E2" s="5"/>
      <c r="F2" s="5"/>
      <c r="G2" s="261"/>
      <c r="T2" s="9"/>
      <c r="W2" s="10"/>
    </row>
    <row r="3" spans="1:23" ht="12.75" hidden="1" customHeight="1" outlineLevel="1" x14ac:dyDescent="0.25">
      <c r="B3" s="11" t="s">
        <v>1</v>
      </c>
      <c r="C3" s="12"/>
      <c r="D3" s="13" t="s">
        <v>68</v>
      </c>
      <c r="E3" s="78"/>
      <c r="F3" s="78"/>
      <c r="G3" s="262"/>
    </row>
    <row r="4" spans="1:23" ht="12.75" hidden="1" customHeight="1" outlineLevel="1" x14ac:dyDescent="0.25">
      <c r="B4" s="14" t="s">
        <v>2</v>
      </c>
      <c r="C4" s="15"/>
      <c r="D4" s="16" t="s">
        <v>69</v>
      </c>
      <c r="E4" s="78"/>
      <c r="F4" s="78"/>
      <c r="G4" s="262"/>
    </row>
    <row r="5" spans="1:23" ht="12.75" hidden="1" customHeight="1" outlineLevel="1" x14ac:dyDescent="0.25">
      <c r="B5" s="17" t="s">
        <v>3</v>
      </c>
      <c r="C5" s="15"/>
      <c r="D5" s="16" t="str">
        <f>'THP DR'!B7</f>
        <v>TR14GTM15001</v>
      </c>
      <c r="E5" s="78"/>
      <c r="F5" s="78"/>
      <c r="G5" s="262"/>
    </row>
    <row r="6" spans="1:23" ht="12.75" hidden="1" customHeight="1" outlineLevel="1" x14ac:dyDescent="0.25">
      <c r="B6" s="14" t="s">
        <v>4</v>
      </c>
      <c r="C6" s="15"/>
      <c r="D6" s="348" t="str">
        <f>'THP DR'!B10</f>
        <v>March 09, 2018</v>
      </c>
      <c r="E6" s="82"/>
      <c r="F6" s="82"/>
      <c r="G6" s="262"/>
      <c r="T6" s="7"/>
      <c r="W6" s="10"/>
    </row>
    <row r="7" spans="1:23" ht="13.5" hidden="1" customHeight="1" outlineLevel="1" thickBot="1" x14ac:dyDescent="0.25">
      <c r="B7" s="18" t="s">
        <v>5</v>
      </c>
      <c r="C7" s="19"/>
      <c r="D7" s="191">
        <f>'THP DR'!B13</f>
        <v>8</v>
      </c>
      <c r="E7" s="314"/>
      <c r="F7" s="314"/>
      <c r="G7" s="262"/>
      <c r="T7" s="20"/>
    </row>
    <row r="8" spans="1:23" ht="12.75" hidden="1" customHeight="1" outlineLevel="1" x14ac:dyDescent="0.2">
      <c r="B8" s="5"/>
      <c r="C8" s="21"/>
      <c r="D8" s="22"/>
      <c r="E8" s="22"/>
      <c r="F8" s="22"/>
      <c r="G8" s="263"/>
      <c r="T8" s="20"/>
    </row>
    <row r="9" spans="1:23" ht="12.75" hidden="1" customHeight="1" outlineLevel="1" x14ac:dyDescent="0.2">
      <c r="B9" s="23"/>
      <c r="C9" s="23"/>
      <c r="D9" s="23"/>
      <c r="E9" s="23"/>
      <c r="F9" s="23"/>
      <c r="G9" s="264"/>
      <c r="S9" s="24"/>
      <c r="T9" s="20"/>
    </row>
    <row r="10" spans="1:23" s="332" customFormat="1" ht="13.5" hidden="1" customHeight="1" outlineLevel="1" x14ac:dyDescent="0.2">
      <c r="A10" s="25"/>
      <c r="B10" s="26"/>
      <c r="C10" s="27"/>
      <c r="D10" s="28"/>
      <c r="E10" s="28"/>
      <c r="F10" s="28"/>
      <c r="G10" s="265"/>
      <c r="H10" s="25"/>
      <c r="I10" s="25"/>
      <c r="J10" s="25"/>
      <c r="K10" s="25"/>
      <c r="L10" s="25"/>
      <c r="M10" s="25"/>
      <c r="N10" s="25"/>
      <c r="O10" s="25"/>
      <c r="P10" s="25"/>
      <c r="Q10" s="25"/>
      <c r="R10" s="25"/>
      <c r="S10" s="24"/>
      <c r="T10" s="20"/>
      <c r="U10" s="10"/>
      <c r="V10" s="10"/>
    </row>
    <row r="11" spans="1:23" ht="15.75" hidden="1" outlineLevel="1" x14ac:dyDescent="0.2">
      <c r="A11" s="5"/>
      <c r="B11" s="387" t="s">
        <v>19</v>
      </c>
      <c r="C11" s="29" t="s">
        <v>7</v>
      </c>
      <c r="D11" s="30" t="s">
        <v>8</v>
      </c>
      <c r="E11" s="400" t="s">
        <v>9</v>
      </c>
      <c r="F11" s="401"/>
      <c r="G11" s="401"/>
      <c r="H11" s="327"/>
      <c r="I11" s="327"/>
      <c r="J11" s="327"/>
      <c r="K11" s="327"/>
      <c r="L11" s="327"/>
      <c r="M11" s="232"/>
      <c r="N11" s="232"/>
      <c r="O11" s="232"/>
      <c r="P11" s="232"/>
      <c r="Q11" s="31" t="s">
        <v>10</v>
      </c>
      <c r="R11" s="31" t="s">
        <v>10</v>
      </c>
      <c r="S11" s="31" t="s">
        <v>11</v>
      </c>
      <c r="T11" s="32"/>
      <c r="U11" s="5"/>
      <c r="V11" s="5"/>
    </row>
    <row r="12" spans="1:23" ht="87" customHeight="1" collapsed="1" x14ac:dyDescent="0.2">
      <c r="A12" s="5"/>
      <c r="B12" s="387"/>
      <c r="C12" s="33" t="s">
        <v>224</v>
      </c>
      <c r="D12" s="34" t="s">
        <v>264</v>
      </c>
      <c r="E12" s="394" t="str">
        <f>"Grant Quarter #"&amp;$D$7</f>
        <v>Grant Quarter #8</v>
      </c>
      <c r="F12" s="395"/>
      <c r="G12" s="399"/>
      <c r="H12" s="330" t="s">
        <v>71</v>
      </c>
      <c r="I12" s="330" t="s">
        <v>260</v>
      </c>
      <c r="J12" s="330" t="s">
        <v>72</v>
      </c>
      <c r="K12" s="330" t="s">
        <v>73</v>
      </c>
      <c r="L12" s="330" t="s">
        <v>74</v>
      </c>
      <c r="M12" s="330" t="s">
        <v>75</v>
      </c>
      <c r="N12" s="330" t="s">
        <v>76</v>
      </c>
      <c r="O12" s="330" t="s">
        <v>219</v>
      </c>
      <c r="P12" s="330" t="s">
        <v>220</v>
      </c>
      <c r="Q12" s="397" t="s">
        <v>20</v>
      </c>
      <c r="R12" s="398" t="s">
        <v>122</v>
      </c>
      <c r="S12" s="396" t="s">
        <v>15</v>
      </c>
      <c r="T12" s="36"/>
      <c r="U12" s="5"/>
      <c r="V12" s="5"/>
    </row>
    <row r="13" spans="1:23" ht="25.5" x14ac:dyDescent="0.2">
      <c r="A13" s="5"/>
      <c r="B13" s="39" t="s">
        <v>16</v>
      </c>
      <c r="C13" s="40" t="s">
        <v>275</v>
      </c>
      <c r="D13" s="41" t="s">
        <v>274</v>
      </c>
      <c r="E13" s="271" t="s">
        <v>270</v>
      </c>
      <c r="F13" s="271" t="s">
        <v>271</v>
      </c>
      <c r="G13" s="271" t="s">
        <v>272</v>
      </c>
      <c r="H13" s="330" t="s">
        <v>64</v>
      </c>
      <c r="I13" s="330" t="s">
        <v>258</v>
      </c>
      <c r="J13" s="330" t="s">
        <v>65</v>
      </c>
      <c r="K13" s="330" t="s">
        <v>66</v>
      </c>
      <c r="L13" s="330" t="s">
        <v>67</v>
      </c>
      <c r="M13" s="330" t="s">
        <v>259</v>
      </c>
      <c r="N13" s="330" t="s">
        <v>221</v>
      </c>
      <c r="O13" s="330" t="s">
        <v>222</v>
      </c>
      <c r="P13" s="330" t="s">
        <v>261</v>
      </c>
      <c r="Q13" s="397"/>
      <c r="R13" s="398"/>
      <c r="S13" s="396"/>
      <c r="T13" s="36"/>
      <c r="U13" s="5"/>
      <c r="V13" s="5"/>
    </row>
    <row r="14" spans="1:23" s="333" customFormat="1" ht="15" x14ac:dyDescent="0.25">
      <c r="A14"/>
      <c r="B14" s="189" t="s">
        <v>97</v>
      </c>
      <c r="C14" s="189" t="s">
        <v>98</v>
      </c>
      <c r="D14" s="189" t="s">
        <v>99</v>
      </c>
      <c r="E14" s="266" t="s">
        <v>100</v>
      </c>
      <c r="F14" s="266" t="s">
        <v>101</v>
      </c>
      <c r="G14" s="260" t="s">
        <v>102</v>
      </c>
      <c r="H14" s="189" t="s">
        <v>103</v>
      </c>
      <c r="I14" s="266" t="s">
        <v>104</v>
      </c>
      <c r="J14" s="266" t="s">
        <v>105</v>
      </c>
      <c r="K14" s="260" t="s">
        <v>106</v>
      </c>
      <c r="L14" s="189" t="s">
        <v>107</v>
      </c>
      <c r="M14" s="189" t="s">
        <v>108</v>
      </c>
      <c r="N14" s="266" t="s">
        <v>109</v>
      </c>
      <c r="O14" s="266" t="s">
        <v>110</v>
      </c>
      <c r="P14" s="260" t="s">
        <v>111</v>
      </c>
      <c r="Q14" s="189" t="s">
        <v>112</v>
      </c>
      <c r="R14" s="196" t="s">
        <v>113</v>
      </c>
      <c r="S14" s="189" t="s">
        <v>114</v>
      </c>
      <c r="T14" s="36"/>
    </row>
    <row r="15" spans="1:23" x14ac:dyDescent="0.2">
      <c r="A15" s="5"/>
      <c r="B15" s="43"/>
      <c r="C15" s="44"/>
      <c r="D15" s="43"/>
      <c r="E15" s="267"/>
      <c r="F15" s="267"/>
      <c r="G15" s="267"/>
      <c r="H15" s="43"/>
      <c r="I15" s="43"/>
      <c r="J15" s="43"/>
      <c r="K15" s="43"/>
      <c r="L15" s="43"/>
      <c r="M15" s="43"/>
      <c r="N15" s="43"/>
      <c r="O15" s="43"/>
      <c r="P15" s="43"/>
      <c r="Q15" s="43"/>
      <c r="R15" s="43"/>
      <c r="S15" s="298"/>
      <c r="T15" s="36"/>
      <c r="U15" s="5"/>
      <c r="V15" s="5"/>
    </row>
    <row r="16" spans="1:23" x14ac:dyDescent="0.2">
      <c r="A16" s="5"/>
      <c r="B16" s="45" t="s">
        <v>78</v>
      </c>
      <c r="C16" s="46"/>
      <c r="D16" s="47"/>
      <c r="E16" s="268"/>
      <c r="F16" s="268"/>
      <c r="G16" s="268"/>
      <c r="H16" s="47"/>
      <c r="I16" s="47"/>
      <c r="J16" s="47"/>
      <c r="K16" s="47"/>
      <c r="L16" s="47"/>
      <c r="M16" s="47"/>
      <c r="N16" s="47"/>
      <c r="O16" s="47"/>
      <c r="P16" s="47"/>
      <c r="Q16" s="48"/>
      <c r="R16" s="197"/>
      <c r="S16" s="299"/>
      <c r="T16" s="36"/>
      <c r="U16" s="5"/>
      <c r="V16" s="5"/>
    </row>
    <row r="17" spans="1:22" s="207" customFormat="1" outlineLevel="1" x14ac:dyDescent="0.2">
      <c r="A17" s="206"/>
      <c r="B17" s="50" t="s">
        <v>79</v>
      </c>
      <c r="C17" s="198">
        <f>SUM(C18:C20)</f>
        <v>1347565.99</v>
      </c>
      <c r="D17" s="198">
        <f>SUM(D18:D20)</f>
        <v>570124.07501706481</v>
      </c>
      <c r="E17" s="198">
        <f>SUM(E18:E20)</f>
        <v>520294.61</v>
      </c>
      <c r="F17" s="198">
        <f t="shared" ref="F17:K17" si="0">SUM(F18:F20)</f>
        <v>2000</v>
      </c>
      <c r="G17" s="198">
        <f t="shared" si="0"/>
        <v>702000</v>
      </c>
      <c r="H17" s="198">
        <f t="shared" si="0"/>
        <v>1224294.613651877</v>
      </c>
      <c r="I17" s="198">
        <f t="shared" si="0"/>
        <v>725914.73068259389</v>
      </c>
      <c r="J17" s="198">
        <f t="shared" si="0"/>
        <v>1225612.4591126279</v>
      </c>
      <c r="K17" s="198">
        <f t="shared" si="0"/>
        <v>1225612.4591126279</v>
      </c>
      <c r="L17" s="198">
        <f t="shared" ref="L17" si="1">SUM(L18:L20)</f>
        <v>1277441.9204778159</v>
      </c>
      <c r="M17" s="198">
        <f t="shared" ref="M17:N17" si="2">SUM(M18:M20)</f>
        <v>1225612.4591126279</v>
      </c>
      <c r="N17" s="198">
        <f t="shared" si="2"/>
        <v>1225612.4591126279</v>
      </c>
      <c r="O17" s="198">
        <f t="shared" ref="O17:P17" si="3">SUM(O18:O20)</f>
        <v>1951224.918225256</v>
      </c>
      <c r="P17" s="198">
        <f t="shared" si="3"/>
        <v>0</v>
      </c>
      <c r="Q17" s="198">
        <f>SUM(Q18:Q20)</f>
        <v>11999016.084505118</v>
      </c>
      <c r="R17" s="200">
        <f>'QFR - B'!G15</f>
        <v>12000000</v>
      </c>
      <c r="S17" s="287">
        <f>R17-Q17</f>
        <v>983.91549488157034</v>
      </c>
      <c r="T17" s="36"/>
    </row>
    <row r="18" spans="1:22" s="207" customFormat="1" outlineLevel="1" x14ac:dyDescent="0.2">
      <c r="A18" s="206"/>
      <c r="B18" s="202" t="s">
        <v>115</v>
      </c>
      <c r="C18" s="203">
        <v>1347565.99</v>
      </c>
      <c r="D18" s="302">
        <v>570124.07501706481</v>
      </c>
      <c r="E18" s="302">
        <v>518294.61</v>
      </c>
      <c r="F18" s="302">
        <v>0</v>
      </c>
      <c r="G18" s="302">
        <v>200000</v>
      </c>
      <c r="H18" s="204">
        <f>SUMIF('Contract level'!$A:$A,"="&amp;'DFP-Com'!$A16,'Contract level'!AF:AF)</f>
        <v>718294.61365187704</v>
      </c>
      <c r="I18" s="204">
        <f>SUMIF('Contract level'!$A:$A,"="&amp;'DFP-Com'!$A16,'Contract level'!AG:AG)</f>
        <v>225914.73068259386</v>
      </c>
      <c r="J18" s="204">
        <f>SUMIF('Contract level'!$A:$A,"="&amp;'DFP-Com'!$A16,'Contract level'!AH:AH)</f>
        <v>725612.45911262801</v>
      </c>
      <c r="K18" s="204">
        <f>SUMIF('Contract level'!$A:$A,"="&amp;'DFP-Com'!$A16,'Contract level'!AI:AI)</f>
        <v>725612.45911262801</v>
      </c>
      <c r="L18" s="204">
        <f>SUMIF('Contract level'!$A:$A,"="&amp;'DFP-Com'!$A16,'Contract level'!AJ:AJ)</f>
        <v>777441.92047781579</v>
      </c>
      <c r="M18" s="204">
        <f>SUMIF('Contract level'!$A:$A,"="&amp;'DFP-Com'!$A16,'Contract level'!AK:AK)</f>
        <v>725612.45911262801</v>
      </c>
      <c r="N18" s="204">
        <f>SUMIF('Contract level'!$A:$A,"="&amp;'DFP-Com'!$A16,'Contract level'!AL:AL)</f>
        <v>725612.45911262801</v>
      </c>
      <c r="O18" s="302">
        <f>SUMIF('Contract level'!$A:$A,"="&amp;'DFP-Com'!$A16,'Contract level'!AM:AM)</f>
        <v>1451224.918225256</v>
      </c>
      <c r="P18" s="302">
        <f>SUMIF('Contract level'!$A:$A,"="&amp;'DFP-Com'!$A16,'Contract level'!AN:AN)</f>
        <v>0</v>
      </c>
      <c r="Q18" s="204">
        <f>SUM(H18:P18)+D18+C18</f>
        <v>7993016.0845051194</v>
      </c>
      <c r="R18" s="205">
        <v>0</v>
      </c>
      <c r="S18" s="288"/>
      <c r="T18" s="36"/>
    </row>
    <row r="19" spans="1:22" s="207" customFormat="1" outlineLevel="1" x14ac:dyDescent="0.2">
      <c r="A19" s="206"/>
      <c r="B19" s="202" t="s">
        <v>116</v>
      </c>
      <c r="C19" s="203"/>
      <c r="D19" s="302">
        <v>0</v>
      </c>
      <c r="E19" s="204">
        <v>0</v>
      </c>
      <c r="F19" s="204">
        <v>0</v>
      </c>
      <c r="G19" s="204">
        <v>500000</v>
      </c>
      <c r="H19" s="204">
        <f>SUMIF('Contract level'!$A:$A,"="&amp;'DFP-Com'!$A17,'Contract level'!AF:AF)</f>
        <v>500000</v>
      </c>
      <c r="I19" s="204">
        <f>SUMIF('Contract level'!$A:$A,"="&amp;'DFP-Com'!$A17,'Contract level'!AG:AG)</f>
        <v>500000</v>
      </c>
      <c r="J19" s="204">
        <f>SUMIF('Contract level'!$A:$A,"="&amp;'DFP-Com'!$A17,'Contract level'!AH:AH)</f>
        <v>500000</v>
      </c>
      <c r="K19" s="204">
        <f>SUMIF('Contract level'!$A:$A,"="&amp;'DFP-Com'!$A17,'Contract level'!AI:AI)</f>
        <v>500000</v>
      </c>
      <c r="L19" s="204">
        <f>SUMIF('Contract level'!$A:$A,"="&amp;'DFP-Com'!$A17,'Contract level'!AJ:AJ)</f>
        <v>500000</v>
      </c>
      <c r="M19" s="204">
        <f>SUMIF('Contract level'!$A:$A,"="&amp;'DFP-Com'!$A17,'Contract level'!AK:AK)</f>
        <v>500000</v>
      </c>
      <c r="N19" s="204">
        <f>SUMIF('Contract level'!$A:$A,"="&amp;'DFP-Com'!$A17,'Contract level'!AL:AL)</f>
        <v>500000</v>
      </c>
      <c r="O19" s="302">
        <f>SUMIF('Contract level'!$A:$A,"="&amp;'DFP-Com'!$A17,'Contract level'!AM:AM)</f>
        <v>500000</v>
      </c>
      <c r="P19" s="302">
        <f>SUMIF('Contract level'!$A:$A,"="&amp;'DFP-Com'!$A17,'Contract level'!AN:AN)</f>
        <v>0</v>
      </c>
      <c r="Q19" s="302">
        <f>SUM(H19:P19)+D19+C19</f>
        <v>4000000</v>
      </c>
      <c r="R19" s="205">
        <v>0</v>
      </c>
      <c r="S19" s="288"/>
      <c r="T19" s="36"/>
    </row>
    <row r="20" spans="1:22" s="207" customFormat="1" outlineLevel="1" x14ac:dyDescent="0.2">
      <c r="A20" s="206"/>
      <c r="B20" s="202" t="s">
        <v>123</v>
      </c>
      <c r="C20" s="203"/>
      <c r="D20" s="302">
        <v>0</v>
      </c>
      <c r="E20" s="302">
        <v>2000</v>
      </c>
      <c r="F20" s="302">
        <v>2000</v>
      </c>
      <c r="G20" s="302">
        <v>2000</v>
      </c>
      <c r="H20" s="204">
        <f>SUMIF('Contract level'!$A:$A,"="&amp;'DFP-Com'!$A18,'Contract level'!AF:AF)</f>
        <v>6000</v>
      </c>
      <c r="I20" s="204">
        <f>SUMIF('Contract level'!$A:$A,"="&amp;'DFP-Com'!$A18,'Contract level'!AG:AG)</f>
        <v>0</v>
      </c>
      <c r="J20" s="204">
        <f>SUMIF('Contract level'!$A:$A,"="&amp;'DFP-Com'!$A18,'Contract level'!AH:AH)</f>
        <v>0</v>
      </c>
      <c r="K20" s="204">
        <f>SUMIF('Contract level'!$A:$A,"="&amp;'DFP-Com'!$A18,'Contract level'!AI:AI)</f>
        <v>0</v>
      </c>
      <c r="L20" s="204">
        <f>SUMIF('Contract level'!$A:$A,"="&amp;'DFP-Com'!$A18,'Contract level'!AJ:AJ)</f>
        <v>0</v>
      </c>
      <c r="M20" s="204">
        <f>SUMIF('Contract level'!$A:$A,"="&amp;'DFP-Com'!$A18,'Contract level'!AK:AK)</f>
        <v>0</v>
      </c>
      <c r="N20" s="204">
        <f>SUMIF('Contract level'!$A:$A,"="&amp;'DFP-Com'!$A18,'Contract level'!AL:AL)</f>
        <v>0</v>
      </c>
      <c r="O20" s="302">
        <f>SUMIF('Contract level'!$A:$A,"="&amp;'DFP-Com'!$A18,'Contract level'!AM:AM)</f>
        <v>0</v>
      </c>
      <c r="P20" s="302">
        <f>SUMIF('Contract level'!$A:$A,"="&amp;'DFP-Com'!$A18,'Contract level'!AN:AN)</f>
        <v>0</v>
      </c>
      <c r="Q20" s="302">
        <f>SUM(H20:P20)+D20+C20</f>
        <v>6000</v>
      </c>
      <c r="R20" s="205">
        <v>0</v>
      </c>
      <c r="S20" s="288"/>
      <c r="T20" s="36"/>
    </row>
    <row r="21" spans="1:22" s="207" customFormat="1" ht="25.5" outlineLevel="1" x14ac:dyDescent="0.2">
      <c r="A21" s="206"/>
      <c r="B21" s="50" t="s">
        <v>80</v>
      </c>
      <c r="C21" s="198">
        <f>C22</f>
        <v>16944.8</v>
      </c>
      <c r="D21" s="198">
        <f>D22</f>
        <v>147883.60999999999</v>
      </c>
      <c r="E21" s="198">
        <f t="shared" ref="E21:P21" si="4">E22</f>
        <v>111280.28</v>
      </c>
      <c r="F21" s="198">
        <f t="shared" si="4"/>
        <v>111280.28</v>
      </c>
      <c r="G21" s="198">
        <f t="shared" si="4"/>
        <v>111280.28</v>
      </c>
      <c r="H21" s="198">
        <f t="shared" si="4"/>
        <v>333840.84000000003</v>
      </c>
      <c r="I21" s="198">
        <f t="shared" si="4"/>
        <v>580650.68400000001</v>
      </c>
      <c r="J21" s="198">
        <f t="shared" si="4"/>
        <v>480950.68400000001</v>
      </c>
      <c r="K21" s="198">
        <f t="shared" si="4"/>
        <v>480950.68400000001</v>
      </c>
      <c r="L21" s="198">
        <f t="shared" si="4"/>
        <v>441350.68400000001</v>
      </c>
      <c r="M21" s="198">
        <f t="shared" si="4"/>
        <v>341350.68400000001</v>
      </c>
      <c r="N21" s="198">
        <f t="shared" si="4"/>
        <v>341350.68400000001</v>
      </c>
      <c r="O21" s="198">
        <f t="shared" si="4"/>
        <v>820891.48600000003</v>
      </c>
      <c r="P21" s="198">
        <f t="shared" si="4"/>
        <v>0</v>
      </c>
      <c r="Q21" s="198">
        <f>Q22</f>
        <v>3986164.8399999994</v>
      </c>
      <c r="R21" s="200">
        <f>'QFR - B'!G16</f>
        <v>4300000</v>
      </c>
      <c r="S21" s="287">
        <f>R21-Q21</f>
        <v>313835.16000000061</v>
      </c>
      <c r="T21" s="69"/>
    </row>
    <row r="22" spans="1:22" s="207" customFormat="1" ht="12.95" customHeight="1" outlineLevel="1" x14ac:dyDescent="0.2">
      <c r="A22" s="206"/>
      <c r="B22" s="202" t="s">
        <v>124</v>
      </c>
      <c r="C22" s="203">
        <v>16944.8</v>
      </c>
      <c r="D22" s="302">
        <v>147883.60999999999</v>
      </c>
      <c r="E22" s="302">
        <f>93180.28+2900+2000+13200</f>
        <v>111280.28</v>
      </c>
      <c r="F22" s="302">
        <f>93180.28+2900+2000+13200</f>
        <v>111280.28</v>
      </c>
      <c r="G22" s="302">
        <f>93180.28+2900+2000+13200</f>
        <v>111280.28</v>
      </c>
      <c r="H22" s="204">
        <f>SUMIF('Contract level'!$A:$A,"="&amp;'DFP-Com'!$A20,'Contract level'!AF:AF)</f>
        <v>333840.84000000003</v>
      </c>
      <c r="I22" s="204">
        <f>SUMIF('Contract level'!$A:$A,"="&amp;'DFP-Com'!$A20,'Contract level'!AG:AG)</f>
        <v>580650.68400000001</v>
      </c>
      <c r="J22" s="204">
        <f>SUMIF('Contract level'!$A:$A,"="&amp;'DFP-Com'!$A20,'Contract level'!AH:AH)</f>
        <v>480950.68400000001</v>
      </c>
      <c r="K22" s="204">
        <f>SUMIF('Contract level'!$A:$A,"="&amp;'DFP-Com'!$A20,'Contract level'!AI:AI)</f>
        <v>480950.68400000001</v>
      </c>
      <c r="L22" s="204">
        <f>SUMIF('Contract level'!$A:$A,"="&amp;'DFP-Com'!$A20,'Contract level'!AJ:AJ)</f>
        <v>441350.68400000001</v>
      </c>
      <c r="M22" s="204">
        <f>SUMIF('Contract level'!$A:$A,"="&amp;'DFP-Com'!$A20,'Contract level'!AK:AK)</f>
        <v>341350.68400000001</v>
      </c>
      <c r="N22" s="204">
        <f>SUMIF('Contract level'!$A:$A,"="&amp;'DFP-Com'!$A20,'Contract level'!AL:AL)</f>
        <v>341350.68400000001</v>
      </c>
      <c r="O22" s="302">
        <f>SUMIF('Contract level'!$A:$A,"="&amp;'DFP-Com'!$A20,'Contract level'!AM:AM)</f>
        <v>820891.48600000003</v>
      </c>
      <c r="P22" s="302">
        <f>SUMIF('Contract level'!$A:$A,"="&amp;'DFP-Com'!$A20,'Contract level'!AN:AN)</f>
        <v>0</v>
      </c>
      <c r="Q22" s="204">
        <f>SUM(H22:P22)+D22+C22</f>
        <v>3986164.8399999994</v>
      </c>
      <c r="R22" s="205">
        <v>0</v>
      </c>
      <c r="S22" s="288"/>
      <c r="T22" s="69"/>
    </row>
    <row r="23" spans="1:22" s="207" customFormat="1" outlineLevel="1" x14ac:dyDescent="0.2">
      <c r="A23" s="206"/>
      <c r="B23" s="50" t="s">
        <v>81</v>
      </c>
      <c r="C23" s="198">
        <f>SUM(C24:C26)</f>
        <v>250439.6</v>
      </c>
      <c r="D23" s="198">
        <f>SUM(D24:D26)</f>
        <v>483697.63177570101</v>
      </c>
      <c r="E23" s="198">
        <f t="shared" ref="E23:Q23" si="5">SUM(E24:E26)</f>
        <v>5500</v>
      </c>
      <c r="F23" s="198">
        <f t="shared" si="5"/>
        <v>109158.9227</v>
      </c>
      <c r="G23" s="198">
        <f t="shared" si="5"/>
        <v>9000</v>
      </c>
      <c r="H23" s="198">
        <f t="shared" si="5"/>
        <v>123658.92261682244</v>
      </c>
      <c r="I23" s="198">
        <f t="shared" si="5"/>
        <v>1415895.4553271031</v>
      </c>
      <c r="J23" s="198">
        <f t="shared" si="5"/>
        <v>223817.84523364488</v>
      </c>
      <c r="K23" s="198">
        <f t="shared" si="5"/>
        <v>16500</v>
      </c>
      <c r="L23" s="198">
        <f t="shared" ref="L23" si="6">SUM(L24:L26)</f>
        <v>249732.57588785051</v>
      </c>
      <c r="M23" s="198">
        <f t="shared" ref="M23:N23" si="7">SUM(M24:M26)</f>
        <v>16500</v>
      </c>
      <c r="N23" s="198">
        <f t="shared" si="7"/>
        <v>16500</v>
      </c>
      <c r="O23" s="198">
        <f t="shared" ref="O23:P23" si="8">SUM(O24:O26)</f>
        <v>171988.38392523368</v>
      </c>
      <c r="P23" s="198">
        <f t="shared" si="8"/>
        <v>16500</v>
      </c>
      <c r="Q23" s="198">
        <f t="shared" si="5"/>
        <v>2985230.4147663554</v>
      </c>
      <c r="R23" s="200">
        <f>'QFR - B'!G17</f>
        <v>3000000</v>
      </c>
      <c r="S23" s="287">
        <f>R23-Q23</f>
        <v>14769.585233644582</v>
      </c>
      <c r="T23" s="69"/>
    </row>
    <row r="24" spans="1:22" s="207" customFormat="1" ht="12.95" customHeight="1" outlineLevel="1" x14ac:dyDescent="0.2">
      <c r="A24" s="206"/>
      <c r="B24" s="202" t="s">
        <v>117</v>
      </c>
      <c r="C24" s="203">
        <v>207317.84</v>
      </c>
      <c r="D24" s="302">
        <v>466465.15177570103</v>
      </c>
      <c r="E24" s="302">
        <v>0</v>
      </c>
      <c r="F24" s="302">
        <v>103658.9227</v>
      </c>
      <c r="G24" s="302">
        <v>0</v>
      </c>
      <c r="H24" s="204">
        <f>SUMIF('Contract level'!$A:$A,"="&amp;'DFP-Com'!$A22,'Contract level'!AF:AF)</f>
        <v>103658.92261682244</v>
      </c>
      <c r="I24" s="204">
        <f>SUMIF('Contract level'!$A:$A,"="&amp;'DFP-Com'!$A22,'Contract level'!AG:AG)</f>
        <v>1399395.4553271031</v>
      </c>
      <c r="J24" s="204">
        <f>SUMIF('Contract level'!$A:$A,"="&amp;'DFP-Com'!$A22,'Contract level'!AH:AH)</f>
        <v>207317.84523364488</v>
      </c>
      <c r="K24" s="204">
        <f>SUMIF('Contract level'!$A:$A,"="&amp;'DFP-Com'!$A22,'Contract level'!AI:AI)</f>
        <v>0</v>
      </c>
      <c r="L24" s="204">
        <f>SUMIF('Contract level'!$A:$A,"="&amp;'DFP-Com'!$A22,'Contract level'!AJ:AJ)</f>
        <v>233232.57588785051</v>
      </c>
      <c r="M24" s="204">
        <f>SUMIF('Contract level'!$A:$A,"="&amp;'DFP-Com'!$A22,'Contract level'!AK:AK)</f>
        <v>0</v>
      </c>
      <c r="N24" s="204">
        <f>SUMIF('Contract level'!$A:$A,"="&amp;'DFP-Com'!$A22,'Contract level'!AL:AL)</f>
        <v>0</v>
      </c>
      <c r="O24" s="302">
        <f>SUMIF('Contract level'!$A:$A,"="&amp;'DFP-Com'!$A22,'Contract level'!AM:AM)</f>
        <v>155488.38392523368</v>
      </c>
      <c r="P24" s="302">
        <f>SUMIF('Contract level'!$A:$A,"="&amp;'DFP-Com'!$A22,'Contract level'!AN:AN)</f>
        <v>0</v>
      </c>
      <c r="Q24" s="204">
        <f>SUM(H24:P24)+D24+C24</f>
        <v>2772876.1747663552</v>
      </c>
      <c r="R24" s="205">
        <v>0</v>
      </c>
      <c r="S24" s="288"/>
      <c r="T24" s="69"/>
    </row>
    <row r="25" spans="1:22" s="207" customFormat="1" ht="12.95" customHeight="1" outlineLevel="1" x14ac:dyDescent="0.2">
      <c r="A25" s="206"/>
      <c r="B25" s="202" t="s">
        <v>133</v>
      </c>
      <c r="C25" s="203">
        <v>43121.760000000002</v>
      </c>
      <c r="D25" s="302">
        <v>17232.48</v>
      </c>
      <c r="E25" s="302">
        <v>5500</v>
      </c>
      <c r="F25" s="302">
        <v>5500</v>
      </c>
      <c r="G25" s="302">
        <v>7000</v>
      </c>
      <c r="H25" s="204">
        <f>SUMIF('Contract level'!$A:$A,"="&amp;'DFP-Com'!$A23,'Contract level'!AF:AF)</f>
        <v>18000</v>
      </c>
      <c r="I25" s="204">
        <f>SUMIF('Contract level'!$A:$A,"="&amp;'DFP-Com'!$A23,'Contract level'!AG:AG)</f>
        <v>16500</v>
      </c>
      <c r="J25" s="204">
        <f>SUMIF('Contract level'!$A:$A,"="&amp;'DFP-Com'!$A23,'Contract level'!AH:AH)</f>
        <v>16500</v>
      </c>
      <c r="K25" s="204">
        <f>SUMIF('Contract level'!$A:$A,"="&amp;'DFP-Com'!$A23,'Contract level'!AI:AI)</f>
        <v>16500</v>
      </c>
      <c r="L25" s="204">
        <f>SUMIF('Contract level'!$A:$A,"="&amp;'DFP-Com'!$A23,'Contract level'!AJ:AJ)</f>
        <v>16500</v>
      </c>
      <c r="M25" s="204">
        <f>SUMIF('Contract level'!$A:$A,"="&amp;'DFP-Com'!$A23,'Contract level'!AK:AK)</f>
        <v>16500</v>
      </c>
      <c r="N25" s="204">
        <f>SUMIF('Contract level'!$A:$A,"="&amp;'DFP-Com'!$A23,'Contract level'!AL:AL)</f>
        <v>16500</v>
      </c>
      <c r="O25" s="302">
        <f>SUMIF('Contract level'!$A:$A,"="&amp;'DFP-Com'!$A23,'Contract level'!AM:AM)</f>
        <v>16500</v>
      </c>
      <c r="P25" s="302">
        <f>SUMIF('Contract level'!$A:$A,"="&amp;'DFP-Com'!$A23,'Contract level'!AN:AN)</f>
        <v>16500</v>
      </c>
      <c r="Q25" s="302">
        <f>SUM(H25:P25)+D25+C25</f>
        <v>210354.24000000002</v>
      </c>
      <c r="R25" s="205">
        <v>0</v>
      </c>
      <c r="S25" s="288"/>
      <c r="T25" s="69"/>
    </row>
    <row r="26" spans="1:22" s="207" customFormat="1" outlineLevel="1" x14ac:dyDescent="0.2">
      <c r="A26" s="206"/>
      <c r="B26" s="202" t="s">
        <v>132</v>
      </c>
      <c r="C26" s="203">
        <v>0</v>
      </c>
      <c r="D26" s="302">
        <v>0</v>
      </c>
      <c r="E26" s="204">
        <v>0</v>
      </c>
      <c r="F26" s="204">
        <v>0</v>
      </c>
      <c r="G26" s="204">
        <v>2000</v>
      </c>
      <c r="H26" s="204">
        <f>SUMIF('Contract level'!$A:$A,"="&amp;'DFP-Com'!$A24,'Contract level'!AF:AF)</f>
        <v>2000</v>
      </c>
      <c r="I26" s="204">
        <f>SUMIF('Contract level'!$A:$A,"="&amp;'DFP-Com'!$A24,'Contract level'!AG:AG)</f>
        <v>0</v>
      </c>
      <c r="J26" s="204">
        <f>SUMIF('Contract level'!$A:$A,"="&amp;'DFP-Com'!$A24,'Contract level'!AH:AH)</f>
        <v>0</v>
      </c>
      <c r="K26" s="204">
        <f>SUMIF('Contract level'!$A:$A,"="&amp;'DFP-Com'!$A24,'Contract level'!AI:AI)</f>
        <v>0</v>
      </c>
      <c r="L26" s="204">
        <f>SUMIF('Contract level'!$A:$A,"="&amp;'DFP-Com'!$A24,'Contract level'!AJ:AJ)</f>
        <v>0</v>
      </c>
      <c r="M26" s="204">
        <f>SUMIF('Contract level'!$A:$A,"="&amp;'DFP-Com'!$A24,'Contract level'!AK:AK)</f>
        <v>0</v>
      </c>
      <c r="N26" s="204">
        <f>SUMIF('Contract level'!$A:$A,"="&amp;'DFP-Com'!$A24,'Contract level'!AL:AL)</f>
        <v>0</v>
      </c>
      <c r="O26" s="302">
        <f>SUMIF('Contract level'!$A:$A,"="&amp;'DFP-Com'!$A24,'Contract level'!AM:AM)</f>
        <v>0</v>
      </c>
      <c r="P26" s="302">
        <f>SUMIF('Contract level'!$A:$A,"="&amp;'DFP-Com'!$A24,'Contract level'!AN:AN)</f>
        <v>0</v>
      </c>
      <c r="Q26" s="302">
        <f>SUM(H26:P26)+D26+C26</f>
        <v>2000</v>
      </c>
      <c r="R26" s="205">
        <v>0</v>
      </c>
      <c r="S26" s="288"/>
      <c r="T26" s="69"/>
    </row>
    <row r="27" spans="1:22" s="207" customFormat="1" x14ac:dyDescent="0.2">
      <c r="A27" s="206"/>
      <c r="B27" s="52" t="s">
        <v>62</v>
      </c>
      <c r="C27" s="199">
        <f>C23+C21+C17</f>
        <v>1614950.3900000001</v>
      </c>
      <c r="D27" s="199">
        <f>D23+D21+D17</f>
        <v>1201705.3167927659</v>
      </c>
      <c r="E27" s="199">
        <f t="shared" ref="E27:Q27" si="9">E23+E21+E17</f>
        <v>637074.89</v>
      </c>
      <c r="F27" s="199">
        <f t="shared" si="9"/>
        <v>222439.20269999999</v>
      </c>
      <c r="G27" s="199">
        <f t="shared" si="9"/>
        <v>822280.28</v>
      </c>
      <c r="H27" s="199">
        <f t="shared" si="9"/>
        <v>1681794.3762686995</v>
      </c>
      <c r="I27" s="199">
        <f t="shared" si="9"/>
        <v>2722460.870009697</v>
      </c>
      <c r="J27" s="199">
        <f t="shared" si="9"/>
        <v>1930380.9883462728</v>
      </c>
      <c r="K27" s="199">
        <f t="shared" si="9"/>
        <v>1723063.1431126278</v>
      </c>
      <c r="L27" s="199">
        <f t="shared" ref="L27" si="10">L23+L21+L17</f>
        <v>1968525.1803656663</v>
      </c>
      <c r="M27" s="199">
        <f t="shared" ref="M27:N27" si="11">M23+M21+M17</f>
        <v>1583463.1431126278</v>
      </c>
      <c r="N27" s="199">
        <f t="shared" si="11"/>
        <v>1583463.1431126278</v>
      </c>
      <c r="O27" s="199">
        <f t="shared" ref="O27:P27" si="12">O23+O21+O17</f>
        <v>2944104.7881504898</v>
      </c>
      <c r="P27" s="199">
        <f t="shared" si="12"/>
        <v>16500</v>
      </c>
      <c r="Q27" s="199">
        <f t="shared" si="9"/>
        <v>18970411.339271471</v>
      </c>
      <c r="R27" s="201">
        <f>R17+R21+R23</f>
        <v>19300000</v>
      </c>
      <c r="S27" s="289">
        <f>S17+S21+S23</f>
        <v>329588.66072852677</v>
      </c>
      <c r="T27" s="69"/>
    </row>
    <row r="28" spans="1:22" x14ac:dyDescent="0.2">
      <c r="A28" s="49"/>
      <c r="B28" s="54"/>
      <c r="C28" s="55"/>
      <c r="D28" s="56"/>
      <c r="E28" s="218"/>
      <c r="F28" s="218"/>
      <c r="G28" s="218"/>
      <c r="H28" s="218"/>
      <c r="I28" s="218"/>
      <c r="J28" s="218"/>
      <c r="K28" s="218"/>
      <c r="L28" s="218"/>
      <c r="M28" s="218"/>
      <c r="N28" s="218"/>
      <c r="O28" s="218"/>
      <c r="P28" s="218"/>
      <c r="Q28" s="218"/>
      <c r="R28" s="272"/>
      <c r="S28" s="290"/>
      <c r="T28" s="7"/>
      <c r="U28" s="5"/>
      <c r="V28" s="5"/>
    </row>
    <row r="29" spans="1:22" x14ac:dyDescent="0.2">
      <c r="A29" s="49"/>
      <c r="B29" s="45" t="s">
        <v>84</v>
      </c>
      <c r="C29" s="57"/>
      <c r="D29" s="58"/>
      <c r="E29" s="219"/>
      <c r="F29" s="219"/>
      <c r="G29" s="219"/>
      <c r="H29" s="219"/>
      <c r="I29" s="219"/>
      <c r="J29" s="219"/>
      <c r="K29" s="219"/>
      <c r="L29" s="219"/>
      <c r="M29" s="219"/>
      <c r="N29" s="219"/>
      <c r="O29" s="219"/>
      <c r="P29" s="219"/>
      <c r="Q29" s="219"/>
      <c r="R29" s="273"/>
      <c r="S29" s="291"/>
      <c r="T29" s="7"/>
      <c r="U29" s="5"/>
      <c r="V29" s="5"/>
    </row>
    <row r="30" spans="1:22" outlineLevel="1" x14ac:dyDescent="0.2">
      <c r="A30" s="49"/>
      <c r="B30" s="50" t="s">
        <v>134</v>
      </c>
      <c r="C30" s="42">
        <f t="shared" ref="C30:Q30" si="13">SUM(C31:C31)</f>
        <v>119272.12</v>
      </c>
      <c r="D30" s="42">
        <f t="shared" si="13"/>
        <v>43441</v>
      </c>
      <c r="E30" s="221">
        <f t="shared" si="13"/>
        <v>19040.5</v>
      </c>
      <c r="F30" s="221">
        <f t="shared" si="13"/>
        <v>15040.5</v>
      </c>
      <c r="G30" s="221">
        <f t="shared" si="13"/>
        <v>15040.6</v>
      </c>
      <c r="H30" s="221">
        <f t="shared" si="13"/>
        <v>49121.595000000001</v>
      </c>
      <c r="I30" s="221">
        <f t="shared" si="13"/>
        <v>45121.595000000001</v>
      </c>
      <c r="J30" s="221">
        <f t="shared" si="13"/>
        <v>155621.595</v>
      </c>
      <c r="K30" s="221">
        <f t="shared" si="13"/>
        <v>142983.995</v>
      </c>
      <c r="L30" s="221">
        <f t="shared" si="13"/>
        <v>110500</v>
      </c>
      <c r="M30" s="221">
        <f t="shared" si="13"/>
        <v>110500</v>
      </c>
      <c r="N30" s="221">
        <f t="shared" si="13"/>
        <v>0</v>
      </c>
      <c r="O30" s="221">
        <f t="shared" si="13"/>
        <v>0</v>
      </c>
      <c r="P30" s="221">
        <f t="shared" si="13"/>
        <v>0</v>
      </c>
      <c r="Q30" s="221">
        <f t="shared" si="13"/>
        <v>776561.9</v>
      </c>
      <c r="R30" s="200">
        <f>'QFR - B'!G20</f>
        <v>800000</v>
      </c>
      <c r="S30" s="287">
        <f>R30-Q30</f>
        <v>23438.099999999977</v>
      </c>
      <c r="T30" s="245"/>
      <c r="U30" s="5"/>
      <c r="V30" s="5"/>
    </row>
    <row r="31" spans="1:22" s="207" customFormat="1" outlineLevel="1" x14ac:dyDescent="0.2">
      <c r="A31" s="206"/>
      <c r="B31" s="202" t="s">
        <v>127</v>
      </c>
      <c r="C31" s="210">
        <v>119272.12</v>
      </c>
      <c r="D31" s="211">
        <v>43441</v>
      </c>
      <c r="E31" s="302">
        <v>19040.5</v>
      </c>
      <c r="F31" s="302">
        <v>15040.5</v>
      </c>
      <c r="G31" s="302">
        <v>15040.6</v>
      </c>
      <c r="H31" s="204">
        <f>SUMIF('Contract level'!$A:$A,"="&amp;'DFP-Com'!$A29,'Contract level'!AF:AF)</f>
        <v>49121.595000000001</v>
      </c>
      <c r="I31" s="204">
        <f>SUMIF('Contract level'!$A:$A,"="&amp;'DFP-Com'!$A29,'Contract level'!AG:AG)</f>
        <v>45121.595000000001</v>
      </c>
      <c r="J31" s="204">
        <f>SUMIF('Contract level'!$A:$A,"="&amp;'DFP-Com'!$A29,'Contract level'!AH:AH)</f>
        <v>155621.595</v>
      </c>
      <c r="K31" s="204">
        <f>SUMIF('Contract level'!$A:$A,"="&amp;'DFP-Com'!$A29,'Contract level'!AI:AI)</f>
        <v>142983.995</v>
      </c>
      <c r="L31" s="204">
        <f>SUMIF('Contract level'!$A:$A,"="&amp;'DFP-Com'!$A29,'Contract level'!AJ:AJ)</f>
        <v>110500</v>
      </c>
      <c r="M31" s="204">
        <f>SUMIF('Contract level'!$A:$A,"="&amp;'DFP-Com'!$A29,'Contract level'!AK:AK)</f>
        <v>110500</v>
      </c>
      <c r="N31" s="204">
        <f>SUMIF('Contract level'!$A:$A,"="&amp;'DFP-Com'!$A29,'Contract level'!AL:AL)</f>
        <v>0</v>
      </c>
      <c r="O31" s="302">
        <f>SUMIF('Contract level'!$A:$A,"="&amp;'DFP-Com'!$A29,'Contract level'!AM:AM)</f>
        <v>0</v>
      </c>
      <c r="P31" s="302">
        <f>SUMIF('Contract level'!$A:$A,"="&amp;'DFP-Com'!$A29,'Contract level'!AN:AN)</f>
        <v>0</v>
      </c>
      <c r="Q31" s="204">
        <f>SUM(H31:P31)+D31+C31</f>
        <v>776561.9</v>
      </c>
      <c r="R31" s="205"/>
      <c r="S31" s="288"/>
      <c r="T31" s="245"/>
    </row>
    <row r="32" spans="1:22" outlineLevel="1" x14ac:dyDescent="0.2">
      <c r="A32" s="49"/>
      <c r="B32" s="50" t="s">
        <v>88</v>
      </c>
      <c r="C32" s="51">
        <f>SUM(C33:C35)</f>
        <v>291900.60000000003</v>
      </c>
      <c r="D32" s="51">
        <f>SUM(D33:D35)</f>
        <v>194449.06</v>
      </c>
      <c r="E32" s="198">
        <f t="shared" ref="E32:K32" si="14">SUM(E33:E35)</f>
        <v>321339.7</v>
      </c>
      <c r="F32" s="198">
        <f t="shared" si="14"/>
        <v>218295.8</v>
      </c>
      <c r="G32" s="198">
        <f t="shared" si="14"/>
        <v>230524.79999999999</v>
      </c>
      <c r="H32" s="198">
        <f t="shared" si="14"/>
        <v>770160.29999999993</v>
      </c>
      <c r="I32" s="198">
        <f t="shared" si="14"/>
        <v>1120795.8</v>
      </c>
      <c r="J32" s="198">
        <f t="shared" si="14"/>
        <v>973750</v>
      </c>
      <c r="K32" s="198">
        <f t="shared" si="14"/>
        <v>73500</v>
      </c>
      <c r="L32" s="198">
        <f t="shared" ref="L32" si="15">SUM(L33:L35)</f>
        <v>36750</v>
      </c>
      <c r="M32" s="198">
        <f t="shared" ref="M32:N32" si="16">SUM(M33:M35)</f>
        <v>76750</v>
      </c>
      <c r="N32" s="198">
        <f t="shared" si="16"/>
        <v>50916.950000000019</v>
      </c>
      <c r="O32" s="198">
        <f t="shared" ref="O32:P32" si="17">SUM(O33:O35)</f>
        <v>0</v>
      </c>
      <c r="P32" s="198">
        <f t="shared" si="17"/>
        <v>0</v>
      </c>
      <c r="Q32" s="198">
        <f>SUM(Q33:Q35)</f>
        <v>3588972.7100000004</v>
      </c>
      <c r="R32" s="200">
        <f>'QFR - B'!G21</f>
        <v>3600000</v>
      </c>
      <c r="S32" s="287">
        <f>R32-Q32</f>
        <v>11027.289999999572</v>
      </c>
      <c r="T32" s="245"/>
      <c r="U32" s="5"/>
      <c r="V32" s="5"/>
    </row>
    <row r="33" spans="1:22" s="207" customFormat="1" outlineLevel="1" x14ac:dyDescent="0.2">
      <c r="A33" s="206"/>
      <c r="B33" s="202" t="s">
        <v>128</v>
      </c>
      <c r="C33" s="210">
        <f>263511.62+22427.34</f>
        <v>285938.96000000002</v>
      </c>
      <c r="D33" s="211">
        <v>91426.16</v>
      </c>
      <c r="E33" s="302">
        <v>12250</v>
      </c>
      <c r="F33" s="302">
        <v>12250</v>
      </c>
      <c r="G33" s="302">
        <v>24500</v>
      </c>
      <c r="H33" s="204">
        <f>SUMIF('Contract level'!$A:$A,"="&amp;'DFP-Com'!$A31,'Contract level'!AF:AF)</f>
        <v>49000</v>
      </c>
      <c r="I33" s="204">
        <f>SUMIF('Contract level'!$A:$A,"="&amp;'DFP-Com'!$A31,'Contract level'!AG:AG)</f>
        <v>42249.999999999993</v>
      </c>
      <c r="J33" s="204">
        <f>SUMIF('Contract level'!$A:$A,"="&amp;'DFP-Com'!$A31,'Contract level'!AH:AH)</f>
        <v>101250.00000000004</v>
      </c>
      <c r="K33" s="204">
        <f>SUMIF('Contract level'!$A:$A,"="&amp;'DFP-Com'!$A31,'Contract level'!AI:AI)</f>
        <v>73500</v>
      </c>
      <c r="L33" s="204">
        <f>SUMIF('Contract level'!$A:$A,"="&amp;'DFP-Com'!$A31,'Contract level'!AJ:AJ)</f>
        <v>36750</v>
      </c>
      <c r="M33" s="204">
        <f>SUMIF('Contract level'!$A:$A,"="&amp;'DFP-Com'!$A31,'Contract level'!AK:AK)</f>
        <v>76750</v>
      </c>
      <c r="N33" s="204">
        <f>SUMIF('Contract level'!$A:$A,"="&amp;'DFP-Com'!$A31,'Contract level'!AL:AL)</f>
        <v>50916.950000000019</v>
      </c>
      <c r="O33" s="302">
        <f>SUMIF('Contract level'!$A:$A,"="&amp;'DFP-Com'!$A31,'Contract level'!AM:AM)</f>
        <v>0</v>
      </c>
      <c r="P33" s="302">
        <f>SUMIF('Contract level'!$A:$A,"="&amp;'DFP-Com'!$A31,'Contract level'!AN:AN)</f>
        <v>0</v>
      </c>
      <c r="Q33" s="204">
        <f>SUM(H33:P33)+D33+C33</f>
        <v>807782.07000000007</v>
      </c>
      <c r="R33" s="205"/>
      <c r="S33" s="288"/>
      <c r="T33" s="245"/>
    </row>
    <row r="34" spans="1:22" s="207" customFormat="1" outlineLevel="1" x14ac:dyDescent="0.2">
      <c r="A34" s="206"/>
      <c r="B34" s="202" t="s">
        <v>129</v>
      </c>
      <c r="C34" s="210">
        <v>0</v>
      </c>
      <c r="D34" s="211">
        <v>103022.90000000001</v>
      </c>
      <c r="E34" s="302">
        <v>309089.7</v>
      </c>
      <c r="F34" s="302">
        <v>206045.8</v>
      </c>
      <c r="G34" s="302">
        <v>206024.8</v>
      </c>
      <c r="H34" s="204">
        <f>SUMIF('Contract level'!$A:$A,"="&amp;'DFP-Com'!$A32,'Contract level'!AF:AF)</f>
        <v>721160.29999999993</v>
      </c>
      <c r="I34" s="204">
        <f>SUMIF('Contract level'!$A:$A,"="&amp;'DFP-Com'!$A32,'Contract level'!AG:AG)</f>
        <v>1078545.8</v>
      </c>
      <c r="J34" s="204">
        <f>SUMIF('Contract level'!$A:$A,"="&amp;'DFP-Com'!$A32,'Contract level'!AH:AH)</f>
        <v>872500</v>
      </c>
      <c r="K34" s="204">
        <f>SUMIF('Contract level'!$A:$A,"="&amp;'DFP-Com'!$A32,'Contract level'!AI:AI)</f>
        <v>0</v>
      </c>
      <c r="L34" s="204">
        <f>SUMIF('Contract level'!$A:$A,"="&amp;'DFP-Com'!$A32,'Contract level'!AJ:AJ)</f>
        <v>0</v>
      </c>
      <c r="M34" s="204">
        <f>SUMIF('Contract level'!$A:$A,"="&amp;'DFP-Com'!$A32,'Contract level'!AK:AK)</f>
        <v>0</v>
      </c>
      <c r="N34" s="204">
        <f>SUMIF('Contract level'!$A:$A,"="&amp;'DFP-Com'!$A32,'Contract level'!AL:AL)</f>
        <v>0</v>
      </c>
      <c r="O34" s="302">
        <f>SUMIF('Contract level'!$A:$A,"="&amp;'DFP-Com'!$A32,'Contract level'!AM:AM)</f>
        <v>0</v>
      </c>
      <c r="P34" s="302">
        <f>SUMIF('Contract level'!$A:$A,"="&amp;'DFP-Com'!$A32,'Contract level'!AN:AN)</f>
        <v>0</v>
      </c>
      <c r="Q34" s="302">
        <f>SUM(H34:P34)+D34+C34</f>
        <v>2775229</v>
      </c>
      <c r="R34" s="205"/>
      <c r="S34" s="288"/>
      <c r="T34" s="245"/>
    </row>
    <row r="35" spans="1:22" s="207" customFormat="1" outlineLevel="1" x14ac:dyDescent="0.2">
      <c r="A35" s="206"/>
      <c r="B35" s="202" t="s">
        <v>131</v>
      </c>
      <c r="C35" s="210">
        <v>5961.64</v>
      </c>
      <c r="D35" s="211">
        <v>0</v>
      </c>
      <c r="E35" s="204">
        <v>0</v>
      </c>
      <c r="F35" s="204">
        <v>0</v>
      </c>
      <c r="G35" s="204">
        <v>0</v>
      </c>
      <c r="H35" s="204">
        <f>SUMIF('Contract level'!$A:$A,"="&amp;'DFP-Com'!$A33,'Contract level'!AF:AF)</f>
        <v>0</v>
      </c>
      <c r="I35" s="204">
        <f>SUMIF('Contract level'!$A:$A,"="&amp;'DFP-Com'!$A33,'Contract level'!AG:AG)</f>
        <v>0</v>
      </c>
      <c r="J35" s="204">
        <f>SUMIF('Contract level'!$A:$A,"="&amp;'DFP-Com'!$A33,'Contract level'!AH:AH)</f>
        <v>0</v>
      </c>
      <c r="K35" s="204">
        <f>SUMIF('Contract level'!$A:$A,"="&amp;'DFP-Com'!$A33,'Contract level'!AI:AI)</f>
        <v>0</v>
      </c>
      <c r="L35" s="204">
        <f>SUMIF('Contract level'!$A:$A,"="&amp;'DFP-Com'!$A33,'Contract level'!AJ:AJ)</f>
        <v>0</v>
      </c>
      <c r="M35" s="204">
        <f>SUMIF('Contract level'!$A:$A,"="&amp;'DFP-Com'!$A33,'Contract level'!AK:AK)</f>
        <v>0</v>
      </c>
      <c r="N35" s="204">
        <f>SUMIF('Contract level'!$A:$A,"="&amp;'DFP-Com'!$A33,'Contract level'!AL:AL)</f>
        <v>0</v>
      </c>
      <c r="O35" s="302">
        <f>SUMIF('Contract level'!$A:$A,"="&amp;'DFP-Com'!$A33,'Contract level'!AM:AM)</f>
        <v>0</v>
      </c>
      <c r="P35" s="302">
        <f>SUMIF('Contract level'!$A:$A,"="&amp;'DFP-Com'!$A33,'Contract level'!AN:AN)</f>
        <v>0</v>
      </c>
      <c r="Q35" s="302">
        <f>SUM(H35:P35)+D35+C35</f>
        <v>5961.64</v>
      </c>
      <c r="R35" s="205"/>
      <c r="S35" s="288"/>
      <c r="T35" s="69"/>
    </row>
    <row r="36" spans="1:22" x14ac:dyDescent="0.2">
      <c r="A36" s="49"/>
      <c r="B36" s="59" t="s">
        <v>63</v>
      </c>
      <c r="C36" s="53">
        <f>C32+C30</f>
        <v>411172.72000000003</v>
      </c>
      <c r="D36" s="53">
        <f>D32+D30</f>
        <v>237890.06</v>
      </c>
      <c r="E36" s="199">
        <f t="shared" ref="E36:S36" si="18">E32+E30</f>
        <v>340380.2</v>
      </c>
      <c r="F36" s="199">
        <f t="shared" si="18"/>
        <v>233336.3</v>
      </c>
      <c r="G36" s="199">
        <f t="shared" si="18"/>
        <v>245565.4</v>
      </c>
      <c r="H36" s="199">
        <f t="shared" si="18"/>
        <v>819281.8949999999</v>
      </c>
      <c r="I36" s="199">
        <f t="shared" si="18"/>
        <v>1165917.395</v>
      </c>
      <c r="J36" s="199">
        <f t="shared" si="18"/>
        <v>1129371.595</v>
      </c>
      <c r="K36" s="199">
        <f t="shared" si="18"/>
        <v>216483.995</v>
      </c>
      <c r="L36" s="199">
        <f t="shared" ref="L36" si="19">L32+L30</f>
        <v>147250</v>
      </c>
      <c r="M36" s="199">
        <f t="shared" si="18"/>
        <v>187250</v>
      </c>
      <c r="N36" s="199">
        <f t="shared" si="18"/>
        <v>50916.950000000019</v>
      </c>
      <c r="O36" s="199">
        <f t="shared" ref="O36:P36" si="20">O32+O30</f>
        <v>0</v>
      </c>
      <c r="P36" s="199">
        <f t="shared" si="20"/>
        <v>0</v>
      </c>
      <c r="Q36" s="199">
        <f>Q32+Q30</f>
        <v>4365534.6100000003</v>
      </c>
      <c r="R36" s="199">
        <f t="shared" si="18"/>
        <v>4400000</v>
      </c>
      <c r="S36" s="293">
        <f t="shared" si="18"/>
        <v>34465.389999999548</v>
      </c>
      <c r="T36" s="245"/>
      <c r="U36" s="5"/>
      <c r="V36" s="5"/>
    </row>
    <row r="37" spans="1:22" x14ac:dyDescent="0.2">
      <c r="A37" s="49"/>
      <c r="B37" s="54"/>
      <c r="C37" s="55"/>
      <c r="D37" s="56"/>
      <c r="E37" s="218"/>
      <c r="F37" s="218"/>
      <c r="G37" s="218"/>
      <c r="H37" s="218"/>
      <c r="I37" s="218"/>
      <c r="J37" s="218"/>
      <c r="K37" s="218"/>
      <c r="L37" s="218"/>
      <c r="M37" s="218"/>
      <c r="N37" s="218"/>
      <c r="O37" s="218"/>
      <c r="P37" s="218"/>
      <c r="Q37" s="218"/>
      <c r="R37" s="272"/>
      <c r="S37" s="290"/>
      <c r="T37" s="7"/>
      <c r="U37" s="5"/>
      <c r="V37" s="5"/>
    </row>
    <row r="38" spans="1:22" s="10" customFormat="1" x14ac:dyDescent="0.2">
      <c r="A38" s="60"/>
      <c r="B38" s="45" t="s">
        <v>93</v>
      </c>
      <c r="C38" s="61"/>
      <c r="D38" s="62"/>
      <c r="E38" s="269"/>
      <c r="F38" s="269"/>
      <c r="G38" s="269"/>
      <c r="H38" s="269"/>
      <c r="I38" s="269"/>
      <c r="J38" s="269"/>
      <c r="K38" s="269"/>
      <c r="L38" s="269"/>
      <c r="M38" s="269"/>
      <c r="N38" s="269"/>
      <c r="O38" s="269"/>
      <c r="P38" s="269"/>
      <c r="Q38" s="219"/>
      <c r="R38" s="273"/>
      <c r="S38" s="291"/>
      <c r="T38" s="7"/>
    </row>
    <row r="39" spans="1:22" s="10" customFormat="1" outlineLevel="1" x14ac:dyDescent="0.2">
      <c r="A39" s="60"/>
      <c r="B39" s="65" t="s">
        <v>94</v>
      </c>
      <c r="C39" s="51">
        <f t="shared" ref="C39:H39" si="21">SUM(C40:C43)</f>
        <v>80504.91</v>
      </c>
      <c r="D39" s="51">
        <f t="shared" si="21"/>
        <v>42000</v>
      </c>
      <c r="E39" s="198">
        <f t="shared" si="21"/>
        <v>11000</v>
      </c>
      <c r="F39" s="198">
        <f t="shared" si="21"/>
        <v>41000</v>
      </c>
      <c r="G39" s="198">
        <f t="shared" si="21"/>
        <v>104000</v>
      </c>
      <c r="H39" s="198">
        <f t="shared" si="21"/>
        <v>156000</v>
      </c>
      <c r="I39" s="198">
        <f t="shared" ref="I39:K39" si="22">SUM(I40:I42)</f>
        <v>14999.99999999998</v>
      </c>
      <c r="J39" s="198">
        <f t="shared" si="22"/>
        <v>5999.99999999998</v>
      </c>
      <c r="K39" s="198">
        <f t="shared" si="22"/>
        <v>5999.99999999998</v>
      </c>
      <c r="L39" s="198">
        <f t="shared" ref="L39" si="23">SUM(L40:L42)</f>
        <v>3999.9999999999986</v>
      </c>
      <c r="M39" s="198">
        <f t="shared" ref="M39:N39" si="24">SUM(M40:M42)</f>
        <v>0</v>
      </c>
      <c r="N39" s="198">
        <f t="shared" si="24"/>
        <v>0</v>
      </c>
      <c r="O39" s="198">
        <f t="shared" ref="O39:P39" si="25">SUM(O40:O42)</f>
        <v>170000</v>
      </c>
      <c r="P39" s="198">
        <f t="shared" si="25"/>
        <v>0</v>
      </c>
      <c r="Q39" s="221">
        <f>SUM(Q40:Q43)</f>
        <v>479504.90999999986</v>
      </c>
      <c r="R39" s="200">
        <f>'QFR - B'!G24</f>
        <v>1700000</v>
      </c>
      <c r="S39" s="287">
        <f>R39-Q39</f>
        <v>1220495.0900000001</v>
      </c>
      <c r="T39" s="7"/>
    </row>
    <row r="40" spans="1:22" s="214" customFormat="1" outlineLevel="1" x14ac:dyDescent="0.2">
      <c r="A40" s="212"/>
      <c r="B40" s="213" t="s">
        <v>118</v>
      </c>
      <c r="C40" s="210">
        <v>66000</v>
      </c>
      <c r="D40" s="210">
        <v>36000</v>
      </c>
      <c r="E40" s="301">
        <v>9000</v>
      </c>
      <c r="F40" s="302">
        <v>39000</v>
      </c>
      <c r="G40" s="302">
        <v>102000</v>
      </c>
      <c r="H40" s="204">
        <f>SUMIF('Contract level'!$A:$A,"="&amp;'DFP-Com'!$A38,'Contract level'!AF:AF)</f>
        <v>150000</v>
      </c>
      <c r="I40" s="204">
        <f>SUMIF('Contract level'!$A:$A,"="&amp;'DFP-Com'!$A38,'Contract level'!AG:AG)</f>
        <v>14999.99999999998</v>
      </c>
      <c r="J40" s="204">
        <f>SUMIF('Contract level'!$A:$A,"="&amp;'DFP-Com'!$A38,'Contract level'!AH:AH)</f>
        <v>5999.99999999998</v>
      </c>
      <c r="K40" s="204">
        <f>SUMIF('Contract level'!$A:$A,"="&amp;'DFP-Com'!$A38,'Contract level'!AI:AI)</f>
        <v>5999.99999999998</v>
      </c>
      <c r="L40" s="204">
        <f>SUMIF('Contract level'!$A:$A,"="&amp;'DFP-Com'!$A38,'Contract level'!AJ:AJ)</f>
        <v>3999.9999999999986</v>
      </c>
      <c r="M40" s="204">
        <f>SUMIF('Contract level'!$A:$A,"="&amp;'DFP-Com'!$A38,'Contract level'!AK:AK)</f>
        <v>0</v>
      </c>
      <c r="N40" s="204">
        <f>SUMIF('Contract level'!$A:$A,"="&amp;'DFP-Com'!$A38,'Contract level'!AL:AL)</f>
        <v>0</v>
      </c>
      <c r="O40" s="302">
        <f>SUMIF('Contract level'!$A:$A,"="&amp;'DFP-Com'!$A38,'Contract level'!AM:AM)</f>
        <v>0</v>
      </c>
      <c r="P40" s="302">
        <f>SUMIF('Contract level'!$A:$A,"="&amp;'DFP-Com'!$A38,'Contract level'!AN:AN)</f>
        <v>0</v>
      </c>
      <c r="Q40" s="204">
        <f>SUM(H40:P40)+D40+C40</f>
        <v>282999.99999999988</v>
      </c>
      <c r="R40" s="274"/>
      <c r="S40" s="292"/>
      <c r="T40" s="69"/>
    </row>
    <row r="41" spans="1:22" s="214" customFormat="1" outlineLevel="1" x14ac:dyDescent="0.2">
      <c r="A41" s="212"/>
      <c r="B41" s="213" t="s">
        <v>119</v>
      </c>
      <c r="C41" s="210"/>
      <c r="D41" s="210">
        <v>0</v>
      </c>
      <c r="E41" s="203"/>
      <c r="F41" s="203"/>
      <c r="G41" s="203"/>
      <c r="H41" s="204">
        <f>SUMIF('Contract level'!$A:$A,"="&amp;'DFP-Com'!$A39,'Contract level'!AF:AF)</f>
        <v>0</v>
      </c>
      <c r="I41" s="204">
        <f>SUMIF('Contract level'!$A:$A,"="&amp;'DFP-Com'!$A39,'Contract level'!AG:AG)</f>
        <v>0</v>
      </c>
      <c r="J41" s="204">
        <f>SUMIF('Contract level'!$A:$A,"="&amp;'DFP-Com'!$A39,'Contract level'!AH:AH)</f>
        <v>0</v>
      </c>
      <c r="K41" s="204">
        <f>SUMIF('Contract level'!$A:$A,"="&amp;'DFP-Com'!$A39,'Contract level'!AI:AI)</f>
        <v>0</v>
      </c>
      <c r="L41" s="204">
        <f>SUMIF('Contract level'!$A:$A,"="&amp;'DFP-Com'!$A39,'Contract level'!AJ:AJ)</f>
        <v>0</v>
      </c>
      <c r="M41" s="204">
        <f>SUMIF('Contract level'!$A:$A,"="&amp;'DFP-Com'!$A39,'Contract level'!AK:AK)</f>
        <v>0</v>
      </c>
      <c r="N41" s="204">
        <f>SUMIF('Contract level'!$A:$A,"="&amp;'DFP-Com'!$A39,'Contract level'!AL:AL)</f>
        <v>0</v>
      </c>
      <c r="O41" s="302">
        <f>SUMIF('Contract level'!$A:$A,"="&amp;'DFP-Com'!$A39,'Contract level'!AM:AM)</f>
        <v>0</v>
      </c>
      <c r="P41" s="302">
        <f>SUMIF('Contract level'!$A:$A,"="&amp;'DFP-Com'!$A39,'Contract level'!AN:AN)</f>
        <v>0</v>
      </c>
      <c r="Q41" s="302">
        <f>SUM(H41:P41)+D41+C41</f>
        <v>0</v>
      </c>
      <c r="R41" s="274"/>
      <c r="S41" s="292"/>
      <c r="T41" s="69"/>
    </row>
    <row r="42" spans="1:22" s="214" customFormat="1" outlineLevel="1" x14ac:dyDescent="0.2">
      <c r="A42" s="212"/>
      <c r="B42" s="213" t="s">
        <v>120</v>
      </c>
      <c r="C42" s="210"/>
      <c r="D42" s="210">
        <v>0</v>
      </c>
      <c r="E42" s="203"/>
      <c r="F42" s="203"/>
      <c r="G42" s="203"/>
      <c r="H42" s="204">
        <f>SUMIF('Contract level'!$A:$A,"="&amp;'DFP-Com'!$A40,'Contract level'!AF:AF)</f>
        <v>0</v>
      </c>
      <c r="I42" s="204">
        <f>SUMIF('Contract level'!$A:$A,"="&amp;'DFP-Com'!$A40,'Contract level'!AG:AG)</f>
        <v>0</v>
      </c>
      <c r="J42" s="204">
        <f>SUMIF('Contract level'!$A:$A,"="&amp;'DFP-Com'!$A40,'Contract level'!AH:AH)</f>
        <v>0</v>
      </c>
      <c r="K42" s="204">
        <f>SUMIF('Contract level'!$A:$A,"="&amp;'DFP-Com'!$A40,'Contract level'!AI:AI)</f>
        <v>0</v>
      </c>
      <c r="L42" s="204">
        <f>SUMIF('Contract level'!$A:$A,"="&amp;'DFP-Com'!$A40,'Contract level'!AJ:AJ)</f>
        <v>0</v>
      </c>
      <c r="M42" s="204">
        <f>SUMIF('Contract level'!$A:$A,"="&amp;'DFP-Com'!$A40,'Contract level'!AK:AK)</f>
        <v>0</v>
      </c>
      <c r="N42" s="204">
        <f>SUMIF('Contract level'!$A:$A,"="&amp;'DFP-Com'!$A40,'Contract level'!AL:AL)</f>
        <v>0</v>
      </c>
      <c r="O42" s="302">
        <f>SUMIF('Contract level'!$A:$A,"="&amp;'DFP-Com'!$A40,'Contract level'!AM:AM)</f>
        <v>170000</v>
      </c>
      <c r="P42" s="302">
        <f>SUMIF('Contract level'!$A:$A,"="&amp;'DFP-Com'!$A40,'Contract level'!AN:AN)</f>
        <v>0</v>
      </c>
      <c r="Q42" s="302">
        <f>SUM(H42:P42)+D42+C42</f>
        <v>170000</v>
      </c>
      <c r="R42" s="274"/>
      <c r="S42" s="292"/>
      <c r="T42" s="69"/>
    </row>
    <row r="43" spans="1:22" s="214" customFormat="1" outlineLevel="1" x14ac:dyDescent="0.2">
      <c r="A43" s="212"/>
      <c r="B43" s="213" t="s">
        <v>130</v>
      </c>
      <c r="C43" s="210">
        <v>14504.91</v>
      </c>
      <c r="D43" s="210">
        <v>6000</v>
      </c>
      <c r="E43" s="203">
        <v>2000</v>
      </c>
      <c r="F43" s="203">
        <v>2000</v>
      </c>
      <c r="G43" s="203">
        <v>2000</v>
      </c>
      <c r="H43" s="204">
        <f>SUMIF('Contract level'!$A:$A,"="&amp;'DFP-Com'!$A41,'Contract level'!AF:AF)</f>
        <v>6000</v>
      </c>
      <c r="I43" s="204">
        <f>SUMIF('Contract level'!$A:$A,"="&amp;'DFP-Com'!$A41,'Contract level'!AG:AG)</f>
        <v>0</v>
      </c>
      <c r="J43" s="204">
        <f>SUMIF('Contract level'!$A:$A,"="&amp;'DFP-Com'!$A41,'Contract level'!AH:AH)</f>
        <v>0</v>
      </c>
      <c r="K43" s="204">
        <f>SUMIF('Contract level'!$A:$A,"="&amp;'DFP-Com'!$A41,'Contract level'!AI:AI)</f>
        <v>0</v>
      </c>
      <c r="L43" s="204">
        <f>SUMIF('Contract level'!$A:$A,"="&amp;'DFP-Com'!$A41,'Contract level'!AJ:AJ)</f>
        <v>0</v>
      </c>
      <c r="M43" s="204">
        <f>SUMIF('Contract level'!$A:$A,"="&amp;'DFP-Com'!$A41,'Contract level'!AK:AK)</f>
        <v>0</v>
      </c>
      <c r="N43" s="204">
        <f>SUMIF('Contract level'!$A:$A,"="&amp;'DFP-Com'!$A41,'Contract level'!AL:AL)</f>
        <v>0</v>
      </c>
      <c r="O43" s="302">
        <f>SUMIF('Contract level'!$A:$A,"="&amp;'DFP-Com'!$A41,'Contract level'!AM:AM)</f>
        <v>0</v>
      </c>
      <c r="P43" s="302">
        <f>SUMIF('Contract level'!$A:$A,"="&amp;'DFP-Com'!$A41,'Contract level'!AN:AN)</f>
        <v>0</v>
      </c>
      <c r="Q43" s="302">
        <f>SUM(H43:P43)+D43+C43</f>
        <v>26504.91</v>
      </c>
      <c r="R43" s="274"/>
      <c r="S43" s="292"/>
      <c r="T43" s="69"/>
    </row>
    <row r="44" spans="1:22" x14ac:dyDescent="0.2">
      <c r="A44" s="49"/>
      <c r="B44" s="59" t="s">
        <v>17</v>
      </c>
      <c r="C44" s="53">
        <f>C39</f>
        <v>80504.91</v>
      </c>
      <c r="D44" s="53">
        <f>D39</f>
        <v>42000</v>
      </c>
      <c r="E44" s="199">
        <f t="shared" ref="E44:S44" si="26">E39</f>
        <v>11000</v>
      </c>
      <c r="F44" s="199">
        <f t="shared" si="26"/>
        <v>41000</v>
      </c>
      <c r="G44" s="199">
        <f t="shared" si="26"/>
        <v>104000</v>
      </c>
      <c r="H44" s="199">
        <f t="shared" si="26"/>
        <v>156000</v>
      </c>
      <c r="I44" s="199">
        <f t="shared" si="26"/>
        <v>14999.99999999998</v>
      </c>
      <c r="J44" s="199">
        <f t="shared" si="26"/>
        <v>5999.99999999998</v>
      </c>
      <c r="K44" s="199">
        <f t="shared" si="26"/>
        <v>5999.99999999998</v>
      </c>
      <c r="L44" s="199">
        <f t="shared" ref="L44" si="27">L39</f>
        <v>3999.9999999999986</v>
      </c>
      <c r="M44" s="199">
        <f t="shared" ref="M44:N44" si="28">M39</f>
        <v>0</v>
      </c>
      <c r="N44" s="199">
        <f t="shared" si="28"/>
        <v>0</v>
      </c>
      <c r="O44" s="199">
        <f t="shared" ref="O44:P44" si="29">O39</f>
        <v>170000</v>
      </c>
      <c r="P44" s="199">
        <f t="shared" si="29"/>
        <v>0</v>
      </c>
      <c r="Q44" s="199">
        <f t="shared" si="26"/>
        <v>479504.90999999986</v>
      </c>
      <c r="R44" s="275">
        <f t="shared" si="26"/>
        <v>1700000</v>
      </c>
      <c r="S44" s="293">
        <f t="shared" si="26"/>
        <v>1220495.0900000001</v>
      </c>
      <c r="T44" s="7"/>
      <c r="U44" s="5"/>
      <c r="V44" s="5"/>
    </row>
    <row r="45" spans="1:22" x14ac:dyDescent="0.2">
      <c r="A45" s="49"/>
      <c r="B45" s="54"/>
      <c r="C45" s="55"/>
      <c r="D45" s="56"/>
      <c r="E45" s="218"/>
      <c r="F45" s="218"/>
      <c r="G45" s="218"/>
      <c r="H45" s="218"/>
      <c r="I45" s="218"/>
      <c r="J45" s="218"/>
      <c r="K45" s="218"/>
      <c r="L45" s="218"/>
      <c r="M45" s="218"/>
      <c r="N45" s="218"/>
      <c r="O45" s="218"/>
      <c r="P45" s="218"/>
      <c r="Q45" s="218"/>
      <c r="R45" s="272"/>
      <c r="S45" s="290"/>
      <c r="T45" s="7"/>
      <c r="U45" s="5"/>
      <c r="V45" s="5"/>
    </row>
    <row r="46" spans="1:22" s="10" customFormat="1" x14ac:dyDescent="0.2">
      <c r="A46" s="60"/>
      <c r="B46" s="45" t="s">
        <v>86</v>
      </c>
      <c r="C46" s="61"/>
      <c r="D46" s="62"/>
      <c r="E46" s="269"/>
      <c r="F46" s="269"/>
      <c r="G46" s="269"/>
      <c r="H46" s="269"/>
      <c r="I46" s="269"/>
      <c r="J46" s="269"/>
      <c r="K46" s="269"/>
      <c r="L46" s="269"/>
      <c r="M46" s="269"/>
      <c r="N46" s="269"/>
      <c r="O46" s="269"/>
      <c r="P46" s="269"/>
      <c r="Q46" s="219"/>
      <c r="R46" s="273"/>
      <c r="S46" s="291"/>
      <c r="T46" s="7"/>
    </row>
    <row r="47" spans="1:22" outlineLevel="1" x14ac:dyDescent="0.2">
      <c r="A47" s="49"/>
      <c r="B47" s="66" t="s">
        <v>96</v>
      </c>
      <c r="C47" s="51">
        <f t="shared" ref="C47:K47" si="30">SUM(C48:C51)</f>
        <v>204920.55</v>
      </c>
      <c r="D47" s="51">
        <f t="shared" si="30"/>
        <v>35174.950000000004</v>
      </c>
      <c r="E47" s="198">
        <f t="shared" si="30"/>
        <v>9380</v>
      </c>
      <c r="F47" s="198">
        <f t="shared" si="30"/>
        <v>15380</v>
      </c>
      <c r="G47" s="198">
        <f t="shared" si="30"/>
        <v>51925.25</v>
      </c>
      <c r="H47" s="198">
        <f t="shared" si="30"/>
        <v>76685.249995999999</v>
      </c>
      <c r="I47" s="198">
        <f t="shared" si="30"/>
        <v>39264.290011999998</v>
      </c>
      <c r="J47" s="198">
        <f t="shared" si="30"/>
        <v>43867.839999999997</v>
      </c>
      <c r="K47" s="198">
        <f t="shared" si="30"/>
        <v>66100</v>
      </c>
      <c r="L47" s="198">
        <f t="shared" ref="L47" si="31">SUM(L48:L51)</f>
        <v>64100</v>
      </c>
      <c r="M47" s="198">
        <f t="shared" ref="M47:N47" si="32">SUM(M48:M51)</f>
        <v>47305.35</v>
      </c>
      <c r="N47" s="198">
        <f t="shared" si="32"/>
        <v>61100</v>
      </c>
      <c r="O47" s="198">
        <f t="shared" ref="O47:P47" si="33">SUM(O48:O51)</f>
        <v>81100</v>
      </c>
      <c r="P47" s="198">
        <f t="shared" si="33"/>
        <v>39427.9</v>
      </c>
      <c r="Q47" s="221">
        <f>C47+D47+SUM(H47:P47)</f>
        <v>759046.13000799995</v>
      </c>
      <c r="R47" s="200">
        <f>'QFR - B'!G27</f>
        <v>797500</v>
      </c>
      <c r="S47" s="287">
        <f>R47-Q47</f>
        <v>38453.869992000051</v>
      </c>
      <c r="T47" s="7"/>
      <c r="U47" s="5"/>
      <c r="V47" s="5"/>
    </row>
    <row r="48" spans="1:22" s="207" customFormat="1" ht="12.75" customHeight="1" outlineLevel="1" x14ac:dyDescent="0.2">
      <c r="A48" s="206"/>
      <c r="B48" s="217" t="s">
        <v>140</v>
      </c>
      <c r="C48" s="210">
        <v>183233.79</v>
      </c>
      <c r="D48" s="210">
        <v>34639.26</v>
      </c>
      <c r="E48" s="301">
        <v>9200</v>
      </c>
      <c r="F48" s="301">
        <v>9200</v>
      </c>
      <c r="G48" s="301">
        <v>15750.56</v>
      </c>
      <c r="H48" s="204">
        <f>SUMIF('Contract level'!$A:$A,"="&amp;'DFP-Com'!$A46,'Contract level'!AF:AF)</f>
        <v>34150.559999999998</v>
      </c>
      <c r="I48" s="204">
        <f>SUMIF('Contract level'!$A:$A,"="&amp;'DFP-Com'!$A46,'Contract level'!AG:AG)</f>
        <v>38100</v>
      </c>
      <c r="J48" s="204">
        <f>SUMIF('Contract level'!$A:$A,"="&amp;'DFP-Com'!$A46,'Contract level'!AH:AH)</f>
        <v>38100</v>
      </c>
      <c r="K48" s="204">
        <f>SUMIF('Contract level'!$A:$A,"="&amp;'DFP-Com'!$A46,'Contract level'!AI:AI)</f>
        <v>38100</v>
      </c>
      <c r="L48" s="204">
        <f>SUMIF('Contract level'!$A:$A,"="&amp;'DFP-Com'!$A46,'Contract level'!AJ:AJ)</f>
        <v>38100</v>
      </c>
      <c r="M48" s="204">
        <f>SUMIF('Contract level'!$A:$A,"="&amp;'DFP-Com'!$A46,'Contract level'!AK:AK)</f>
        <v>38100</v>
      </c>
      <c r="N48" s="204">
        <f>SUMIF('Contract level'!$A:$A,"="&amp;'DFP-Com'!$A46,'Contract level'!AL:AL)</f>
        <v>38100</v>
      </c>
      <c r="O48" s="302">
        <f>SUMIF('Contract level'!$A:$A,"="&amp;'DFP-Com'!$A46,'Contract level'!AM:AM)</f>
        <v>38100</v>
      </c>
      <c r="P48" s="302">
        <f>SUMIF('Contract level'!$A:$A,"="&amp;'DFP-Com'!$A46,'Contract level'!AN:AN)</f>
        <v>38100</v>
      </c>
      <c r="Q48" s="204">
        <f>SUM(H48:P48)+D48+C48</f>
        <v>556823.61</v>
      </c>
      <c r="R48" s="274"/>
      <c r="S48" s="288"/>
      <c r="T48" s="69"/>
    </row>
    <row r="49" spans="1:22" s="207" customFormat="1" outlineLevel="1" x14ac:dyDescent="0.2">
      <c r="A49" s="206"/>
      <c r="B49" s="217" t="s">
        <v>141</v>
      </c>
      <c r="C49" s="210">
        <v>3794.65</v>
      </c>
      <c r="D49" s="210">
        <v>0</v>
      </c>
      <c r="E49" s="301">
        <v>0</v>
      </c>
      <c r="F49" s="301">
        <v>6000</v>
      </c>
      <c r="G49" s="301">
        <v>6000</v>
      </c>
      <c r="H49" s="204">
        <f>SUMIF('Contract level'!$A:$A,"="&amp;'DFP-Com'!$A47,'Contract level'!AF:AF)</f>
        <v>12000</v>
      </c>
      <c r="I49" s="204">
        <f>SUMIF('Contract level'!$A:$A,"="&amp;'DFP-Com'!$A47,'Contract level'!AG:AG)</f>
        <v>500</v>
      </c>
      <c r="J49" s="204">
        <f>SUMIF('Contract level'!$A:$A,"="&amp;'DFP-Com'!$A47,'Contract level'!AH:AH)</f>
        <v>500</v>
      </c>
      <c r="K49" s="204">
        <f>SUMIF('Contract level'!$A:$A,"="&amp;'DFP-Com'!$A47,'Contract level'!AI:AI)</f>
        <v>3000</v>
      </c>
      <c r="L49" s="204">
        <f>SUMIF('Contract level'!$A:$A,"="&amp;'DFP-Com'!$A47,'Contract level'!AJ:AJ)</f>
        <v>1000</v>
      </c>
      <c r="M49" s="204">
        <f>SUMIF('Contract level'!$A:$A,"="&amp;'DFP-Com'!$A47,'Contract level'!AK:AK)</f>
        <v>7205.35</v>
      </c>
      <c r="N49" s="204">
        <f>SUMIF('Contract level'!$A:$A,"="&amp;'DFP-Com'!$A47,'Contract level'!AL:AL)</f>
        <v>1000</v>
      </c>
      <c r="O49" s="302">
        <f>SUMIF('Contract level'!$A:$A,"="&amp;'DFP-Com'!$A47,'Contract level'!AM:AM)</f>
        <v>1000</v>
      </c>
      <c r="P49" s="302">
        <f>SUMIF('Contract level'!$A:$A,"="&amp;'DFP-Com'!$A47,'Contract level'!AN:AN)</f>
        <v>0</v>
      </c>
      <c r="Q49" s="302">
        <f>SUM(H49:P49)+D49+C49</f>
        <v>30000</v>
      </c>
      <c r="R49" s="274"/>
      <c r="S49" s="292"/>
      <c r="T49" s="69"/>
    </row>
    <row r="50" spans="1:22" s="207" customFormat="1" outlineLevel="1" x14ac:dyDescent="0.2">
      <c r="A50" s="206"/>
      <c r="B50" s="217" t="s">
        <v>142</v>
      </c>
      <c r="C50" s="210">
        <v>0</v>
      </c>
      <c r="D50" s="210">
        <v>0</v>
      </c>
      <c r="E50" s="301">
        <v>0</v>
      </c>
      <c r="F50" s="301">
        <v>0</v>
      </c>
      <c r="G50" s="301">
        <v>20000</v>
      </c>
      <c r="H50" s="204">
        <f>SUMIF('Contract level'!$A:$A,"="&amp;'DFP-Com'!$A48,'Contract level'!AF:AF)</f>
        <v>20000</v>
      </c>
      <c r="I50" s="204">
        <f>SUMIF('Contract level'!$A:$A,"="&amp;'DFP-Com'!$A48,'Contract level'!AG:AG)</f>
        <v>0</v>
      </c>
      <c r="J50" s="204">
        <f>SUMIF('Contract level'!$A:$A,"="&amp;'DFP-Com'!$A48,'Contract level'!AH:AH)</f>
        <v>0</v>
      </c>
      <c r="K50" s="204">
        <f>SUMIF('Contract level'!$A:$A,"="&amp;'DFP-Com'!$A48,'Contract level'!AI:AI)</f>
        <v>20000</v>
      </c>
      <c r="L50" s="204">
        <f>SUMIF('Contract level'!$A:$A,"="&amp;'DFP-Com'!$A48,'Contract level'!AJ:AJ)</f>
        <v>20000</v>
      </c>
      <c r="M50" s="204">
        <f>SUMIF('Contract level'!$A:$A,"="&amp;'DFP-Com'!$A48,'Contract level'!AK:AK)</f>
        <v>0</v>
      </c>
      <c r="N50" s="204">
        <f>SUMIF('Contract level'!$A:$A,"="&amp;'DFP-Com'!$A48,'Contract level'!AL:AL)</f>
        <v>20000</v>
      </c>
      <c r="O50" s="302">
        <f>SUMIF('Contract level'!$A:$A,"="&amp;'DFP-Com'!$A48,'Contract level'!AM:AM)</f>
        <v>40000</v>
      </c>
      <c r="P50" s="302">
        <f>SUMIF('Contract level'!$A:$A,"="&amp;'DFP-Com'!$A48,'Contract level'!AN:AN)</f>
        <v>0</v>
      </c>
      <c r="Q50" s="302">
        <f>SUM(H50:P50)+D50+C50</f>
        <v>120000</v>
      </c>
      <c r="R50" s="274"/>
      <c r="S50" s="292"/>
      <c r="T50" s="69"/>
    </row>
    <row r="51" spans="1:22" s="207" customFormat="1" outlineLevel="1" x14ac:dyDescent="0.2">
      <c r="A51" s="206"/>
      <c r="B51" s="217" t="s">
        <v>143</v>
      </c>
      <c r="C51" s="210">
        <v>17892.11</v>
      </c>
      <c r="D51" s="210">
        <v>535.69000000000005</v>
      </c>
      <c r="E51" s="301">
        <v>180</v>
      </c>
      <c r="F51" s="301">
        <v>180</v>
      </c>
      <c r="G51" s="301">
        <v>10174.69</v>
      </c>
      <c r="H51" s="204">
        <f>SUMIF('Contract level'!$A:$A,"="&amp;'DFP-Com'!$A49,'Contract level'!AF:AF)</f>
        <v>10534.689996000001</v>
      </c>
      <c r="I51" s="204">
        <f>SUMIF('Contract level'!$A:$A,"="&amp;'DFP-Com'!$A49,'Contract level'!AG:AG)</f>
        <v>664.29001199999993</v>
      </c>
      <c r="J51" s="204">
        <f>SUMIF('Contract level'!$A:$A,"="&amp;'DFP-Com'!$A49,'Contract level'!AH:AH)</f>
        <v>5267.84</v>
      </c>
      <c r="K51" s="204">
        <f>SUMIF('Contract level'!$A:$A,"="&amp;'DFP-Com'!$A49,'Contract level'!AI:AI)</f>
        <v>5000</v>
      </c>
      <c r="L51" s="204">
        <f>SUMIF('Contract level'!$A:$A,"="&amp;'DFP-Com'!$A49,'Contract level'!AJ:AJ)</f>
        <v>5000</v>
      </c>
      <c r="M51" s="204">
        <f>SUMIF('Contract level'!$A:$A,"="&amp;'DFP-Com'!$A49,'Contract level'!AK:AK)</f>
        <v>2000</v>
      </c>
      <c r="N51" s="204">
        <f>SUMIF('Contract level'!$A:$A,"="&amp;'DFP-Com'!$A49,'Contract level'!AL:AL)</f>
        <v>2000</v>
      </c>
      <c r="O51" s="302">
        <f>SUMIF('Contract level'!$A:$A,"="&amp;'DFP-Com'!$A49,'Contract level'!AM:AM)</f>
        <v>2000</v>
      </c>
      <c r="P51" s="302">
        <f>SUMIF('Contract level'!$A:$A,"="&amp;'DFP-Com'!$A49,'Contract level'!AN:AN)</f>
        <v>1327.9</v>
      </c>
      <c r="Q51" s="302">
        <f>SUM(H51:P51)+D51+C51</f>
        <v>52222.520008000007</v>
      </c>
      <c r="R51" s="274"/>
      <c r="S51" s="292"/>
      <c r="T51" s="69"/>
    </row>
    <row r="52" spans="1:22" s="10" customFormat="1" x14ac:dyDescent="0.2">
      <c r="B52" s="67" t="s">
        <v>95</v>
      </c>
      <c r="C52" s="53">
        <f t="shared" ref="C52:S52" si="34">C47</f>
        <v>204920.55</v>
      </c>
      <c r="D52" s="53">
        <f t="shared" si="34"/>
        <v>35174.950000000004</v>
      </c>
      <c r="E52" s="199">
        <f t="shared" si="34"/>
        <v>9380</v>
      </c>
      <c r="F52" s="199">
        <f t="shared" si="34"/>
        <v>15380</v>
      </c>
      <c r="G52" s="199">
        <f t="shared" si="34"/>
        <v>51925.25</v>
      </c>
      <c r="H52" s="199">
        <f t="shared" si="34"/>
        <v>76685.249995999999</v>
      </c>
      <c r="I52" s="199">
        <f t="shared" si="34"/>
        <v>39264.290011999998</v>
      </c>
      <c r="J52" s="199">
        <f t="shared" si="34"/>
        <v>43867.839999999997</v>
      </c>
      <c r="K52" s="199">
        <f t="shared" si="34"/>
        <v>66100</v>
      </c>
      <c r="L52" s="199">
        <f t="shared" ref="L52" si="35">L47</f>
        <v>64100</v>
      </c>
      <c r="M52" s="199">
        <f t="shared" ref="M52:N52" si="36">M47</f>
        <v>47305.35</v>
      </c>
      <c r="N52" s="199">
        <f t="shared" si="36"/>
        <v>61100</v>
      </c>
      <c r="O52" s="199">
        <f t="shared" ref="O52:P52" si="37">O47</f>
        <v>81100</v>
      </c>
      <c r="P52" s="199">
        <f t="shared" si="37"/>
        <v>39427.9</v>
      </c>
      <c r="Q52" s="199">
        <f t="shared" si="34"/>
        <v>759046.13000799995</v>
      </c>
      <c r="R52" s="275">
        <f t="shared" si="34"/>
        <v>797500</v>
      </c>
      <c r="S52" s="293">
        <f t="shared" si="34"/>
        <v>38453.869992000051</v>
      </c>
      <c r="T52" s="245"/>
    </row>
    <row r="53" spans="1:22" x14ac:dyDescent="0.2">
      <c r="A53" s="5"/>
      <c r="B53" s="54"/>
      <c r="C53" s="55"/>
      <c r="D53" s="56"/>
      <c r="E53" s="218"/>
      <c r="F53" s="218"/>
      <c r="G53" s="218"/>
      <c r="H53" s="218"/>
      <c r="I53" s="218"/>
      <c r="J53" s="218"/>
      <c r="K53" s="218"/>
      <c r="L53" s="218"/>
      <c r="M53" s="218"/>
      <c r="N53" s="218"/>
      <c r="O53" s="218"/>
      <c r="P53" s="218"/>
      <c r="Q53" s="220"/>
      <c r="R53" s="272"/>
      <c r="S53" s="294"/>
      <c r="T53" s="7"/>
      <c r="U53" s="5"/>
      <c r="V53" s="5"/>
    </row>
    <row r="54" spans="1:22" s="225" customFormat="1" ht="17.25" thickBot="1" x14ac:dyDescent="0.3">
      <c r="B54" s="230" t="s">
        <v>136</v>
      </c>
      <c r="C54" s="226">
        <f t="shared" ref="C54:S54" si="38">C52+C44+C36+C27</f>
        <v>2311548.5700000003</v>
      </c>
      <c r="D54" s="334">
        <f t="shared" si="38"/>
        <v>1516770.3267927659</v>
      </c>
      <c r="E54" s="227">
        <f t="shared" si="38"/>
        <v>997835.09000000008</v>
      </c>
      <c r="F54" s="227">
        <f t="shared" si="38"/>
        <v>512155.50269999995</v>
      </c>
      <c r="G54" s="227">
        <f t="shared" si="38"/>
        <v>1223770.9300000002</v>
      </c>
      <c r="H54" s="227">
        <f t="shared" si="38"/>
        <v>2733761.5212646993</v>
      </c>
      <c r="I54" s="227">
        <f t="shared" si="38"/>
        <v>3942642.5550216967</v>
      </c>
      <c r="J54" s="227">
        <f t="shared" si="38"/>
        <v>3109620.4233462727</v>
      </c>
      <c r="K54" s="227">
        <f t="shared" si="38"/>
        <v>2011647.1381126279</v>
      </c>
      <c r="L54" s="227">
        <f t="shared" ref="L54" si="39">L52+L44+L36+L27</f>
        <v>2183875.1803656663</v>
      </c>
      <c r="M54" s="227">
        <f t="shared" ref="M54:N54" si="40">M52+M44+M36+M27</f>
        <v>1818018.4931126279</v>
      </c>
      <c r="N54" s="227">
        <f t="shared" si="40"/>
        <v>1695480.0931126277</v>
      </c>
      <c r="O54" s="227">
        <f t="shared" ref="O54" si="41">O52+O44+O36+O27</f>
        <v>3195204.7881504898</v>
      </c>
      <c r="P54" s="227">
        <f t="shared" ref="P54" si="42">P52+P44+P36+P27</f>
        <v>55927.9</v>
      </c>
      <c r="Q54" s="227">
        <f t="shared" si="38"/>
        <v>24574496.989279471</v>
      </c>
      <c r="R54" s="227">
        <f t="shared" si="38"/>
        <v>26197500</v>
      </c>
      <c r="S54" s="295">
        <f t="shared" si="38"/>
        <v>1623003.0107205263</v>
      </c>
      <c r="T54" s="245"/>
    </row>
    <row r="55" spans="1:22" ht="13.5" thickTop="1" x14ac:dyDescent="0.2">
      <c r="B55" s="7" t="s">
        <v>138</v>
      </c>
      <c r="T55" s="192"/>
      <c r="U55" s="214"/>
    </row>
    <row r="56" spans="1:22" x14ac:dyDescent="0.2">
      <c r="B56" s="69" t="s">
        <v>139</v>
      </c>
      <c r="T56" s="192"/>
    </row>
    <row r="57" spans="1:22" x14ac:dyDescent="0.2">
      <c r="B57" s="7"/>
      <c r="T57" s="192"/>
      <c r="U57" s="214"/>
    </row>
    <row r="58" spans="1:22" x14ac:dyDescent="0.2">
      <c r="B58" s="7"/>
      <c r="T58" s="192"/>
    </row>
    <row r="59" spans="1:22" x14ac:dyDescent="0.2">
      <c r="B59" s="7"/>
      <c r="T59" s="192"/>
    </row>
    <row r="60" spans="1:22" x14ac:dyDescent="0.2">
      <c r="B60" s="7"/>
      <c r="T60" s="192"/>
    </row>
    <row r="61" spans="1:22" x14ac:dyDescent="0.2">
      <c r="B61" s="7"/>
      <c r="T61" s="192"/>
    </row>
    <row r="62" spans="1:22" x14ac:dyDescent="0.2">
      <c r="B62" s="7"/>
      <c r="T62" s="192"/>
    </row>
    <row r="63" spans="1:22" x14ac:dyDescent="0.2">
      <c r="B63" s="7"/>
      <c r="T63" s="192"/>
    </row>
    <row r="64" spans="1:22" x14ac:dyDescent="0.2">
      <c r="B64" s="7"/>
      <c r="T64" s="192"/>
    </row>
    <row r="65" spans="2:20" x14ac:dyDescent="0.2">
      <c r="B65" s="7"/>
      <c r="T65" s="192"/>
    </row>
    <row r="66" spans="2:20" x14ac:dyDescent="0.2">
      <c r="B66" s="7"/>
      <c r="T66" s="192"/>
    </row>
    <row r="67" spans="2:20" x14ac:dyDescent="0.2">
      <c r="B67" s="7"/>
      <c r="T67" s="192"/>
    </row>
    <row r="68" spans="2:20" x14ac:dyDescent="0.2">
      <c r="B68" s="7"/>
      <c r="T68" s="192"/>
    </row>
    <row r="69" spans="2:20" x14ac:dyDescent="0.2">
      <c r="B69" s="7"/>
      <c r="T69" s="192"/>
    </row>
    <row r="70" spans="2:20" x14ac:dyDescent="0.2">
      <c r="T70" s="192"/>
    </row>
    <row r="71" spans="2:20" x14ac:dyDescent="0.2">
      <c r="T71" s="192"/>
    </row>
    <row r="72" spans="2:20" x14ac:dyDescent="0.2">
      <c r="T72" s="192"/>
    </row>
    <row r="73" spans="2:20" x14ac:dyDescent="0.2">
      <c r="T73" s="192"/>
    </row>
    <row r="74" spans="2:20" x14ac:dyDescent="0.2">
      <c r="T74" s="192"/>
    </row>
    <row r="75" spans="2:20" x14ac:dyDescent="0.2">
      <c r="T75" s="192"/>
    </row>
    <row r="76" spans="2:20" x14ac:dyDescent="0.2">
      <c r="T76" s="192"/>
    </row>
    <row r="77" spans="2:20" x14ac:dyDescent="0.2">
      <c r="T77" s="192"/>
    </row>
    <row r="78" spans="2:20" x14ac:dyDescent="0.2">
      <c r="T78" s="192"/>
    </row>
    <row r="79" spans="2:20" x14ac:dyDescent="0.2">
      <c r="T79" s="192"/>
    </row>
    <row r="80" spans="2:20" x14ac:dyDescent="0.2">
      <c r="T80" s="192"/>
    </row>
    <row r="81" spans="20:20" x14ac:dyDescent="0.2">
      <c r="T81" s="192"/>
    </row>
    <row r="82" spans="20:20" x14ac:dyDescent="0.2">
      <c r="T82" s="192"/>
    </row>
    <row r="83" spans="20:20" x14ac:dyDescent="0.2">
      <c r="T83" s="192"/>
    </row>
    <row r="84" spans="20:20" x14ac:dyDescent="0.2">
      <c r="T84" s="192"/>
    </row>
    <row r="85" spans="20:20" x14ac:dyDescent="0.2">
      <c r="T85" s="192"/>
    </row>
  </sheetData>
  <mergeCells count="6">
    <mergeCell ref="S12:S13"/>
    <mergeCell ref="B11:B12"/>
    <mergeCell ref="Q12:Q13"/>
    <mergeCell ref="R12:R13"/>
    <mergeCell ref="E12:G12"/>
    <mergeCell ref="E11:G11"/>
  </mergeCells>
  <phoneticPr fontId="28" type="noConversion"/>
  <pageMargins left="0.70866141732283472" right="0.70866141732283472" top="0.74803149606299213" bottom="0.74803149606299213" header="0.31496062992125984" footer="0.31496062992125984"/>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zoomScale="74" zoomScaleNormal="74" zoomScalePageLayoutView="85" workbookViewId="0">
      <pane ySplit="13" topLeftCell="A14" activePane="bottomLeft" state="frozen"/>
      <selection pane="bottomLeft" activeCell="D21" sqref="D21"/>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9" max="9" width="13" bestFit="1" customWidth="1"/>
  </cols>
  <sheetData>
    <row r="1" spans="2:9" x14ac:dyDescent="0.25">
      <c r="B1" s="73" t="s">
        <v>21</v>
      </c>
      <c r="C1" s="74"/>
      <c r="D1" s="74"/>
      <c r="E1" s="74"/>
      <c r="F1" s="74"/>
      <c r="G1" s="75"/>
    </row>
    <row r="2" spans="2:9" x14ac:dyDescent="0.25">
      <c r="B2" s="76"/>
      <c r="C2" s="77" t="s">
        <v>1</v>
      </c>
      <c r="D2" s="150" t="s">
        <v>68</v>
      </c>
      <c r="E2" s="79"/>
      <c r="F2" s="80"/>
      <c r="G2" s="81"/>
    </row>
    <row r="3" spans="2:9" x14ac:dyDescent="0.25">
      <c r="B3" s="76"/>
      <c r="C3" s="77" t="s">
        <v>2</v>
      </c>
      <c r="D3" s="177" t="s">
        <v>69</v>
      </c>
      <c r="E3" s="79"/>
      <c r="F3" s="80"/>
      <c r="G3" s="81"/>
    </row>
    <row r="4" spans="2:9" x14ac:dyDescent="0.25">
      <c r="B4" s="76"/>
      <c r="C4" s="77" t="s">
        <v>3</v>
      </c>
      <c r="D4" s="177" t="str">
        <f>'THP DR'!B7</f>
        <v>TR14GTM15001</v>
      </c>
      <c r="E4" s="79"/>
      <c r="F4" s="80"/>
      <c r="G4" s="81"/>
    </row>
    <row r="5" spans="2:9" x14ac:dyDescent="0.25">
      <c r="B5" s="76"/>
      <c r="C5" s="77" t="s">
        <v>4</v>
      </c>
      <c r="D5" s="178" t="str">
        <f>'THP DR'!B10</f>
        <v>March 09, 2018</v>
      </c>
      <c r="E5" s="79"/>
      <c r="F5" s="80"/>
      <c r="G5" s="81"/>
    </row>
    <row r="6" spans="2:9" ht="15.75" thickBot="1" x14ac:dyDescent="0.3">
      <c r="B6" s="83"/>
      <c r="C6" s="84"/>
      <c r="D6" s="85"/>
      <c r="E6" s="84"/>
      <c r="F6" s="85"/>
      <c r="G6" s="86"/>
    </row>
    <row r="7" spans="2:9" x14ac:dyDescent="0.25">
      <c r="B7" s="87" t="s">
        <v>22</v>
      </c>
      <c r="C7" s="88"/>
      <c r="D7" s="88"/>
      <c r="E7" s="88"/>
      <c r="F7" s="88"/>
      <c r="G7" s="89"/>
      <c r="H7" s="90"/>
    </row>
    <row r="8" spans="2:9" x14ac:dyDescent="0.25">
      <c r="B8" s="91" t="str">
        <f>"Disbursement Period:"&amp; TEXT('THP DR'!B11,"dd-mmm-yy")&amp;" to "&amp;TEXT('THP DR'!B12,"dd-mmm-yy")</f>
        <v>Disbursement Period:01-abr-18 to 30-jun-18</v>
      </c>
      <c r="C8" s="92"/>
      <c r="D8" s="92"/>
      <c r="E8" s="92"/>
      <c r="F8" s="92"/>
      <c r="G8" s="93"/>
      <c r="H8" s="90"/>
    </row>
    <row r="9" spans="2:9" s="99" customFormat="1" ht="12.75" x14ac:dyDescent="0.2">
      <c r="B9" s="94" t="s">
        <v>23</v>
      </c>
      <c r="C9" s="95"/>
      <c r="D9" s="95"/>
      <c r="E9" s="96"/>
      <c r="F9" s="96"/>
      <c r="G9" s="97"/>
      <c r="H9" s="98"/>
    </row>
    <row r="10" spans="2:9" ht="15.75" thickBot="1" x14ac:dyDescent="0.3">
      <c r="B10" s="100" t="s">
        <v>225</v>
      </c>
      <c r="C10" s="101"/>
      <c r="D10" s="101"/>
      <c r="E10" s="101"/>
      <c r="F10" s="101"/>
      <c r="G10" s="102"/>
      <c r="H10" s="90"/>
    </row>
    <row r="11" spans="2:9" ht="52.5" customHeight="1" thickBot="1" x14ac:dyDescent="0.3">
      <c r="B11" s="103"/>
      <c r="C11" s="104" t="s">
        <v>24</v>
      </c>
      <c r="D11" s="105" t="s">
        <v>25</v>
      </c>
      <c r="E11" s="402" t="s">
        <v>26</v>
      </c>
      <c r="F11" s="403"/>
      <c r="G11" s="106" t="s">
        <v>27</v>
      </c>
      <c r="H11" s="90"/>
    </row>
    <row r="12" spans="2:9" ht="23.25" x14ac:dyDescent="0.25">
      <c r="B12" s="107" t="s">
        <v>83</v>
      </c>
      <c r="C12" s="108"/>
      <c r="D12" s="109" t="s">
        <v>28</v>
      </c>
      <c r="E12" s="110" t="s">
        <v>29</v>
      </c>
      <c r="F12" s="111" t="s">
        <v>30</v>
      </c>
      <c r="G12" s="112" t="s">
        <v>31</v>
      </c>
      <c r="H12" s="90"/>
    </row>
    <row r="13" spans="2:9" s="99" customFormat="1" ht="13.5" thickBot="1" x14ac:dyDescent="0.25">
      <c r="B13" s="113" t="s">
        <v>92</v>
      </c>
      <c r="C13" s="114">
        <v>1</v>
      </c>
      <c r="D13" s="114">
        <v>2</v>
      </c>
      <c r="E13" s="114">
        <v>3</v>
      </c>
      <c r="F13" s="114">
        <v>4</v>
      </c>
      <c r="G13" s="115">
        <v>5</v>
      </c>
      <c r="H13" s="98"/>
    </row>
    <row r="14" spans="2:9" s="99" customFormat="1" x14ac:dyDescent="0.25">
      <c r="B14" s="404"/>
      <c r="C14" s="405"/>
      <c r="D14" s="405"/>
      <c r="E14" s="405"/>
      <c r="F14" s="405"/>
      <c r="G14" s="406"/>
      <c r="H14" s="98"/>
    </row>
    <row r="15" spans="2:9" s="99" customFormat="1" ht="26.45" customHeight="1" x14ac:dyDescent="0.2">
      <c r="B15" s="156" t="s">
        <v>78</v>
      </c>
      <c r="C15" s="179">
        <f>SUM(C16:C18)</f>
        <v>19700000</v>
      </c>
      <c r="D15" s="183">
        <f>SUM(D16:D18)</f>
        <v>19300000</v>
      </c>
      <c r="E15" s="179">
        <f>SUM(E16:E18)</f>
        <v>0</v>
      </c>
      <c r="F15" s="179">
        <f>SUM(F16:F18)</f>
        <v>0</v>
      </c>
      <c r="G15" s="183">
        <f t="shared" ref="G15:G18" si="0">+D15+E15-F15</f>
        <v>19300000</v>
      </c>
      <c r="H15" s="98"/>
      <c r="I15" s="249"/>
    </row>
    <row r="16" spans="2:9" s="99" customFormat="1" ht="25.5" x14ac:dyDescent="0.2">
      <c r="B16" s="170" t="s">
        <v>79</v>
      </c>
      <c r="C16" s="169">
        <v>12000000</v>
      </c>
      <c r="D16" s="184">
        <f>'QFR - B'!G15</f>
        <v>12000000</v>
      </c>
      <c r="E16" s="180"/>
      <c r="F16" s="180"/>
      <c r="G16" s="184">
        <f t="shared" si="0"/>
        <v>12000000</v>
      </c>
      <c r="H16" s="98"/>
      <c r="I16" s="249" t="s">
        <v>121</v>
      </c>
    </row>
    <row r="17" spans="2:9" ht="45" customHeight="1" x14ac:dyDescent="0.25">
      <c r="B17" s="170" t="s">
        <v>80</v>
      </c>
      <c r="C17" s="169">
        <v>4700000</v>
      </c>
      <c r="D17" s="184">
        <f>'QFR - B'!G16</f>
        <v>4300000</v>
      </c>
      <c r="E17" s="180"/>
      <c r="F17" s="180"/>
      <c r="G17" s="184">
        <f t="shared" si="0"/>
        <v>4300000</v>
      </c>
    </row>
    <row r="18" spans="2:9" ht="25.5" x14ac:dyDescent="0.25">
      <c r="B18" s="170" t="s">
        <v>81</v>
      </c>
      <c r="C18" s="169">
        <v>3000000</v>
      </c>
      <c r="D18" s="184">
        <f>'QFR - B'!G17</f>
        <v>3000000</v>
      </c>
      <c r="E18" s="180"/>
      <c r="F18" s="180"/>
      <c r="G18" s="184">
        <f t="shared" si="0"/>
        <v>3000000</v>
      </c>
    </row>
    <row r="19" spans="2:9" x14ac:dyDescent="0.25">
      <c r="B19" s="171"/>
      <c r="C19" s="169"/>
      <c r="D19" s="184"/>
      <c r="E19" s="180"/>
      <c r="F19" s="180"/>
      <c r="G19" s="184"/>
    </row>
    <row r="20" spans="2:9" ht="25.5" x14ac:dyDescent="0.25">
      <c r="B20" s="172" t="s">
        <v>84</v>
      </c>
      <c r="C20" s="160">
        <f>SUM(C21:C22)</f>
        <v>4000000</v>
      </c>
      <c r="D20" s="185">
        <f>SUM(D21:D22)</f>
        <v>4400000</v>
      </c>
      <c r="E20" s="160">
        <f>SUM(E21:E22)</f>
        <v>0</v>
      </c>
      <c r="F20" s="160">
        <f>SUM(F21:F22)</f>
        <v>0</v>
      </c>
      <c r="G20" s="185">
        <f>+D20+E20-F20</f>
        <v>4400000</v>
      </c>
      <c r="I20" s="255"/>
    </row>
    <row r="21" spans="2:9" ht="25.5" x14ac:dyDescent="0.25">
      <c r="B21" s="170" t="s">
        <v>87</v>
      </c>
      <c r="C21" s="169">
        <v>0</v>
      </c>
      <c r="D21" s="184">
        <f>'QFR - B'!G20</f>
        <v>800000</v>
      </c>
      <c r="E21" s="180"/>
      <c r="F21" s="180"/>
      <c r="G21" s="184">
        <f>+D21+E21-F21</f>
        <v>800000</v>
      </c>
    </row>
    <row r="22" spans="2:9" ht="25.5" x14ac:dyDescent="0.25">
      <c r="B22" s="170" t="s">
        <v>88</v>
      </c>
      <c r="C22" s="169">
        <v>4000000</v>
      </c>
      <c r="D22" s="184">
        <f>'QFR - B'!G21</f>
        <v>3600000</v>
      </c>
      <c r="E22" s="180"/>
      <c r="F22" s="180"/>
      <c r="G22" s="184">
        <f>+D22+E22-F22</f>
        <v>3600000</v>
      </c>
    </row>
    <row r="23" spans="2:9" x14ac:dyDescent="0.25">
      <c r="B23" s="171"/>
      <c r="C23" s="169"/>
      <c r="D23" s="186"/>
      <c r="E23" s="180"/>
      <c r="F23" s="180"/>
      <c r="G23" s="186"/>
    </row>
    <row r="24" spans="2:9" ht="26.45" customHeight="1" x14ac:dyDescent="0.25">
      <c r="B24" s="157" t="s">
        <v>85</v>
      </c>
      <c r="C24" s="160">
        <f>SUM(C25)</f>
        <v>1700000</v>
      </c>
      <c r="D24" s="185">
        <f t="shared" ref="D24:G24" si="1">SUM(D25)</f>
        <v>1700000</v>
      </c>
      <c r="E24" s="160">
        <f t="shared" si="1"/>
        <v>0</v>
      </c>
      <c r="F24" s="160">
        <f t="shared" si="1"/>
        <v>0</v>
      </c>
      <c r="G24" s="185">
        <f t="shared" si="1"/>
        <v>1700000</v>
      </c>
      <c r="I24" s="255"/>
    </row>
    <row r="25" spans="2:9" ht="26.45" customHeight="1" x14ac:dyDescent="0.25">
      <c r="B25" s="176" t="s">
        <v>89</v>
      </c>
      <c r="C25" s="169">
        <v>1700000</v>
      </c>
      <c r="D25" s="184">
        <f>'QFR - B'!G24</f>
        <v>1700000</v>
      </c>
      <c r="E25" s="180"/>
      <c r="F25" s="180"/>
      <c r="G25" s="184">
        <f>+D25+E25-F25</f>
        <v>1700000</v>
      </c>
    </row>
    <row r="26" spans="2:9" x14ac:dyDescent="0.25">
      <c r="B26" s="171"/>
      <c r="C26" s="169"/>
      <c r="D26" s="186"/>
      <c r="E26" s="180"/>
      <c r="F26" s="180"/>
      <c r="G26" s="186"/>
    </row>
    <row r="27" spans="2:9" ht="26.45" customHeight="1" x14ac:dyDescent="0.25">
      <c r="B27" s="157" t="s">
        <v>86</v>
      </c>
      <c r="C27" s="160">
        <f>SUM(C28)</f>
        <v>800000</v>
      </c>
      <c r="D27" s="185">
        <f t="shared" ref="D27:G27" si="2">SUM(D28)</f>
        <v>797500</v>
      </c>
      <c r="E27" s="160">
        <f t="shared" si="2"/>
        <v>0</v>
      </c>
      <c r="F27" s="160">
        <f t="shared" si="2"/>
        <v>0</v>
      </c>
      <c r="G27" s="185">
        <f t="shared" si="2"/>
        <v>797500</v>
      </c>
      <c r="I27" s="255"/>
    </row>
    <row r="28" spans="2:9" ht="26.45" customHeight="1" x14ac:dyDescent="0.25">
      <c r="B28" s="176" t="s">
        <v>90</v>
      </c>
      <c r="C28" s="169">
        <v>800000</v>
      </c>
      <c r="D28" s="184">
        <f>'QFR - B'!G27</f>
        <v>797500</v>
      </c>
      <c r="E28" s="180"/>
      <c r="F28" s="180">
        <v>0</v>
      </c>
      <c r="G28" s="184">
        <f>+D28+E28-F28</f>
        <v>797500</v>
      </c>
    </row>
    <row r="29" spans="2:9" ht="15.75" thickBot="1" x14ac:dyDescent="0.3">
      <c r="B29" s="174"/>
      <c r="C29" s="181"/>
      <c r="D29" s="187"/>
      <c r="E29" s="181"/>
      <c r="F29" s="181"/>
      <c r="G29" s="187"/>
    </row>
    <row r="30" spans="2:9" ht="26.45" customHeight="1" thickBot="1" x14ac:dyDescent="0.3">
      <c r="B30" s="175" t="s">
        <v>32</v>
      </c>
      <c r="C30" s="182">
        <f>+C15+C20+C24+C27</f>
        <v>26200000</v>
      </c>
      <c r="D30" s="182">
        <f>+D15+D20+D24+D27</f>
        <v>26197500</v>
      </c>
      <c r="E30" s="182">
        <f>+E15+E20+E24+E27</f>
        <v>0</v>
      </c>
      <c r="F30" s="182">
        <f>+F15+F20+F24+F27</f>
        <v>0</v>
      </c>
      <c r="G30" s="188">
        <f>+G15+G20+G24+G27</f>
        <v>26197500</v>
      </c>
      <c r="I30" s="256"/>
    </row>
    <row r="31" spans="2:9" x14ac:dyDescent="0.25">
      <c r="B31" t="s">
        <v>263</v>
      </c>
    </row>
    <row r="33" spans="2:7" x14ac:dyDescent="0.25">
      <c r="B33" s="222" t="s">
        <v>126</v>
      </c>
      <c r="C33" s="223"/>
      <c r="D33" s="223"/>
      <c r="E33" s="223"/>
      <c r="F33" s="223"/>
      <c r="G33" s="224"/>
    </row>
    <row r="34" spans="2:7" ht="25.5" x14ac:dyDescent="0.25">
      <c r="B34" s="172" t="s">
        <v>84</v>
      </c>
      <c r="C34" s="160">
        <f>SUM(C35)</f>
        <v>1800000</v>
      </c>
      <c r="D34" s="160">
        <f>SUM(D35)</f>
        <v>1800000</v>
      </c>
      <c r="E34" s="160">
        <f>E35</f>
        <v>0</v>
      </c>
      <c r="F34" s="160">
        <f>F35</f>
        <v>0</v>
      </c>
      <c r="G34" s="185">
        <f>+D34+E34-F34</f>
        <v>1800000</v>
      </c>
    </row>
    <row r="35" spans="2:7" ht="25.5" x14ac:dyDescent="0.25">
      <c r="B35" s="170" t="s">
        <v>125</v>
      </c>
      <c r="C35" s="169">
        <v>1800000</v>
      </c>
      <c r="D35" s="184">
        <f>'[1]QFR - B'!G34</f>
        <v>1800000</v>
      </c>
      <c r="E35" s="352"/>
      <c r="F35" s="352"/>
      <c r="G35" s="184">
        <f>D35+E35-F35</f>
        <v>1800000</v>
      </c>
    </row>
    <row r="36" spans="2:7" ht="26.25" x14ac:dyDescent="0.25">
      <c r="B36" s="157" t="s">
        <v>86</v>
      </c>
      <c r="C36" s="160">
        <f>SUM(C37)</f>
        <v>0</v>
      </c>
      <c r="D36" s="185">
        <f t="shared" ref="D36:G36" si="3">SUM(D37)</f>
        <v>2500</v>
      </c>
      <c r="E36" s="160">
        <f t="shared" si="3"/>
        <v>0</v>
      </c>
      <c r="F36" s="160">
        <f t="shared" si="3"/>
        <v>0</v>
      </c>
      <c r="G36" s="185">
        <f t="shared" si="3"/>
        <v>2500</v>
      </c>
    </row>
    <row r="37" spans="2:7" x14ac:dyDescent="0.25">
      <c r="B37" s="176" t="s">
        <v>90</v>
      </c>
      <c r="C37" s="169">
        <v>0</v>
      </c>
      <c r="D37" s="184">
        <v>2500</v>
      </c>
      <c r="E37" s="180">
        <v>0</v>
      </c>
      <c r="F37" s="352"/>
      <c r="G37" s="184">
        <f>+D37+E37-F37</f>
        <v>2500</v>
      </c>
    </row>
    <row r="38" spans="2:7" ht="15.75" thickBot="1" x14ac:dyDescent="0.3">
      <c r="B38" s="175" t="s">
        <v>32</v>
      </c>
      <c r="C38" s="182">
        <f>C34+C36</f>
        <v>1800000</v>
      </c>
      <c r="D38" s="182">
        <f>D34+D36</f>
        <v>1802500</v>
      </c>
      <c r="E38" s="182">
        <f>E34+E36</f>
        <v>0</v>
      </c>
      <c r="F38" s="182">
        <f>F34+F36</f>
        <v>0</v>
      </c>
      <c r="G38" s="182">
        <f>G34+G36</f>
        <v>1802500</v>
      </c>
    </row>
  </sheetData>
  <mergeCells count="2">
    <mergeCell ref="E11:F11"/>
    <mergeCell ref="B14:G14"/>
  </mergeCells>
  <phoneticPr fontId="28" type="noConversion"/>
  <conditionalFormatting sqref="D30:G30">
    <cfRule type="cellIs" dxfId="4" priority="5" stopIfTrue="1" operator="equal">
      <formula>0</formula>
    </cfRule>
  </conditionalFormatting>
  <conditionalFormatting sqref="C30">
    <cfRule type="cellIs" dxfId="3" priority="4" stopIfTrue="1" operator="equal">
      <formula>0</formula>
    </cfRule>
  </conditionalFormatting>
  <conditionalFormatting sqref="C38:G38">
    <cfRule type="cellIs" dxfId="2" priority="1" stopIfTrue="1" operator="equal">
      <formula>0</formula>
    </cfRule>
  </conditionalFormatting>
  <pageMargins left="0.70866141732283472" right="0.70866141732283472" top="0.74803149606299213" bottom="0.74803149606299213" header="0.31496062992125984" footer="0.31496062992125984"/>
  <pageSetup scale="59"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zoomScale="85" zoomScaleNormal="85" zoomScalePageLayoutView="90" workbookViewId="0">
      <pane ySplit="13" topLeftCell="A14" activePane="bottomLeft" state="frozen"/>
      <selection pane="bottomLeft" activeCell="E28" sqref="E28"/>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7" width="16.42578125" customWidth="1"/>
  </cols>
  <sheetData>
    <row r="1" spans="1:7" x14ac:dyDescent="0.25">
      <c r="B1" s="73" t="s">
        <v>21</v>
      </c>
      <c r="C1" s="74"/>
      <c r="D1" s="74"/>
      <c r="E1" s="74"/>
      <c r="F1" s="74"/>
      <c r="G1" s="75"/>
    </row>
    <row r="2" spans="1:7" x14ac:dyDescent="0.25">
      <c r="B2" s="76"/>
      <c r="C2" s="77" t="s">
        <v>1</v>
      </c>
      <c r="D2" s="150" t="s">
        <v>68</v>
      </c>
      <c r="E2" s="78"/>
      <c r="F2" s="78"/>
      <c r="G2" s="81"/>
    </row>
    <row r="3" spans="1:7" x14ac:dyDescent="0.25">
      <c r="B3" s="76"/>
      <c r="C3" s="77" t="s">
        <v>2</v>
      </c>
      <c r="D3" s="150" t="s">
        <v>69</v>
      </c>
      <c r="E3" s="78"/>
      <c r="F3" s="78"/>
      <c r="G3" s="81"/>
    </row>
    <row r="4" spans="1:7" x14ac:dyDescent="0.25">
      <c r="B4" s="76"/>
      <c r="C4" s="77" t="s">
        <v>3</v>
      </c>
      <c r="D4" s="150" t="str">
        <f>'THP DR'!B7</f>
        <v>TR14GTM15001</v>
      </c>
      <c r="E4" s="78"/>
      <c r="F4" s="78"/>
      <c r="G4" s="81"/>
    </row>
    <row r="5" spans="1:7" x14ac:dyDescent="0.25">
      <c r="B5" s="76"/>
      <c r="C5" s="77" t="s">
        <v>4</v>
      </c>
      <c r="D5" s="151" t="str">
        <f>'THP DR'!B10</f>
        <v>March 09, 2018</v>
      </c>
      <c r="E5" s="82"/>
      <c r="F5" s="82"/>
      <c r="G5" s="81"/>
    </row>
    <row r="6" spans="1:7" ht="5.0999999999999996" customHeight="1" thickBot="1" x14ac:dyDescent="0.3">
      <c r="B6" s="83"/>
      <c r="C6" s="84"/>
      <c r="D6" s="84"/>
      <c r="E6" s="84"/>
      <c r="F6" s="84"/>
      <c r="G6" s="86"/>
    </row>
    <row r="7" spans="1:7" x14ac:dyDescent="0.25">
      <c r="B7" s="87" t="s">
        <v>33</v>
      </c>
      <c r="C7" s="116"/>
      <c r="D7" s="116"/>
      <c r="E7" s="116"/>
      <c r="F7" s="116"/>
      <c r="G7" s="117"/>
    </row>
    <row r="8" spans="1:7" x14ac:dyDescent="0.25">
      <c r="A8" s="99"/>
      <c r="B8" s="91" t="str">
        <f>'QFR - A'!B8</f>
        <v>Disbursement Period:01-abr-18 to 30-jun-18</v>
      </c>
      <c r="C8" s="92"/>
      <c r="D8" s="92"/>
      <c r="E8" s="92"/>
      <c r="F8" s="92"/>
      <c r="G8" s="93"/>
    </row>
    <row r="9" spans="1:7" x14ac:dyDescent="0.25">
      <c r="B9" s="152" t="s">
        <v>34</v>
      </c>
      <c r="C9" s="95"/>
      <c r="D9" s="95"/>
      <c r="E9" s="95"/>
      <c r="F9" s="95"/>
      <c r="G9" s="97"/>
    </row>
    <row r="10" spans="1:7" ht="15.75" thickBot="1" x14ac:dyDescent="0.3">
      <c r="B10" s="152" t="str">
        <f>'QFR - A'!B10</f>
        <v>Out of Cycle Report:  Yes [ ] | No [ x ]</v>
      </c>
      <c r="C10" s="95"/>
      <c r="D10" s="95"/>
      <c r="E10" s="95"/>
      <c r="F10" s="95"/>
      <c r="G10" s="97"/>
    </row>
    <row r="11" spans="1:7" ht="15" customHeight="1" x14ac:dyDescent="0.25">
      <c r="B11" s="154"/>
      <c r="C11" s="407" t="s">
        <v>24</v>
      </c>
      <c r="D11" s="407" t="s">
        <v>232</v>
      </c>
      <c r="E11" s="407" t="s">
        <v>268</v>
      </c>
      <c r="F11" s="407" t="s">
        <v>91</v>
      </c>
      <c r="G11" s="407" t="s">
        <v>77</v>
      </c>
    </row>
    <row r="12" spans="1:7" ht="42" customHeight="1" thickBot="1" x14ac:dyDescent="0.3">
      <c r="B12" s="153" t="s">
        <v>83</v>
      </c>
      <c r="C12" s="408"/>
      <c r="D12" s="408"/>
      <c r="E12" s="408"/>
      <c r="F12" s="408"/>
      <c r="G12" s="408"/>
    </row>
    <row r="13" spans="1:7" ht="15" customHeight="1" x14ac:dyDescent="0.25">
      <c r="A13" s="99"/>
      <c r="B13" s="155" t="s">
        <v>82</v>
      </c>
      <c r="C13" s="158">
        <v>1</v>
      </c>
      <c r="D13" s="158">
        <f>C13+1</f>
        <v>2</v>
      </c>
      <c r="E13" s="158">
        <v>3</v>
      </c>
      <c r="F13" s="158">
        <v>4</v>
      </c>
      <c r="G13" s="165">
        <v>5</v>
      </c>
    </row>
    <row r="14" spans="1:7" ht="26.1" customHeight="1" x14ac:dyDescent="0.25">
      <c r="B14" s="156" t="s">
        <v>78</v>
      </c>
      <c r="C14" s="159">
        <f>SUM(C15:C17)</f>
        <v>19700000</v>
      </c>
      <c r="D14" s="281">
        <f>SUM(D15:D17)</f>
        <v>-400000</v>
      </c>
      <c r="E14" s="281">
        <f>SUM(E15:E17)</f>
        <v>0</v>
      </c>
      <c r="F14" s="281">
        <f>SUM(F15:F17)</f>
        <v>0</v>
      </c>
      <c r="G14" s="161">
        <f>C14+D14+E14+F14</f>
        <v>19300000</v>
      </c>
    </row>
    <row r="15" spans="1:7" ht="26.45" customHeight="1" x14ac:dyDescent="0.25">
      <c r="B15" s="170" t="s">
        <v>79</v>
      </c>
      <c r="C15" s="162">
        <v>12000000</v>
      </c>
      <c r="D15" s="282">
        <v>0</v>
      </c>
      <c r="E15" s="283">
        <v>0</v>
      </c>
      <c r="F15" s="283">
        <v>0</v>
      </c>
      <c r="G15" s="163">
        <f>C15+D15+E15+F15</f>
        <v>12000000</v>
      </c>
    </row>
    <row r="16" spans="1:7" ht="26.45" customHeight="1" x14ac:dyDescent="0.25">
      <c r="B16" s="170" t="s">
        <v>80</v>
      </c>
      <c r="C16" s="162">
        <v>4700000</v>
      </c>
      <c r="D16" s="282">
        <v>-400000</v>
      </c>
      <c r="E16" s="283">
        <v>0</v>
      </c>
      <c r="F16" s="283">
        <v>0</v>
      </c>
      <c r="G16" s="163">
        <f t="shared" ref="G16:G17" si="0">C16+D16+E16+F16</f>
        <v>4300000</v>
      </c>
    </row>
    <row r="17" spans="2:7" ht="25.5" x14ac:dyDescent="0.25">
      <c r="B17" s="170" t="s">
        <v>81</v>
      </c>
      <c r="C17" s="162">
        <v>3000000</v>
      </c>
      <c r="D17" s="282">
        <v>0</v>
      </c>
      <c r="E17" s="283">
        <v>0</v>
      </c>
      <c r="F17" s="283">
        <v>0</v>
      </c>
      <c r="G17" s="163">
        <f t="shared" si="0"/>
        <v>3000000</v>
      </c>
    </row>
    <row r="18" spans="2:7" x14ac:dyDescent="0.25">
      <c r="B18" s="171"/>
      <c r="C18" s="162"/>
      <c r="D18" s="282"/>
      <c r="E18" s="283"/>
      <c r="F18" s="283"/>
      <c r="G18" s="163"/>
    </row>
    <row r="19" spans="2:7" ht="25.5" x14ac:dyDescent="0.25">
      <c r="B19" s="172" t="s">
        <v>84</v>
      </c>
      <c r="C19" s="159">
        <f>SUM(C20:C21)</f>
        <v>4000000</v>
      </c>
      <c r="D19" s="281">
        <f>SUM(D20:D21)</f>
        <v>400000</v>
      </c>
      <c r="E19" s="281">
        <f>SUM(E20:E21)</f>
        <v>0</v>
      </c>
      <c r="F19" s="281">
        <f>SUM(F20:F21)</f>
        <v>0</v>
      </c>
      <c r="G19" s="161">
        <f>SUM(G20:G21)</f>
        <v>4400000</v>
      </c>
    </row>
    <row r="20" spans="2:7" ht="25.5" x14ac:dyDescent="0.25">
      <c r="B20" s="170" t="s">
        <v>87</v>
      </c>
      <c r="C20" s="162">
        <v>0</v>
      </c>
      <c r="D20" s="282">
        <v>800000</v>
      </c>
      <c r="E20" s="283">
        <v>0</v>
      </c>
      <c r="F20" s="283">
        <v>0</v>
      </c>
      <c r="G20" s="163">
        <f>C20+D20+E20+F20</f>
        <v>800000</v>
      </c>
    </row>
    <row r="21" spans="2:7" ht="25.5" x14ac:dyDescent="0.25">
      <c r="B21" s="170" t="s">
        <v>88</v>
      </c>
      <c r="C21" s="162">
        <v>4000000</v>
      </c>
      <c r="D21" s="282">
        <v>-400000</v>
      </c>
      <c r="E21" s="283">
        <v>0</v>
      </c>
      <c r="F21" s="283">
        <v>0</v>
      </c>
      <c r="G21" s="163">
        <f>C21+D21+E21+F21</f>
        <v>3600000</v>
      </c>
    </row>
    <row r="22" spans="2:7" x14ac:dyDescent="0.25">
      <c r="B22" s="171"/>
      <c r="C22" s="162"/>
      <c r="D22" s="282"/>
      <c r="E22" s="283"/>
      <c r="F22" s="283"/>
      <c r="G22" s="164"/>
    </row>
    <row r="23" spans="2:7" ht="26.45" customHeight="1" x14ac:dyDescent="0.25">
      <c r="B23" s="157" t="s">
        <v>85</v>
      </c>
      <c r="C23" s="159">
        <f>SUM(C24)</f>
        <v>1700000</v>
      </c>
      <c r="D23" s="281">
        <f>SUM(D24)</f>
        <v>0</v>
      </c>
      <c r="E23" s="281">
        <f>E24</f>
        <v>0</v>
      </c>
      <c r="F23" s="281">
        <f>F24</f>
        <v>0</v>
      </c>
      <c r="G23" s="161">
        <f t="shared" ref="G23" si="1">SUM(G24)</f>
        <v>1700000</v>
      </c>
    </row>
    <row r="24" spans="2:7" ht="24" customHeight="1" x14ac:dyDescent="0.25">
      <c r="B24" s="176" t="s">
        <v>89</v>
      </c>
      <c r="C24" s="162">
        <v>1700000</v>
      </c>
      <c r="D24" s="282">
        <v>0</v>
      </c>
      <c r="E24" s="283">
        <v>0</v>
      </c>
      <c r="F24" s="283">
        <v>0</v>
      </c>
      <c r="G24" s="163">
        <f>C24+D24+E24+F24</f>
        <v>1700000</v>
      </c>
    </row>
    <row r="25" spans="2:7" x14ac:dyDescent="0.25">
      <c r="B25" s="171"/>
      <c r="C25" s="162"/>
      <c r="D25" s="282"/>
      <c r="E25" s="283"/>
      <c r="F25" s="283"/>
      <c r="G25" s="164"/>
    </row>
    <row r="26" spans="2:7" ht="26.45" customHeight="1" x14ac:dyDescent="0.25">
      <c r="B26" s="173" t="s">
        <v>86</v>
      </c>
      <c r="C26" s="159">
        <f>SUM(C27)</f>
        <v>800000</v>
      </c>
      <c r="D26" s="281">
        <f>SUM(D27)</f>
        <v>-2500</v>
      </c>
      <c r="E26" s="281">
        <f>E27</f>
        <v>0</v>
      </c>
      <c r="F26" s="281">
        <f>F27</f>
        <v>0</v>
      </c>
      <c r="G26" s="161">
        <f t="shared" ref="G26" si="2">SUM(G27)</f>
        <v>797500</v>
      </c>
    </row>
    <row r="27" spans="2:7" ht="24" customHeight="1" x14ac:dyDescent="0.25">
      <c r="B27" s="176" t="s">
        <v>90</v>
      </c>
      <c r="C27" s="162">
        <v>800000</v>
      </c>
      <c r="D27" s="282">
        <v>-2500</v>
      </c>
      <c r="E27" s="283">
        <v>0</v>
      </c>
      <c r="F27" s="283">
        <v>0</v>
      </c>
      <c r="G27" s="163">
        <f>C27+D27+E27+F27</f>
        <v>797500</v>
      </c>
    </row>
    <row r="28" spans="2:7" ht="15.75" thickBot="1" x14ac:dyDescent="0.3">
      <c r="B28" s="174"/>
      <c r="C28" s="166"/>
      <c r="D28" s="284"/>
      <c r="E28" s="285"/>
      <c r="F28" s="285"/>
      <c r="G28" s="167"/>
    </row>
    <row r="29" spans="2:7" ht="26.1" customHeight="1" thickBot="1" x14ac:dyDescent="0.3">
      <c r="B29" s="175" t="s">
        <v>32</v>
      </c>
      <c r="C29" s="168">
        <f>C14+C19+C23+C26</f>
        <v>26200000</v>
      </c>
      <c r="D29" s="286">
        <f t="shared" ref="D29:F29" si="3">D14+D19+D23+D26</f>
        <v>-2500</v>
      </c>
      <c r="E29" s="286">
        <f t="shared" si="3"/>
        <v>0</v>
      </c>
      <c r="F29" s="286">
        <f t="shared" si="3"/>
        <v>0</v>
      </c>
      <c r="G29" s="168">
        <f>G26+G23+G19+G14</f>
        <v>26197500</v>
      </c>
    </row>
    <row r="30" spans="2:7" x14ac:dyDescent="0.25">
      <c r="B30" t="s">
        <v>263</v>
      </c>
    </row>
    <row r="32" spans="2:7" x14ac:dyDescent="0.25">
      <c r="B32" s="222" t="s">
        <v>126</v>
      </c>
      <c r="C32" s="223"/>
      <c r="D32" s="223"/>
      <c r="E32" s="223"/>
      <c r="F32" s="223"/>
      <c r="G32" s="224"/>
    </row>
    <row r="33" spans="2:7" ht="25.5" x14ac:dyDescent="0.25">
      <c r="B33" s="172" t="s">
        <v>84</v>
      </c>
      <c r="C33" s="160">
        <f>SUM(C34)</f>
        <v>1800000</v>
      </c>
      <c r="D33" s="160">
        <f t="shared" ref="D33:G35" si="4">SUM(D34)</f>
        <v>0</v>
      </c>
      <c r="E33" s="160">
        <f t="shared" si="4"/>
        <v>0</v>
      </c>
      <c r="F33" s="160">
        <f t="shared" si="4"/>
        <v>0</v>
      </c>
      <c r="G33" s="160">
        <f t="shared" si="4"/>
        <v>1800000</v>
      </c>
    </row>
    <row r="34" spans="2:7" ht="25.5" x14ac:dyDescent="0.25">
      <c r="B34" s="170" t="s">
        <v>125</v>
      </c>
      <c r="C34" s="169">
        <v>1800000</v>
      </c>
      <c r="D34" s="184"/>
      <c r="E34" s="184">
        <v>0</v>
      </c>
      <c r="F34" s="184"/>
      <c r="G34" s="163">
        <f>C34+D34+E34+F34</f>
        <v>1800000</v>
      </c>
    </row>
    <row r="35" spans="2:7" s="300" customFormat="1" x14ac:dyDescent="0.25">
      <c r="B35" s="173" t="s">
        <v>86</v>
      </c>
      <c r="C35" s="160">
        <f>SUM(C36)</f>
        <v>0</v>
      </c>
      <c r="D35" s="160">
        <f t="shared" si="4"/>
        <v>0</v>
      </c>
      <c r="E35" s="160">
        <f t="shared" si="4"/>
        <v>2500</v>
      </c>
      <c r="F35" s="160">
        <f t="shared" si="4"/>
        <v>0</v>
      </c>
      <c r="G35" s="160">
        <f t="shared" si="4"/>
        <v>2500</v>
      </c>
    </row>
    <row r="36" spans="2:7" s="300" customFormat="1" x14ac:dyDescent="0.25">
      <c r="B36" s="176" t="s">
        <v>90</v>
      </c>
      <c r="C36" s="359"/>
      <c r="D36" s="360"/>
      <c r="E36" s="184">
        <v>2500</v>
      </c>
      <c r="F36" s="184"/>
      <c r="G36" s="163">
        <f>C36+D36+E36+F36</f>
        <v>2500</v>
      </c>
    </row>
    <row r="37" spans="2:7" ht="26.45" customHeight="1" thickBot="1" x14ac:dyDescent="0.3">
      <c r="B37" s="175" t="s">
        <v>32</v>
      </c>
      <c r="C37" s="182">
        <f>C34</f>
        <v>1800000</v>
      </c>
      <c r="D37" s="182">
        <f>D34</f>
        <v>0</v>
      </c>
      <c r="E37" s="182">
        <f t="shared" ref="E37:F37" si="5">E34</f>
        <v>0</v>
      </c>
      <c r="F37" s="182">
        <f t="shared" si="5"/>
        <v>0</v>
      </c>
      <c r="G37" s="182">
        <f>+G35+G33</f>
        <v>1802500</v>
      </c>
    </row>
    <row r="38" spans="2:7" x14ac:dyDescent="0.25">
      <c r="G38" s="246"/>
    </row>
  </sheetData>
  <mergeCells count="5">
    <mergeCell ref="E11:E12"/>
    <mergeCell ref="C11:C12"/>
    <mergeCell ref="G11:G12"/>
    <mergeCell ref="D11:D12"/>
    <mergeCell ref="F11:F12"/>
  </mergeCells>
  <phoneticPr fontId="28" type="noConversion"/>
  <conditionalFormatting sqref="D37:G37">
    <cfRule type="cellIs" dxfId="1" priority="2" stopIfTrue="1" operator="equal">
      <formula>0</formula>
    </cfRule>
  </conditionalFormatting>
  <conditionalFormatting sqref="C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zoomScale="85" zoomScaleNormal="85" workbookViewId="0">
      <selection activeCell="A32" sqref="A32"/>
    </sheetView>
  </sheetViews>
  <sheetFormatPr baseColWidth="10" defaultColWidth="11.42578125" defaultRowHeight="12.75" x14ac:dyDescent="0.2"/>
  <cols>
    <col min="1" max="1" width="73.42578125" style="120" customWidth="1"/>
    <col min="2" max="2" width="38.42578125" style="149" customWidth="1"/>
    <col min="3" max="256" width="9.140625" style="120" customWidth="1"/>
    <col min="257" max="257" width="73.42578125" style="120" customWidth="1"/>
    <col min="258" max="258" width="24.42578125" style="120" customWidth="1"/>
    <col min="259" max="512" width="9.140625" style="120" customWidth="1"/>
    <col min="513" max="513" width="73.42578125" style="120" customWidth="1"/>
    <col min="514" max="514" width="24.42578125" style="120" customWidth="1"/>
    <col min="515" max="768" width="9.140625" style="120" customWidth="1"/>
    <col min="769" max="769" width="73.42578125" style="120" customWidth="1"/>
    <col min="770" max="770" width="24.42578125" style="120" customWidth="1"/>
    <col min="771" max="1024" width="9.140625" style="120" customWidth="1"/>
    <col min="1025" max="1025" width="73.42578125" style="120" customWidth="1"/>
    <col min="1026" max="1026" width="24.42578125" style="120" customWidth="1"/>
    <col min="1027" max="1280" width="9.140625" style="120" customWidth="1"/>
    <col min="1281" max="1281" width="73.42578125" style="120" customWidth="1"/>
    <col min="1282" max="1282" width="24.42578125" style="120" customWidth="1"/>
    <col min="1283" max="1536" width="9.140625" style="120" customWidth="1"/>
    <col min="1537" max="1537" width="73.42578125" style="120" customWidth="1"/>
    <col min="1538" max="1538" width="24.42578125" style="120" customWidth="1"/>
    <col min="1539" max="1792" width="9.140625" style="120" customWidth="1"/>
    <col min="1793" max="1793" width="73.42578125" style="120" customWidth="1"/>
    <col min="1794" max="1794" width="24.42578125" style="120" customWidth="1"/>
    <col min="1795" max="2048" width="9.140625" style="120" customWidth="1"/>
    <col min="2049" max="2049" width="73.42578125" style="120" customWidth="1"/>
    <col min="2050" max="2050" width="24.42578125" style="120" customWidth="1"/>
    <col min="2051" max="2304" width="9.140625" style="120" customWidth="1"/>
    <col min="2305" max="2305" width="73.42578125" style="120" customWidth="1"/>
    <col min="2306" max="2306" width="24.42578125" style="120" customWidth="1"/>
    <col min="2307" max="2560" width="9.140625" style="120" customWidth="1"/>
    <col min="2561" max="2561" width="73.42578125" style="120" customWidth="1"/>
    <col min="2562" max="2562" width="24.42578125" style="120" customWidth="1"/>
    <col min="2563" max="2816" width="9.140625" style="120" customWidth="1"/>
    <col min="2817" max="2817" width="73.42578125" style="120" customWidth="1"/>
    <col min="2818" max="2818" width="24.42578125" style="120" customWidth="1"/>
    <col min="2819" max="3072" width="9.140625" style="120" customWidth="1"/>
    <col min="3073" max="3073" width="73.42578125" style="120" customWidth="1"/>
    <col min="3074" max="3074" width="24.42578125" style="120" customWidth="1"/>
    <col min="3075" max="3328" width="9.140625" style="120" customWidth="1"/>
    <col min="3329" max="3329" width="73.42578125" style="120" customWidth="1"/>
    <col min="3330" max="3330" width="24.42578125" style="120" customWidth="1"/>
    <col min="3331" max="3584" width="9.140625" style="120" customWidth="1"/>
    <col min="3585" max="3585" width="73.42578125" style="120" customWidth="1"/>
    <col min="3586" max="3586" width="24.42578125" style="120" customWidth="1"/>
    <col min="3587" max="3840" width="9.140625" style="120" customWidth="1"/>
    <col min="3841" max="3841" width="73.42578125" style="120" customWidth="1"/>
    <col min="3842" max="3842" width="24.42578125" style="120" customWidth="1"/>
    <col min="3843" max="4096" width="9.140625" style="120" customWidth="1"/>
    <col min="4097" max="4097" width="73.42578125" style="120" customWidth="1"/>
    <col min="4098" max="4098" width="24.42578125" style="120" customWidth="1"/>
    <col min="4099" max="4352" width="9.140625" style="120" customWidth="1"/>
    <col min="4353" max="4353" width="73.42578125" style="120" customWidth="1"/>
    <col min="4354" max="4354" width="24.42578125" style="120" customWidth="1"/>
    <col min="4355" max="4608" width="9.140625" style="120" customWidth="1"/>
    <col min="4609" max="4609" width="73.42578125" style="120" customWidth="1"/>
    <col min="4610" max="4610" width="24.42578125" style="120" customWidth="1"/>
    <col min="4611" max="4864" width="9.140625" style="120" customWidth="1"/>
    <col min="4865" max="4865" width="73.42578125" style="120" customWidth="1"/>
    <col min="4866" max="4866" width="24.42578125" style="120" customWidth="1"/>
    <col min="4867" max="5120" width="9.140625" style="120" customWidth="1"/>
    <col min="5121" max="5121" width="73.42578125" style="120" customWidth="1"/>
    <col min="5122" max="5122" width="24.42578125" style="120" customWidth="1"/>
    <col min="5123" max="5376" width="9.140625" style="120" customWidth="1"/>
    <col min="5377" max="5377" width="73.42578125" style="120" customWidth="1"/>
    <col min="5378" max="5378" width="24.42578125" style="120" customWidth="1"/>
    <col min="5379" max="5632" width="9.140625" style="120" customWidth="1"/>
    <col min="5633" max="5633" width="73.42578125" style="120" customWidth="1"/>
    <col min="5634" max="5634" width="24.42578125" style="120" customWidth="1"/>
    <col min="5635" max="5888" width="9.140625" style="120" customWidth="1"/>
    <col min="5889" max="5889" width="73.42578125" style="120" customWidth="1"/>
    <col min="5890" max="5890" width="24.42578125" style="120" customWidth="1"/>
    <col min="5891" max="6144" width="9.140625" style="120" customWidth="1"/>
    <col min="6145" max="6145" width="73.42578125" style="120" customWidth="1"/>
    <col min="6146" max="6146" width="24.42578125" style="120" customWidth="1"/>
    <col min="6147" max="6400" width="9.140625" style="120" customWidth="1"/>
    <col min="6401" max="6401" width="73.42578125" style="120" customWidth="1"/>
    <col min="6402" max="6402" width="24.42578125" style="120" customWidth="1"/>
    <col min="6403" max="6656" width="9.140625" style="120" customWidth="1"/>
    <col min="6657" max="6657" width="73.42578125" style="120" customWidth="1"/>
    <col min="6658" max="6658" width="24.42578125" style="120" customWidth="1"/>
    <col min="6659" max="6912" width="9.140625" style="120" customWidth="1"/>
    <col min="6913" max="6913" width="73.42578125" style="120" customWidth="1"/>
    <col min="6914" max="6914" width="24.42578125" style="120" customWidth="1"/>
    <col min="6915" max="7168" width="9.140625" style="120" customWidth="1"/>
    <col min="7169" max="7169" width="73.42578125" style="120" customWidth="1"/>
    <col min="7170" max="7170" width="24.42578125" style="120" customWidth="1"/>
    <col min="7171" max="7424" width="9.140625" style="120" customWidth="1"/>
    <col min="7425" max="7425" width="73.42578125" style="120" customWidth="1"/>
    <col min="7426" max="7426" width="24.42578125" style="120" customWidth="1"/>
    <col min="7427" max="7680" width="9.140625" style="120" customWidth="1"/>
    <col min="7681" max="7681" width="73.42578125" style="120" customWidth="1"/>
    <col min="7682" max="7682" width="24.42578125" style="120" customWidth="1"/>
    <col min="7683" max="7936" width="9.140625" style="120" customWidth="1"/>
    <col min="7937" max="7937" width="73.42578125" style="120" customWidth="1"/>
    <col min="7938" max="7938" width="24.42578125" style="120" customWidth="1"/>
    <col min="7939" max="8192" width="9.140625" style="120" customWidth="1"/>
    <col min="8193" max="8193" width="73.42578125" style="120" customWidth="1"/>
    <col min="8194" max="8194" width="24.42578125" style="120" customWidth="1"/>
    <col min="8195" max="8448" width="9.140625" style="120" customWidth="1"/>
    <col min="8449" max="8449" width="73.42578125" style="120" customWidth="1"/>
    <col min="8450" max="8450" width="24.42578125" style="120" customWidth="1"/>
    <col min="8451" max="8704" width="9.140625" style="120" customWidth="1"/>
    <col min="8705" max="8705" width="73.42578125" style="120" customWidth="1"/>
    <col min="8706" max="8706" width="24.42578125" style="120" customWidth="1"/>
    <col min="8707" max="8960" width="9.140625" style="120" customWidth="1"/>
    <col min="8961" max="8961" width="73.42578125" style="120" customWidth="1"/>
    <col min="8962" max="8962" width="24.42578125" style="120" customWidth="1"/>
    <col min="8963" max="9216" width="9.140625" style="120" customWidth="1"/>
    <col min="9217" max="9217" width="73.42578125" style="120" customWidth="1"/>
    <col min="9218" max="9218" width="24.42578125" style="120" customWidth="1"/>
    <col min="9219" max="9472" width="9.140625" style="120" customWidth="1"/>
    <col min="9473" max="9473" width="73.42578125" style="120" customWidth="1"/>
    <col min="9474" max="9474" width="24.42578125" style="120" customWidth="1"/>
    <col min="9475" max="9728" width="9.140625" style="120" customWidth="1"/>
    <col min="9729" max="9729" width="73.42578125" style="120" customWidth="1"/>
    <col min="9730" max="9730" width="24.42578125" style="120" customWidth="1"/>
    <col min="9731" max="9984" width="9.140625" style="120" customWidth="1"/>
    <col min="9985" max="9985" width="73.42578125" style="120" customWidth="1"/>
    <col min="9986" max="9986" width="24.42578125" style="120" customWidth="1"/>
    <col min="9987" max="10240" width="9.140625" style="120" customWidth="1"/>
    <col min="10241" max="10241" width="73.42578125" style="120" customWidth="1"/>
    <col min="10242" max="10242" width="24.42578125" style="120" customWidth="1"/>
    <col min="10243" max="10496" width="9.140625" style="120" customWidth="1"/>
    <col min="10497" max="10497" width="73.42578125" style="120" customWidth="1"/>
    <col min="10498" max="10498" width="24.42578125" style="120" customWidth="1"/>
    <col min="10499" max="10752" width="9.140625" style="120" customWidth="1"/>
    <col min="10753" max="10753" width="73.42578125" style="120" customWidth="1"/>
    <col min="10754" max="10754" width="24.42578125" style="120" customWidth="1"/>
    <col min="10755" max="11008" width="9.140625" style="120" customWidth="1"/>
    <col min="11009" max="11009" width="73.42578125" style="120" customWidth="1"/>
    <col min="11010" max="11010" width="24.42578125" style="120" customWidth="1"/>
    <col min="11011" max="11264" width="9.140625" style="120" customWidth="1"/>
    <col min="11265" max="11265" width="73.42578125" style="120" customWidth="1"/>
    <col min="11266" max="11266" width="24.42578125" style="120" customWidth="1"/>
    <col min="11267" max="11520" width="9.140625" style="120" customWidth="1"/>
    <col min="11521" max="11521" width="73.42578125" style="120" customWidth="1"/>
    <col min="11522" max="11522" width="24.42578125" style="120" customWidth="1"/>
    <col min="11523" max="11776" width="9.140625" style="120" customWidth="1"/>
    <col min="11777" max="11777" width="73.42578125" style="120" customWidth="1"/>
    <col min="11778" max="11778" width="24.42578125" style="120" customWidth="1"/>
    <col min="11779" max="12032" width="9.140625" style="120" customWidth="1"/>
    <col min="12033" max="12033" width="73.42578125" style="120" customWidth="1"/>
    <col min="12034" max="12034" width="24.42578125" style="120" customWidth="1"/>
    <col min="12035" max="12288" width="9.140625" style="120" customWidth="1"/>
    <col min="12289" max="12289" width="73.42578125" style="120" customWidth="1"/>
    <col min="12290" max="12290" width="24.42578125" style="120" customWidth="1"/>
    <col min="12291" max="12544" width="9.140625" style="120" customWidth="1"/>
    <col min="12545" max="12545" width="73.42578125" style="120" customWidth="1"/>
    <col min="12546" max="12546" width="24.42578125" style="120" customWidth="1"/>
    <col min="12547" max="12800" width="9.140625" style="120" customWidth="1"/>
    <col min="12801" max="12801" width="73.42578125" style="120" customWidth="1"/>
    <col min="12802" max="12802" width="24.42578125" style="120" customWidth="1"/>
    <col min="12803" max="13056" width="9.140625" style="120" customWidth="1"/>
    <col min="13057" max="13057" width="73.42578125" style="120" customWidth="1"/>
    <col min="13058" max="13058" width="24.42578125" style="120" customWidth="1"/>
    <col min="13059" max="13312" width="9.140625" style="120" customWidth="1"/>
    <col min="13313" max="13313" width="73.42578125" style="120" customWidth="1"/>
    <col min="13314" max="13314" width="24.42578125" style="120" customWidth="1"/>
    <col min="13315" max="13568" width="9.140625" style="120" customWidth="1"/>
    <col min="13569" max="13569" width="73.42578125" style="120" customWidth="1"/>
    <col min="13570" max="13570" width="24.42578125" style="120" customWidth="1"/>
    <col min="13571" max="13824" width="9.140625" style="120" customWidth="1"/>
    <col min="13825" max="13825" width="73.42578125" style="120" customWidth="1"/>
    <col min="13826" max="13826" width="24.42578125" style="120" customWidth="1"/>
    <col min="13827" max="14080" width="9.140625" style="120" customWidth="1"/>
    <col min="14081" max="14081" width="73.42578125" style="120" customWidth="1"/>
    <col min="14082" max="14082" width="24.42578125" style="120" customWidth="1"/>
    <col min="14083" max="14336" width="9.140625" style="120" customWidth="1"/>
    <col min="14337" max="14337" width="73.42578125" style="120" customWidth="1"/>
    <col min="14338" max="14338" width="24.42578125" style="120" customWidth="1"/>
    <col min="14339" max="14592" width="9.140625" style="120" customWidth="1"/>
    <col min="14593" max="14593" width="73.42578125" style="120" customWidth="1"/>
    <col min="14594" max="14594" width="24.42578125" style="120" customWidth="1"/>
    <col min="14595" max="14848" width="9.140625" style="120" customWidth="1"/>
    <col min="14849" max="14849" width="73.42578125" style="120" customWidth="1"/>
    <col min="14850" max="14850" width="24.42578125" style="120" customWidth="1"/>
    <col min="14851" max="15104" width="9.140625" style="120" customWidth="1"/>
    <col min="15105" max="15105" width="73.42578125" style="120" customWidth="1"/>
    <col min="15106" max="15106" width="24.42578125" style="120" customWidth="1"/>
    <col min="15107" max="15360" width="9.140625" style="120" customWidth="1"/>
    <col min="15361" max="15361" width="73.42578125" style="120" customWidth="1"/>
    <col min="15362" max="15362" width="24.42578125" style="120" customWidth="1"/>
    <col min="15363" max="15616" width="9.140625" style="120" customWidth="1"/>
    <col min="15617" max="15617" width="73.42578125" style="120" customWidth="1"/>
    <col min="15618" max="15618" width="24.42578125" style="120" customWidth="1"/>
    <col min="15619" max="15872" width="9.140625" style="120" customWidth="1"/>
    <col min="15873" max="15873" width="73.42578125" style="120" customWidth="1"/>
    <col min="15874" max="15874" width="24.42578125" style="120" customWidth="1"/>
    <col min="15875" max="16128" width="9.140625" style="120" customWidth="1"/>
    <col min="16129" max="16129" width="73.42578125" style="120" customWidth="1"/>
    <col min="16130" max="16130" width="24.42578125" style="120" customWidth="1"/>
    <col min="16131" max="16384" width="9.140625" style="120" customWidth="1"/>
  </cols>
  <sheetData>
    <row r="1" spans="1:6" ht="15.75" x14ac:dyDescent="0.25">
      <c r="A1" s="118" t="s">
        <v>35</v>
      </c>
      <c r="B1" s="119"/>
    </row>
    <row r="2" spans="1:6" ht="15.75" x14ac:dyDescent="0.25">
      <c r="A2" s="121"/>
      <c r="B2" s="122"/>
    </row>
    <row r="3" spans="1:6" ht="16.5" thickBot="1" x14ac:dyDescent="0.3">
      <c r="A3" s="413" t="s">
        <v>36</v>
      </c>
      <c r="B3" s="414"/>
    </row>
    <row r="4" spans="1:6" x14ac:dyDescent="0.2">
      <c r="A4" s="123" t="s">
        <v>37</v>
      </c>
      <c r="B4" s="124" t="s">
        <v>68</v>
      </c>
    </row>
    <row r="5" spans="1:6" ht="30" customHeight="1" x14ac:dyDescent="0.2">
      <c r="A5" s="125" t="s">
        <v>38</v>
      </c>
      <c r="B5" s="126" t="s">
        <v>279</v>
      </c>
      <c r="C5" s="127"/>
    </row>
    <row r="6" spans="1:6" x14ac:dyDescent="0.2">
      <c r="A6" s="128" t="s">
        <v>39</v>
      </c>
      <c r="B6" s="129" t="s">
        <v>280</v>
      </c>
    </row>
    <row r="7" spans="1:6" x14ac:dyDescent="0.2">
      <c r="A7" s="130" t="s">
        <v>40</v>
      </c>
      <c r="B7" s="129" t="s">
        <v>70</v>
      </c>
    </row>
    <row r="8" spans="1:6" x14ac:dyDescent="0.2">
      <c r="A8" s="125" t="s">
        <v>41</v>
      </c>
      <c r="B8" s="131" t="s">
        <v>69</v>
      </c>
    </row>
    <row r="9" spans="1:6" x14ac:dyDescent="0.2">
      <c r="A9" s="125" t="s">
        <v>42</v>
      </c>
      <c r="B9" s="129" t="s">
        <v>231</v>
      </c>
    </row>
    <row r="10" spans="1:6" x14ac:dyDescent="0.2">
      <c r="A10" s="125" t="s">
        <v>43</v>
      </c>
      <c r="B10" s="132" t="s">
        <v>283</v>
      </c>
    </row>
    <row r="11" spans="1:6" x14ac:dyDescent="0.2">
      <c r="A11" s="125" t="s">
        <v>44</v>
      </c>
      <c r="B11" s="132">
        <v>43191</v>
      </c>
    </row>
    <row r="12" spans="1:6" x14ac:dyDescent="0.2">
      <c r="A12" s="125" t="s">
        <v>45</v>
      </c>
      <c r="B12" s="132">
        <f>DATE(YEAR(B11),MONTH(B11)+3,DAY(B11))-1</f>
        <v>43281</v>
      </c>
    </row>
    <row r="13" spans="1:6" x14ac:dyDescent="0.2">
      <c r="A13" s="125" t="s">
        <v>46</v>
      </c>
      <c r="B13" s="129">
        <v>8</v>
      </c>
    </row>
    <row r="14" spans="1:6" x14ac:dyDescent="0.2">
      <c r="A14" s="133" t="s">
        <v>47</v>
      </c>
      <c r="B14" s="129" t="s">
        <v>48</v>
      </c>
    </row>
    <row r="15" spans="1:6" ht="25.5" x14ac:dyDescent="0.2">
      <c r="A15" s="134" t="s">
        <v>49</v>
      </c>
      <c r="B15" s="129"/>
    </row>
    <row r="16" spans="1:6" ht="32.25" customHeight="1" x14ac:dyDescent="0.2">
      <c r="A16" s="415" t="s">
        <v>137</v>
      </c>
      <c r="B16" s="416"/>
      <c r="C16" s="231"/>
      <c r="D16" s="231"/>
      <c r="E16" s="231"/>
      <c r="F16" s="231"/>
    </row>
    <row r="17" spans="1:2" ht="18.75" customHeight="1" x14ac:dyDescent="0.2">
      <c r="A17" s="125" t="s">
        <v>50</v>
      </c>
      <c r="B17" s="331">
        <f>'DFP-CASH'!H54</f>
        <v>2733761.5212646993</v>
      </c>
    </row>
    <row r="18" spans="1:2" ht="20.25" customHeight="1" x14ac:dyDescent="0.2">
      <c r="A18" s="125" t="s">
        <v>51</v>
      </c>
      <c r="B18" s="135"/>
    </row>
    <row r="19" spans="1:2" ht="18.75" customHeight="1" x14ac:dyDescent="0.2">
      <c r="A19" s="125" t="s">
        <v>52</v>
      </c>
      <c r="B19" s="136"/>
    </row>
    <row r="20" spans="1:2" ht="18.75" customHeight="1" x14ac:dyDescent="0.2">
      <c r="A20" s="125" t="s">
        <v>53</v>
      </c>
      <c r="B20" s="135">
        <v>0</v>
      </c>
    </row>
    <row r="21" spans="1:2" ht="18.75" customHeight="1" x14ac:dyDescent="0.2">
      <c r="A21" s="125" t="s">
        <v>54</v>
      </c>
      <c r="B21" s="331">
        <f>B17+B18+B19-B20</f>
        <v>2733761.5212646993</v>
      </c>
    </row>
    <row r="22" spans="1:2" ht="32.1" customHeight="1" x14ac:dyDescent="0.2">
      <c r="A22" s="125" t="s">
        <v>55</v>
      </c>
      <c r="B22" s="345" t="s">
        <v>281</v>
      </c>
    </row>
    <row r="23" spans="1:2" ht="39.950000000000003" customHeight="1" x14ac:dyDescent="0.2">
      <c r="A23" s="417" t="s">
        <v>56</v>
      </c>
      <c r="B23" s="417"/>
    </row>
    <row r="24" spans="1:2" ht="58.5" customHeight="1" x14ac:dyDescent="0.2">
      <c r="A24" s="417" t="s">
        <v>57</v>
      </c>
      <c r="B24" s="417"/>
    </row>
    <row r="25" spans="1:2" ht="33" customHeight="1" x14ac:dyDescent="0.2">
      <c r="A25" s="417" t="s">
        <v>58</v>
      </c>
      <c r="B25" s="418"/>
    </row>
    <row r="26" spans="1:2" ht="50.1" customHeight="1" x14ac:dyDescent="0.2">
      <c r="A26" s="417" t="s">
        <v>255</v>
      </c>
      <c r="B26" s="417"/>
    </row>
    <row r="27" spans="1:2" ht="20.100000000000001" customHeight="1" x14ac:dyDescent="0.2">
      <c r="A27" s="137"/>
      <c r="B27" s="138"/>
    </row>
    <row r="28" spans="1:2" ht="20.100000000000001" customHeight="1" x14ac:dyDescent="0.2">
      <c r="A28" s="409" t="s">
        <v>267</v>
      </c>
      <c r="B28" s="410"/>
    </row>
    <row r="29" spans="1:2" ht="42.6" customHeight="1" x14ac:dyDescent="0.2">
      <c r="A29" s="139" t="s">
        <v>59</v>
      </c>
      <c r="B29" s="140"/>
    </row>
    <row r="30" spans="1:2" ht="20.100000000000001" customHeight="1" x14ac:dyDescent="0.2">
      <c r="A30" s="139" t="s">
        <v>277</v>
      </c>
      <c r="B30" s="140"/>
    </row>
    <row r="31" spans="1:2" ht="20.100000000000001" customHeight="1" x14ac:dyDescent="0.2">
      <c r="A31" s="325" t="s">
        <v>284</v>
      </c>
      <c r="B31" s="140"/>
    </row>
    <row r="32" spans="1:2" ht="20.100000000000001" customHeight="1" x14ac:dyDescent="0.2">
      <c r="A32" s="141"/>
      <c r="B32" s="142"/>
    </row>
    <row r="33" spans="1:2" ht="20.100000000000001" customHeight="1" x14ac:dyDescent="0.2">
      <c r="A33" s="411" t="s">
        <v>282</v>
      </c>
      <c r="B33" s="412"/>
    </row>
    <row r="34" spans="1:2" ht="20.100000000000001" customHeight="1" x14ac:dyDescent="0.2">
      <c r="A34" s="139" t="s">
        <v>59</v>
      </c>
      <c r="B34" s="140"/>
    </row>
    <row r="35" spans="1:2" ht="20.100000000000001" customHeight="1" x14ac:dyDescent="0.2">
      <c r="A35" s="343" t="s">
        <v>278</v>
      </c>
      <c r="B35" s="140"/>
    </row>
    <row r="36" spans="1:2" ht="20.100000000000001" customHeight="1" x14ac:dyDescent="0.2">
      <c r="A36" s="139" t="s">
        <v>60</v>
      </c>
      <c r="B36" s="140"/>
    </row>
    <row r="37" spans="1:2" ht="20.100000000000001" customHeight="1" x14ac:dyDescent="0.2">
      <c r="A37" s="141"/>
      <c r="B37" s="142"/>
    </row>
    <row r="38" spans="1:2" ht="3.6" customHeight="1" x14ac:dyDescent="0.2">
      <c r="A38" s="137"/>
      <c r="B38" s="138"/>
    </row>
    <row r="39" spans="1:2" ht="14.45" customHeight="1" x14ac:dyDescent="0.2">
      <c r="A39" s="409"/>
      <c r="B39" s="410"/>
    </row>
    <row r="40" spans="1:2" ht="20.100000000000001" customHeight="1" x14ac:dyDescent="0.2">
      <c r="A40" s="141" t="s">
        <v>59</v>
      </c>
      <c r="B40" s="140"/>
    </row>
    <row r="41" spans="1:2" ht="20.100000000000001" customHeight="1" thickBot="1" x14ac:dyDescent="0.25">
      <c r="A41" s="143" t="s">
        <v>61</v>
      </c>
      <c r="B41" s="140"/>
    </row>
    <row r="42" spans="1:2" ht="20.100000000000001" customHeight="1" x14ac:dyDescent="0.2">
      <c r="A42" s="139" t="s">
        <v>239</v>
      </c>
      <c r="B42" s="140"/>
    </row>
    <row r="43" spans="1:2" ht="14.45" customHeight="1" x14ac:dyDescent="0.2">
      <c r="A43" s="144"/>
      <c r="B43" s="142"/>
    </row>
    <row r="44" spans="1:2" x14ac:dyDescent="0.2">
      <c r="A44" s="145"/>
      <c r="B44" s="146"/>
    </row>
    <row r="45" spans="1:2" x14ac:dyDescent="0.2">
      <c r="A45" s="147"/>
      <c r="B45" s="148"/>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26"/>
  <sheetViews>
    <sheetView showGridLines="0" zoomScale="60" zoomScaleNormal="60" workbookViewId="0">
      <pane xSplit="4" ySplit="3" topLeftCell="E4" activePane="bottomRight" state="frozen"/>
      <selection pane="topRight" activeCell="E1" sqref="E1"/>
      <selection pane="bottomLeft" activeCell="A4" sqref="A4"/>
      <selection pane="bottomRight" activeCell="B1" sqref="B1:C1048576"/>
    </sheetView>
  </sheetViews>
  <sheetFormatPr baseColWidth="10" defaultColWidth="8.85546875" defaultRowHeight="15" x14ac:dyDescent="0.25"/>
  <cols>
    <col min="1" max="1" width="5.140625" customWidth="1"/>
    <col min="2" max="2" width="12.140625" hidden="1" customWidth="1"/>
    <col min="3" max="3" width="43.5703125" hidden="1" customWidth="1"/>
    <col min="4" max="4" width="18.42578125" customWidth="1"/>
    <col min="5" max="5" width="13.140625" customWidth="1"/>
    <col min="6" max="6" width="12.42578125" customWidth="1"/>
    <col min="7" max="7" width="10.42578125" customWidth="1"/>
    <col min="8" max="8" width="10.42578125" style="317" customWidth="1"/>
    <col min="9" max="12" width="10.42578125" customWidth="1"/>
    <col min="13" max="13" width="10.28515625" bestFit="1" customWidth="1"/>
    <col min="14" max="19" width="10.42578125" customWidth="1"/>
    <col min="20" max="20" width="8.5703125" bestFit="1" customWidth="1"/>
    <col min="21" max="21" width="10.140625" style="300" customWidth="1"/>
    <col min="22" max="22" width="13" customWidth="1"/>
    <col min="23" max="24" width="14" customWidth="1"/>
    <col min="25" max="25" width="11" customWidth="1"/>
    <col min="26" max="28" width="10.42578125" customWidth="1"/>
    <col min="29" max="29" width="10.5703125" customWidth="1"/>
    <col min="30" max="30" width="13.85546875" customWidth="1"/>
    <col min="31" max="31" width="11.5703125" bestFit="1" customWidth="1"/>
    <col min="32" max="32" width="10.42578125" customWidth="1"/>
    <col min="33" max="33" width="11.85546875" customWidth="1"/>
    <col min="34" max="35" width="10.42578125" customWidth="1"/>
    <col min="36" max="36" width="12.42578125" customWidth="1"/>
    <col min="37" max="38" width="10.42578125" customWidth="1"/>
    <col min="39" max="39" width="12.5703125" customWidth="1"/>
    <col min="40" max="40" width="12" bestFit="1" customWidth="1"/>
    <col min="41" max="42" width="11.42578125" customWidth="1"/>
    <col min="43" max="43" width="12.140625" customWidth="1"/>
    <col min="44" max="45" width="11.42578125" customWidth="1"/>
    <col min="46" max="46" width="12.42578125" customWidth="1"/>
    <col min="47" max="55" width="11.42578125" customWidth="1"/>
    <col min="56" max="56" width="14.42578125" customWidth="1"/>
    <col min="57" max="57" width="14.140625" customWidth="1"/>
  </cols>
  <sheetData>
    <row r="1" spans="1:57" x14ac:dyDescent="0.25">
      <c r="D1" s="236">
        <f>SUM(D2:D85)</f>
        <v>24582897.000000004</v>
      </c>
      <c r="F1" t="s">
        <v>168</v>
      </c>
      <c r="V1" t="s">
        <v>182</v>
      </c>
      <c r="Y1" s="241" t="s">
        <v>210</v>
      </c>
      <c r="Z1" s="241"/>
      <c r="AA1" s="241"/>
      <c r="AB1" s="241"/>
      <c r="AC1" s="241"/>
      <c r="AD1" s="241"/>
      <c r="AE1" s="241"/>
      <c r="AF1" s="241"/>
      <c r="AG1" s="241"/>
      <c r="AH1" s="241"/>
      <c r="AI1" s="241"/>
      <c r="AJ1" s="241"/>
      <c r="AK1" s="241"/>
      <c r="AL1" s="241"/>
      <c r="AM1" s="241"/>
      <c r="AN1" s="242"/>
      <c r="AO1" s="241" t="s">
        <v>211</v>
      </c>
      <c r="AP1" s="241"/>
      <c r="AQ1" s="241"/>
      <c r="AR1" s="241"/>
      <c r="AS1" s="241"/>
      <c r="AT1" s="241"/>
      <c r="AU1" s="241"/>
      <c r="AV1" s="241"/>
      <c r="AW1" s="241"/>
      <c r="AX1" s="241"/>
      <c r="AY1" s="241"/>
      <c r="AZ1" s="241"/>
      <c r="BA1" s="241"/>
      <c r="BB1" s="241"/>
      <c r="BC1" s="241"/>
    </row>
    <row r="2" spans="1:57" x14ac:dyDescent="0.25">
      <c r="A2" t="s">
        <v>144</v>
      </c>
      <c r="D2" t="s">
        <v>166</v>
      </c>
      <c r="F2" s="381">
        <v>42552</v>
      </c>
      <c r="G2" s="381">
        <v>42644</v>
      </c>
      <c r="H2" s="382">
        <v>42736</v>
      </c>
      <c r="I2" s="381">
        <v>42826</v>
      </c>
      <c r="J2" s="381">
        <v>42917</v>
      </c>
      <c r="K2" s="381">
        <v>43009</v>
      </c>
      <c r="L2" s="381">
        <v>43101</v>
      </c>
      <c r="M2" s="381">
        <v>43191</v>
      </c>
      <c r="N2" s="381">
        <v>43282</v>
      </c>
      <c r="O2" s="381">
        <v>43374</v>
      </c>
      <c r="P2" s="381">
        <v>43466</v>
      </c>
      <c r="Q2" s="381">
        <v>43556</v>
      </c>
      <c r="R2" s="381">
        <v>43647</v>
      </c>
      <c r="S2" s="381">
        <v>43739</v>
      </c>
      <c r="T2" s="381">
        <v>43831</v>
      </c>
      <c r="U2" s="381" t="s">
        <v>273</v>
      </c>
      <c r="W2" s="300"/>
      <c r="X2" s="300"/>
      <c r="Y2" s="243">
        <v>42552</v>
      </c>
      <c r="Z2" s="243">
        <v>42644</v>
      </c>
      <c r="AA2" s="243">
        <v>42736</v>
      </c>
      <c r="AB2" s="243">
        <v>42826</v>
      </c>
      <c r="AC2" s="243">
        <v>42917</v>
      </c>
      <c r="AD2" s="243">
        <v>43009</v>
      </c>
      <c r="AE2" s="243">
        <v>43101</v>
      </c>
      <c r="AF2" s="243">
        <v>43191</v>
      </c>
      <c r="AG2" s="243">
        <v>43282</v>
      </c>
      <c r="AH2" s="243">
        <v>43374</v>
      </c>
      <c r="AI2" s="243">
        <v>43466</v>
      </c>
      <c r="AJ2" s="243">
        <v>43556</v>
      </c>
      <c r="AK2" s="243">
        <v>43647</v>
      </c>
      <c r="AL2" s="243">
        <v>43739</v>
      </c>
      <c r="AM2" s="243">
        <v>43831</v>
      </c>
      <c r="AN2" s="243">
        <v>43922</v>
      </c>
      <c r="AO2" s="243">
        <v>42552</v>
      </c>
      <c r="AP2" s="243">
        <v>42644</v>
      </c>
      <c r="AQ2" s="243">
        <v>42736</v>
      </c>
      <c r="AR2" s="243">
        <v>42826</v>
      </c>
      <c r="AS2" s="243">
        <v>42917</v>
      </c>
      <c r="AT2" s="243">
        <v>43009</v>
      </c>
      <c r="AU2" s="243">
        <v>43101</v>
      </c>
      <c r="AV2" s="243">
        <v>43191</v>
      </c>
      <c r="AW2" s="243">
        <v>43282</v>
      </c>
      <c r="AX2" s="243">
        <v>43374</v>
      </c>
      <c r="AY2" s="243">
        <v>43466</v>
      </c>
      <c r="AZ2" s="243">
        <v>43556</v>
      </c>
      <c r="BA2" s="243">
        <v>43647</v>
      </c>
      <c r="BB2" s="243">
        <v>43739</v>
      </c>
      <c r="BC2" s="243">
        <v>43831</v>
      </c>
      <c r="BD2" s="243">
        <v>43922</v>
      </c>
      <c r="BE2" t="s">
        <v>218</v>
      </c>
    </row>
    <row r="3" spans="1:57" x14ac:dyDescent="0.25">
      <c r="A3" s="300" t="s">
        <v>144</v>
      </c>
      <c r="C3" s="300"/>
      <c r="E3" t="s">
        <v>167</v>
      </c>
      <c r="F3" t="s">
        <v>165</v>
      </c>
      <c r="G3" t="s">
        <v>169</v>
      </c>
      <c r="H3" s="317" t="s">
        <v>170</v>
      </c>
      <c r="I3" t="s">
        <v>171</v>
      </c>
      <c r="J3" t="s">
        <v>172</v>
      </c>
      <c r="K3" s="346" t="s">
        <v>173</v>
      </c>
      <c r="L3" t="s">
        <v>174</v>
      </c>
      <c r="M3" t="s">
        <v>175</v>
      </c>
      <c r="N3" t="s">
        <v>176</v>
      </c>
      <c r="O3" t="s">
        <v>177</v>
      </c>
      <c r="P3" t="s">
        <v>178</v>
      </c>
      <c r="Q3" t="s">
        <v>179</v>
      </c>
      <c r="R3" t="s">
        <v>180</v>
      </c>
      <c r="S3" t="s">
        <v>181</v>
      </c>
      <c r="T3" t="s">
        <v>183</v>
      </c>
      <c r="U3" s="363" t="s">
        <v>276</v>
      </c>
      <c r="W3" s="300"/>
      <c r="X3" s="300"/>
      <c r="Y3" s="241" t="s">
        <v>165</v>
      </c>
      <c r="Z3" s="241" t="s">
        <v>169</v>
      </c>
      <c r="AA3" s="241" t="s">
        <v>170</v>
      </c>
      <c r="AB3" s="241" t="s">
        <v>171</v>
      </c>
      <c r="AC3" s="241" t="s">
        <v>172</v>
      </c>
      <c r="AD3" s="241" t="s">
        <v>173</v>
      </c>
      <c r="AE3" s="241" t="s">
        <v>174</v>
      </c>
      <c r="AF3" s="241" t="s">
        <v>175</v>
      </c>
      <c r="AG3" s="241" t="s">
        <v>176</v>
      </c>
      <c r="AH3" s="241" t="s">
        <v>177</v>
      </c>
      <c r="AI3" s="241" t="s">
        <v>178</v>
      </c>
      <c r="AJ3" s="241" t="s">
        <v>179</v>
      </c>
      <c r="AK3" s="241" t="s">
        <v>180</v>
      </c>
      <c r="AL3" s="241" t="s">
        <v>181</v>
      </c>
      <c r="AM3" s="241" t="s">
        <v>183</v>
      </c>
      <c r="AN3" s="362">
        <v>16</v>
      </c>
      <c r="AO3" s="383" t="s">
        <v>165</v>
      </c>
      <c r="AP3" s="383" t="s">
        <v>169</v>
      </c>
      <c r="AQ3" s="383" t="s">
        <v>170</v>
      </c>
      <c r="AR3" s="383" t="s">
        <v>171</v>
      </c>
      <c r="AS3" s="383" t="s">
        <v>172</v>
      </c>
      <c r="AT3" s="383" t="s">
        <v>173</v>
      </c>
      <c r="AU3" s="383" t="s">
        <v>174</v>
      </c>
      <c r="AV3" s="383" t="s">
        <v>175</v>
      </c>
      <c r="AW3" s="383" t="s">
        <v>176</v>
      </c>
      <c r="AX3" s="383" t="s">
        <v>177</v>
      </c>
      <c r="AY3" s="383" t="s">
        <v>178</v>
      </c>
      <c r="AZ3" s="383" t="s">
        <v>179</v>
      </c>
      <c r="BA3" s="383" t="s">
        <v>180</v>
      </c>
      <c r="BB3" s="383" t="s">
        <v>181</v>
      </c>
      <c r="BC3" s="383" t="s">
        <v>183</v>
      </c>
      <c r="BD3" s="384" t="s">
        <v>276</v>
      </c>
    </row>
    <row r="4" spans="1:57" ht="14.45" customHeight="1" x14ac:dyDescent="0.25">
      <c r="A4" t="s">
        <v>145</v>
      </c>
      <c r="B4" s="248"/>
      <c r="C4" s="250"/>
      <c r="D4" s="374">
        <v>7593016.0899999999</v>
      </c>
      <c r="E4" s="250" t="s">
        <v>216</v>
      </c>
      <c r="F4" s="353"/>
      <c r="G4" s="353"/>
      <c r="H4" s="353"/>
      <c r="I4" s="354">
        <v>0</v>
      </c>
      <c r="J4" s="354">
        <v>9.5563139931740607E-2</v>
      </c>
      <c r="K4" s="354">
        <v>8.191126279863481E-2</v>
      </c>
      <c r="L4" s="369">
        <v>7.5085324232081904E-2</v>
      </c>
      <c r="M4" s="354">
        <v>6.8259385665528999E-2</v>
      </c>
      <c r="N4" s="354">
        <v>3.4129692832764501E-3</v>
      </c>
      <c r="O4" s="354">
        <v>9.556313993174062E-2</v>
      </c>
      <c r="P4" s="354">
        <v>9.556313993174062E-2</v>
      </c>
      <c r="Q4" s="354">
        <v>0.10238907849829353</v>
      </c>
      <c r="R4" s="354">
        <v>9.556313993174062E-2</v>
      </c>
      <c r="S4" s="354">
        <v>9.556313993174062E-2</v>
      </c>
      <c r="T4" s="347">
        <v>0.19112627986348124</v>
      </c>
      <c r="U4" s="347"/>
      <c r="V4" s="351">
        <f>SUM(F4:U4)</f>
        <v>1</v>
      </c>
      <c r="W4" s="300"/>
      <c r="X4" s="300"/>
      <c r="Y4" s="244">
        <f t="shared" ref="Y4:Y57" si="0">F4*$D4</f>
        <v>0</v>
      </c>
      <c r="Z4" s="244">
        <f t="shared" ref="Z4:Z57" si="1">G4*$D4</f>
        <v>0</v>
      </c>
      <c r="AA4" s="305">
        <f t="shared" ref="AA4:AA57" si="2">H4*$D4</f>
        <v>0</v>
      </c>
      <c r="AB4" s="305">
        <f t="shared" ref="AB4:AB57" si="3">I4*$D4</f>
        <v>0</v>
      </c>
      <c r="AC4" s="305">
        <f>J4*$D4</f>
        <v>725612.4591126279</v>
      </c>
      <c r="AD4" s="305">
        <f>K4*$D4</f>
        <v>621953.53638225258</v>
      </c>
      <c r="AE4" s="344">
        <f t="shared" ref="AE4:AE5" si="4">L4*$D4</f>
        <v>570124.07501706481</v>
      </c>
      <c r="AF4" s="305">
        <f t="shared" ref="AF4:AF5" si="5">M4*$D4</f>
        <v>518294.61365187704</v>
      </c>
      <c r="AG4" s="305">
        <f t="shared" ref="AG4" si="6">N4*$D4</f>
        <v>25914.730682593854</v>
      </c>
      <c r="AH4" s="305">
        <f t="shared" ref="AH4" si="7">O4*$D4</f>
        <v>725612.45911262801</v>
      </c>
      <c r="AI4" s="305">
        <f t="shared" ref="AI4:AI57" si="8">P4*$D4</f>
        <v>725612.45911262801</v>
      </c>
      <c r="AJ4" s="305">
        <f t="shared" ref="AJ4:AJ57" si="9">Q4*$D4</f>
        <v>777441.92047781579</v>
      </c>
      <c r="AK4" s="305">
        <f t="shared" ref="AK4:AK57" si="10">R4*$D4</f>
        <v>725612.45911262801</v>
      </c>
      <c r="AL4" s="305">
        <f t="shared" ref="AL4:AL57" si="11">S4*$D4</f>
        <v>725612.45911262801</v>
      </c>
      <c r="AM4" s="244">
        <f t="shared" ref="AM4:AN57" si="12">T4*$D4</f>
        <v>1451224.918225256</v>
      </c>
      <c r="AN4" s="305">
        <f t="shared" si="12"/>
        <v>0</v>
      </c>
      <c r="AO4" s="244">
        <f t="shared" ref="AO4:BD27" si="13">IF(AO$3=$E4,$D4,0)</f>
        <v>0</v>
      </c>
      <c r="AP4" s="244">
        <f t="shared" si="13"/>
        <v>0</v>
      </c>
      <c r="AQ4" s="244">
        <f t="shared" si="13"/>
        <v>0</v>
      </c>
      <c r="AR4" s="244">
        <f t="shared" si="13"/>
        <v>7593016.0899999999</v>
      </c>
      <c r="AS4" s="244">
        <f t="shared" si="13"/>
        <v>0</v>
      </c>
      <c r="AT4" s="244">
        <f t="shared" si="13"/>
        <v>0</v>
      </c>
      <c r="AU4" s="244">
        <f t="shared" si="13"/>
        <v>0</v>
      </c>
      <c r="AV4" s="244">
        <f t="shared" si="13"/>
        <v>0</v>
      </c>
      <c r="AW4" s="244">
        <f t="shared" si="13"/>
        <v>0</v>
      </c>
      <c r="AX4" s="244">
        <f t="shared" si="13"/>
        <v>0</v>
      </c>
      <c r="AY4" s="244">
        <f t="shared" si="13"/>
        <v>0</v>
      </c>
      <c r="AZ4" s="244">
        <f t="shared" si="13"/>
        <v>0</v>
      </c>
      <c r="BA4" s="244">
        <f t="shared" si="13"/>
        <v>0</v>
      </c>
      <c r="BB4" s="244">
        <f t="shared" si="13"/>
        <v>0</v>
      </c>
      <c r="BC4" s="244">
        <f t="shared" si="13"/>
        <v>0</v>
      </c>
      <c r="BD4" s="305">
        <f t="shared" si="13"/>
        <v>0</v>
      </c>
      <c r="BE4" s="237">
        <f>SUM(Y4:AN4)-SUM(AO4:BD4)</f>
        <v>0</v>
      </c>
    </row>
    <row r="5" spans="1:57" ht="14.45" customHeight="1" x14ac:dyDescent="0.25">
      <c r="A5" t="s">
        <v>145</v>
      </c>
      <c r="B5" s="248"/>
      <c r="C5" s="250"/>
      <c r="D5" s="374">
        <v>200000</v>
      </c>
      <c r="E5" s="250" t="s">
        <v>238</v>
      </c>
      <c r="F5" s="355"/>
      <c r="G5" s="355"/>
      <c r="H5" s="355"/>
      <c r="I5" s="337"/>
      <c r="J5" s="337"/>
      <c r="K5" s="338">
        <v>0</v>
      </c>
      <c r="L5" s="338">
        <v>0</v>
      </c>
      <c r="M5" s="338">
        <v>1</v>
      </c>
      <c r="N5" s="338">
        <v>0</v>
      </c>
      <c r="O5" s="338">
        <v>0</v>
      </c>
      <c r="P5" s="337"/>
      <c r="Q5" s="337"/>
      <c r="R5" s="337"/>
      <c r="S5" s="337"/>
      <c r="T5" s="337"/>
      <c r="U5" s="337"/>
      <c r="V5" s="351">
        <f t="shared" ref="V5:V57" si="14">SUM(F5:U5)</f>
        <v>1</v>
      </c>
      <c r="W5" s="300"/>
      <c r="X5" s="300"/>
      <c r="Y5" s="244">
        <f t="shared" si="0"/>
        <v>0</v>
      </c>
      <c r="Z5" s="244">
        <f t="shared" si="1"/>
        <v>0</v>
      </c>
      <c r="AA5" s="305">
        <f t="shared" si="2"/>
        <v>0</v>
      </c>
      <c r="AB5" s="305">
        <f t="shared" si="3"/>
        <v>0</v>
      </c>
      <c r="AC5" s="305">
        <f>J5*$D5</f>
        <v>0</v>
      </c>
      <c r="AD5" s="305">
        <v>0</v>
      </c>
      <c r="AE5" s="305">
        <f t="shared" si="4"/>
        <v>0</v>
      </c>
      <c r="AF5" s="305">
        <f t="shared" si="5"/>
        <v>200000</v>
      </c>
      <c r="AG5" s="305">
        <f t="shared" ref="AG5:AG57" si="15">N5*$D5</f>
        <v>0</v>
      </c>
      <c r="AH5" s="305">
        <f t="shared" ref="AH5:AH57" si="16">O5*$D5</f>
        <v>0</v>
      </c>
      <c r="AI5" s="305">
        <f t="shared" si="8"/>
        <v>0</v>
      </c>
      <c r="AJ5" s="305">
        <f t="shared" si="9"/>
        <v>0</v>
      </c>
      <c r="AK5" s="305">
        <f t="shared" si="10"/>
        <v>0</v>
      </c>
      <c r="AL5" s="305">
        <f t="shared" si="11"/>
        <v>0</v>
      </c>
      <c r="AM5" s="244">
        <f t="shared" si="12"/>
        <v>0</v>
      </c>
      <c r="AN5" s="305">
        <f t="shared" si="12"/>
        <v>0</v>
      </c>
      <c r="AO5" s="244">
        <f t="shared" si="13"/>
        <v>0</v>
      </c>
      <c r="AP5" s="244">
        <f t="shared" si="13"/>
        <v>0</v>
      </c>
      <c r="AQ5" s="244">
        <f t="shared" si="13"/>
        <v>0</v>
      </c>
      <c r="AR5" s="244">
        <f t="shared" si="13"/>
        <v>0</v>
      </c>
      <c r="AS5" s="244">
        <f t="shared" si="13"/>
        <v>0</v>
      </c>
      <c r="AT5" s="244">
        <f t="shared" si="13"/>
        <v>0</v>
      </c>
      <c r="AU5" s="244">
        <f t="shared" si="13"/>
        <v>0</v>
      </c>
      <c r="AV5" s="244">
        <f t="shared" si="13"/>
        <v>200000</v>
      </c>
      <c r="AW5" s="244">
        <f t="shared" si="13"/>
        <v>0</v>
      </c>
      <c r="AX5" s="244">
        <f t="shared" si="13"/>
        <v>0</v>
      </c>
      <c r="AY5" s="244">
        <f t="shared" si="13"/>
        <v>0</v>
      </c>
      <c r="AZ5" s="244">
        <f t="shared" si="13"/>
        <v>0</v>
      </c>
      <c r="BA5" s="244">
        <f t="shared" si="13"/>
        <v>0</v>
      </c>
      <c r="BB5" s="244">
        <f t="shared" si="13"/>
        <v>0</v>
      </c>
      <c r="BC5" s="244">
        <f t="shared" si="13"/>
        <v>0</v>
      </c>
      <c r="BD5" s="305">
        <f t="shared" si="13"/>
        <v>0</v>
      </c>
      <c r="BE5" s="304">
        <f t="shared" ref="BE5:BE79" si="17">SUM(Y5:AN5)-SUM(AO5:BD5)</f>
        <v>0</v>
      </c>
    </row>
    <row r="6" spans="1:57" s="300" customFormat="1" ht="14.45" customHeight="1" x14ac:dyDescent="0.25">
      <c r="A6" s="300" t="s">
        <v>145</v>
      </c>
      <c r="B6" s="248"/>
      <c r="D6" s="374">
        <v>200000</v>
      </c>
      <c r="E6" s="250" t="s">
        <v>266</v>
      </c>
      <c r="F6" s="355"/>
      <c r="G6" s="355"/>
      <c r="H6" s="355"/>
      <c r="I6" s="337"/>
      <c r="J6" s="337"/>
      <c r="K6" s="337"/>
      <c r="L6" s="338">
        <v>0</v>
      </c>
      <c r="M6" s="338">
        <v>0</v>
      </c>
      <c r="N6" s="338">
        <v>1</v>
      </c>
      <c r="O6" s="338">
        <v>0</v>
      </c>
      <c r="P6" s="337"/>
      <c r="Q6" s="337"/>
      <c r="R6" s="337"/>
      <c r="S6" s="337"/>
      <c r="T6" s="337"/>
      <c r="U6" s="337"/>
      <c r="V6" s="351">
        <f t="shared" si="14"/>
        <v>1</v>
      </c>
      <c r="Y6" s="305">
        <f t="shared" ref="Y6" si="18">F6*$D6</f>
        <v>0</v>
      </c>
      <c r="Z6" s="305">
        <f t="shared" ref="Z6" si="19">G6*$D6</f>
        <v>0</v>
      </c>
      <c r="AA6" s="305">
        <f t="shared" ref="AA6" si="20">H6*$D6</f>
        <v>0</v>
      </c>
      <c r="AB6" s="305">
        <f t="shared" ref="AB6" si="21">I6*$D6</f>
        <v>0</v>
      </c>
      <c r="AC6" s="305">
        <f t="shared" ref="AC6" si="22">J6*$D6</f>
        <v>0</v>
      </c>
      <c r="AD6" s="305">
        <f t="shared" ref="AD6" si="23">K6*$D6</f>
        <v>0</v>
      </c>
      <c r="AE6" s="305">
        <f t="shared" ref="AE6" si="24">L6*$D6</f>
        <v>0</v>
      </c>
      <c r="AF6" s="305">
        <f t="shared" ref="AF6" si="25">M6*$D6</f>
        <v>0</v>
      </c>
      <c r="AG6" s="305">
        <f t="shared" ref="AG6" si="26">N6*$D6</f>
        <v>200000</v>
      </c>
      <c r="AH6" s="305">
        <f t="shared" ref="AH6" si="27">O6*$D6</f>
        <v>0</v>
      </c>
      <c r="AI6" s="305">
        <f t="shared" ref="AI6" si="28">P6*$D6</f>
        <v>0</v>
      </c>
      <c r="AJ6" s="305">
        <f t="shared" ref="AJ6" si="29">Q6*$D6</f>
        <v>0</v>
      </c>
      <c r="AK6" s="305">
        <f t="shared" ref="AK6" si="30">R6*$D6</f>
        <v>0</v>
      </c>
      <c r="AL6" s="305">
        <f t="shared" ref="AL6" si="31">S6*$D6</f>
        <v>0</v>
      </c>
      <c r="AM6" s="305">
        <f t="shared" ref="AM6:AN6" si="32">T6*$D6</f>
        <v>0</v>
      </c>
      <c r="AN6" s="305">
        <f t="shared" si="32"/>
        <v>0</v>
      </c>
      <c r="AO6" s="305">
        <f t="shared" ref="AO6:BD6" si="33">IF(AO$3=$E6,$D6,0)</f>
        <v>0</v>
      </c>
      <c r="AP6" s="305">
        <f t="shared" si="33"/>
        <v>0</v>
      </c>
      <c r="AQ6" s="305">
        <f t="shared" si="33"/>
        <v>0</v>
      </c>
      <c r="AR6" s="305">
        <f t="shared" si="33"/>
        <v>0</v>
      </c>
      <c r="AS6" s="305">
        <f t="shared" si="33"/>
        <v>0</v>
      </c>
      <c r="AT6" s="305">
        <f t="shared" si="33"/>
        <v>0</v>
      </c>
      <c r="AU6" s="305">
        <f t="shared" si="33"/>
        <v>0</v>
      </c>
      <c r="AV6" s="305">
        <f t="shared" si="33"/>
        <v>0</v>
      </c>
      <c r="AW6" s="305">
        <f t="shared" si="33"/>
        <v>200000</v>
      </c>
      <c r="AX6" s="305">
        <f t="shared" si="33"/>
        <v>0</v>
      </c>
      <c r="AY6" s="305">
        <f t="shared" si="33"/>
        <v>0</v>
      </c>
      <c r="AZ6" s="305">
        <f t="shared" si="33"/>
        <v>0</v>
      </c>
      <c r="BA6" s="305">
        <f t="shared" si="33"/>
        <v>0</v>
      </c>
      <c r="BB6" s="305">
        <f t="shared" si="33"/>
        <v>0</v>
      </c>
      <c r="BC6" s="305">
        <f t="shared" si="33"/>
        <v>0</v>
      </c>
      <c r="BD6" s="305">
        <f t="shared" si="33"/>
        <v>0</v>
      </c>
      <c r="BE6" s="304">
        <f t="shared" si="17"/>
        <v>0</v>
      </c>
    </row>
    <row r="7" spans="1:57" ht="14.45" customHeight="1" x14ac:dyDescent="0.25">
      <c r="A7" t="s">
        <v>146</v>
      </c>
      <c r="B7" s="248"/>
      <c r="D7" s="374">
        <v>4000000</v>
      </c>
      <c r="E7" s="250" t="s">
        <v>198</v>
      </c>
      <c r="F7" s="353"/>
      <c r="G7" s="353"/>
      <c r="H7" s="353"/>
      <c r="I7" s="354"/>
      <c r="J7" s="354"/>
      <c r="K7" s="354"/>
      <c r="L7" s="354">
        <v>0</v>
      </c>
      <c r="M7" s="354">
        <v>0.125</v>
      </c>
      <c r="N7" s="354">
        <v>0.125</v>
      </c>
      <c r="O7" s="354">
        <v>0.125</v>
      </c>
      <c r="P7" s="354">
        <v>0.125</v>
      </c>
      <c r="Q7" s="354">
        <v>0.125</v>
      </c>
      <c r="R7" s="354">
        <v>0.125</v>
      </c>
      <c r="S7" s="354">
        <v>0.125</v>
      </c>
      <c r="T7" s="347">
        <f>(SUM(I7:S7)-1)*(-1)</f>
        <v>0.125</v>
      </c>
      <c r="U7" s="347"/>
      <c r="V7" s="351">
        <f t="shared" si="14"/>
        <v>1</v>
      </c>
      <c r="W7" s="300"/>
      <c r="X7" s="300"/>
      <c r="Y7" s="244">
        <f t="shared" si="0"/>
        <v>0</v>
      </c>
      <c r="Z7" s="244">
        <f t="shared" si="1"/>
        <v>0</v>
      </c>
      <c r="AA7" s="305">
        <f t="shared" si="2"/>
        <v>0</v>
      </c>
      <c r="AB7" s="305">
        <f t="shared" si="3"/>
        <v>0</v>
      </c>
      <c r="AC7" s="305">
        <f>J7*$D7</f>
        <v>0</v>
      </c>
      <c r="AD7" s="305">
        <f t="shared" ref="AD7:AD57" si="34">K7*$D7</f>
        <v>0</v>
      </c>
      <c r="AE7" s="305">
        <f t="shared" ref="AE7:AE57" si="35">L7*$D7</f>
        <v>0</v>
      </c>
      <c r="AF7" s="305">
        <f t="shared" ref="AF7:AF57" si="36">M7*$D7</f>
        <v>500000</v>
      </c>
      <c r="AG7" s="305">
        <f t="shared" si="15"/>
        <v>500000</v>
      </c>
      <c r="AH7" s="305">
        <f t="shared" si="16"/>
        <v>500000</v>
      </c>
      <c r="AI7" s="305">
        <f t="shared" si="8"/>
        <v>500000</v>
      </c>
      <c r="AJ7" s="305">
        <f t="shared" si="9"/>
        <v>500000</v>
      </c>
      <c r="AK7" s="305">
        <f t="shared" si="10"/>
        <v>500000</v>
      </c>
      <c r="AL7" s="305">
        <f t="shared" si="11"/>
        <v>500000</v>
      </c>
      <c r="AM7" s="244">
        <f t="shared" si="12"/>
        <v>500000</v>
      </c>
      <c r="AN7" s="305">
        <f t="shared" si="12"/>
        <v>0</v>
      </c>
      <c r="AO7" s="244">
        <f t="shared" si="13"/>
        <v>0</v>
      </c>
      <c r="AP7" s="244">
        <f t="shared" si="13"/>
        <v>0</v>
      </c>
      <c r="AQ7" s="244">
        <f t="shared" si="13"/>
        <v>0</v>
      </c>
      <c r="AR7" s="244">
        <f t="shared" si="13"/>
        <v>0</v>
      </c>
      <c r="AS7" s="244">
        <f t="shared" si="13"/>
        <v>0</v>
      </c>
      <c r="AT7" s="244">
        <f t="shared" si="13"/>
        <v>0</v>
      </c>
      <c r="AU7" s="244">
        <f t="shared" si="13"/>
        <v>4000000</v>
      </c>
      <c r="AV7" s="244">
        <f t="shared" si="13"/>
        <v>0</v>
      </c>
      <c r="AW7" s="244">
        <f t="shared" si="13"/>
        <v>0</v>
      </c>
      <c r="AX7" s="244">
        <f t="shared" si="13"/>
        <v>0</v>
      </c>
      <c r="AY7" s="244">
        <f t="shared" si="13"/>
        <v>0</v>
      </c>
      <c r="AZ7" s="244">
        <f t="shared" si="13"/>
        <v>0</v>
      </c>
      <c r="BA7" s="244">
        <f t="shared" si="13"/>
        <v>0</v>
      </c>
      <c r="BB7" s="244">
        <f t="shared" si="13"/>
        <v>0</v>
      </c>
      <c r="BC7" s="244">
        <f t="shared" si="13"/>
        <v>0</v>
      </c>
      <c r="BD7" s="305">
        <f t="shared" si="13"/>
        <v>0</v>
      </c>
      <c r="BE7" s="304">
        <f t="shared" si="17"/>
        <v>0</v>
      </c>
    </row>
    <row r="8" spans="1:57" s="300" customFormat="1" ht="14.45" customHeight="1" x14ac:dyDescent="0.25">
      <c r="A8" s="300" t="s">
        <v>147</v>
      </c>
      <c r="B8" s="248"/>
      <c r="D8" s="374">
        <v>6000</v>
      </c>
      <c r="E8" s="250" t="s">
        <v>238</v>
      </c>
      <c r="F8" s="353"/>
      <c r="G8" s="353"/>
      <c r="H8" s="353"/>
      <c r="I8" s="354"/>
      <c r="J8" s="354">
        <v>0</v>
      </c>
      <c r="K8" s="354">
        <v>0</v>
      </c>
      <c r="L8" s="354">
        <v>0</v>
      </c>
      <c r="M8" s="354">
        <v>1</v>
      </c>
      <c r="N8" s="354"/>
      <c r="O8" s="354"/>
      <c r="P8" s="354"/>
      <c r="Q8" s="354"/>
      <c r="R8" s="354"/>
      <c r="S8" s="354"/>
      <c r="T8" s="338"/>
      <c r="U8" s="338"/>
      <c r="V8" s="351">
        <f t="shared" si="14"/>
        <v>1</v>
      </c>
      <c r="Y8" s="305">
        <f t="shared" ref="Y8" si="37">F8*$D8</f>
        <v>0</v>
      </c>
      <c r="Z8" s="305">
        <f t="shared" ref="Z8" si="38">G8*$D8</f>
        <v>0</v>
      </c>
      <c r="AA8" s="305">
        <f t="shared" ref="AA8" si="39">H8*$D8</f>
        <v>0</v>
      </c>
      <c r="AB8" s="305">
        <f t="shared" ref="AB8" si="40">I8*$D8</f>
        <v>0</v>
      </c>
      <c r="AC8" s="305">
        <f t="shared" ref="AC8" si="41">J8*$D8</f>
        <v>0</v>
      </c>
      <c r="AD8" s="305">
        <f t="shared" ref="AD8" si="42">K8*$D8</f>
        <v>0</v>
      </c>
      <c r="AE8" s="305">
        <f t="shared" ref="AE8" si="43">L8*$D8</f>
        <v>0</v>
      </c>
      <c r="AF8" s="305">
        <f t="shared" ref="AF8" si="44">M8*$D8</f>
        <v>6000</v>
      </c>
      <c r="AG8" s="305">
        <f t="shared" ref="AG8" si="45">N8*$D8</f>
        <v>0</v>
      </c>
      <c r="AH8" s="305">
        <f t="shared" ref="AH8" si="46">O8*$D8</f>
        <v>0</v>
      </c>
      <c r="AI8" s="305">
        <f t="shared" ref="AI8" si="47">P8*$D8</f>
        <v>0</v>
      </c>
      <c r="AJ8" s="305">
        <f t="shared" ref="AJ8" si="48">Q8*$D8</f>
        <v>0</v>
      </c>
      <c r="AK8" s="305">
        <f t="shared" ref="AK8" si="49">R8*$D8</f>
        <v>0</v>
      </c>
      <c r="AL8" s="305">
        <f t="shared" ref="AL8" si="50">S8*$D8</f>
        <v>0</v>
      </c>
      <c r="AM8" s="305">
        <f t="shared" ref="AM8:AN8" si="51">T8*$D8</f>
        <v>0</v>
      </c>
      <c r="AN8" s="305">
        <f t="shared" si="51"/>
        <v>0</v>
      </c>
      <c r="AO8" s="305">
        <f t="shared" si="13"/>
        <v>0</v>
      </c>
      <c r="AP8" s="305">
        <f t="shared" si="13"/>
        <v>0</v>
      </c>
      <c r="AQ8" s="305">
        <f t="shared" si="13"/>
        <v>0</v>
      </c>
      <c r="AR8" s="305">
        <f t="shared" si="13"/>
        <v>0</v>
      </c>
      <c r="AS8" s="305">
        <v>0</v>
      </c>
      <c r="AT8" s="305">
        <v>0</v>
      </c>
      <c r="AU8" s="305">
        <f t="shared" si="13"/>
        <v>0</v>
      </c>
      <c r="AV8" s="305">
        <v>6000</v>
      </c>
      <c r="AW8" s="305">
        <f t="shared" si="13"/>
        <v>0</v>
      </c>
      <c r="AX8" s="305">
        <f t="shared" si="13"/>
        <v>0</v>
      </c>
      <c r="AY8" s="305">
        <f t="shared" si="13"/>
        <v>0</v>
      </c>
      <c r="AZ8" s="305">
        <f t="shared" si="13"/>
        <v>0</v>
      </c>
      <c r="BA8" s="305">
        <f t="shared" si="13"/>
        <v>0</v>
      </c>
      <c r="BB8" s="305">
        <f t="shared" si="13"/>
        <v>0</v>
      </c>
      <c r="BC8" s="305">
        <f t="shared" si="13"/>
        <v>0</v>
      </c>
      <c r="BD8" s="305">
        <f t="shared" si="13"/>
        <v>0</v>
      </c>
      <c r="BE8" s="304">
        <f t="shared" si="17"/>
        <v>0</v>
      </c>
    </row>
    <row r="9" spans="1:57" ht="14.45" customHeight="1" x14ac:dyDescent="0.25">
      <c r="A9" s="300" t="s">
        <v>148</v>
      </c>
      <c r="B9" s="248"/>
      <c r="C9" s="250"/>
      <c r="D9" s="374">
        <v>2329506.84</v>
      </c>
      <c r="E9" s="250" t="s">
        <v>186</v>
      </c>
      <c r="F9" s="355"/>
      <c r="G9" s="355"/>
      <c r="H9" s="355"/>
      <c r="I9" s="337"/>
      <c r="J9" s="337"/>
      <c r="K9" s="338">
        <v>0</v>
      </c>
      <c r="L9" s="370">
        <v>5.9999999828289845E-2</v>
      </c>
      <c r="M9" s="338">
        <v>0.12000000824208785</v>
      </c>
      <c r="N9" s="338">
        <v>0.1</v>
      </c>
      <c r="O9" s="338">
        <v>0.1</v>
      </c>
      <c r="P9" s="338">
        <v>0.1</v>
      </c>
      <c r="Q9" s="338">
        <v>0.1</v>
      </c>
      <c r="R9" s="338">
        <v>0.1</v>
      </c>
      <c r="S9" s="338">
        <v>0.1</v>
      </c>
      <c r="T9" s="347">
        <f>(SUM(I9:S9)-1)*(-1)</f>
        <v>0.21999999192962238</v>
      </c>
      <c r="U9" s="338"/>
      <c r="V9" s="351">
        <f t="shared" si="14"/>
        <v>1</v>
      </c>
      <c r="W9" s="300"/>
      <c r="X9" s="300"/>
      <c r="Y9" s="244">
        <f t="shared" si="0"/>
        <v>0</v>
      </c>
      <c r="Z9" s="244">
        <f t="shared" si="1"/>
        <v>0</v>
      </c>
      <c r="AA9" s="305">
        <f t="shared" si="2"/>
        <v>0</v>
      </c>
      <c r="AB9" s="305">
        <f t="shared" si="3"/>
        <v>0</v>
      </c>
      <c r="AC9" s="305">
        <f>J9*$D9</f>
        <v>0</v>
      </c>
      <c r="AD9" s="305">
        <f t="shared" si="34"/>
        <v>0</v>
      </c>
      <c r="AE9" s="305">
        <f t="shared" si="35"/>
        <v>139770.41</v>
      </c>
      <c r="AF9" s="305">
        <f t="shared" si="36"/>
        <v>279540.84000000003</v>
      </c>
      <c r="AG9" s="305">
        <f t="shared" si="15"/>
        <v>232950.68400000001</v>
      </c>
      <c r="AH9" s="305">
        <f t="shared" si="16"/>
        <v>232950.68400000001</v>
      </c>
      <c r="AI9" s="305">
        <f t="shared" si="8"/>
        <v>232950.68400000001</v>
      </c>
      <c r="AJ9" s="305">
        <f t="shared" si="9"/>
        <v>232950.68400000001</v>
      </c>
      <c r="AK9" s="305">
        <f t="shared" si="10"/>
        <v>232950.68400000001</v>
      </c>
      <c r="AL9" s="305">
        <f t="shared" si="11"/>
        <v>232950.68400000001</v>
      </c>
      <c r="AM9" s="244">
        <f t="shared" si="12"/>
        <v>512491.48600000009</v>
      </c>
      <c r="AN9" s="305">
        <f t="shared" si="12"/>
        <v>0</v>
      </c>
      <c r="AO9" s="244">
        <f t="shared" si="13"/>
        <v>0</v>
      </c>
      <c r="AP9" s="244">
        <f t="shared" si="13"/>
        <v>0</v>
      </c>
      <c r="AQ9" s="244">
        <f t="shared" si="13"/>
        <v>0</v>
      </c>
      <c r="AR9" s="244">
        <f t="shared" si="13"/>
        <v>0</v>
      </c>
      <c r="AS9" s="244">
        <f t="shared" si="13"/>
        <v>0</v>
      </c>
      <c r="AT9" s="244">
        <f t="shared" si="13"/>
        <v>2329506.84</v>
      </c>
      <c r="AU9" s="244">
        <f t="shared" si="13"/>
        <v>0</v>
      </c>
      <c r="AV9" s="244">
        <f t="shared" si="13"/>
        <v>0</v>
      </c>
      <c r="AW9" s="244">
        <f t="shared" si="13"/>
        <v>0</v>
      </c>
      <c r="AX9" s="244">
        <f t="shared" si="13"/>
        <v>0</v>
      </c>
      <c r="AY9" s="244">
        <f t="shared" si="13"/>
        <v>0</v>
      </c>
      <c r="AZ9" s="244">
        <f t="shared" si="13"/>
        <v>0</v>
      </c>
      <c r="BA9" s="244">
        <f t="shared" si="13"/>
        <v>0</v>
      </c>
      <c r="BB9" s="244">
        <f t="shared" si="13"/>
        <v>0</v>
      </c>
      <c r="BC9" s="244">
        <f t="shared" si="13"/>
        <v>0</v>
      </c>
      <c r="BD9" s="305">
        <f t="shared" si="13"/>
        <v>0</v>
      </c>
      <c r="BE9" s="304">
        <f t="shared" si="17"/>
        <v>0</v>
      </c>
    </row>
    <row r="10" spans="1:57" s="300" customFormat="1" ht="14.45" customHeight="1" x14ac:dyDescent="0.25">
      <c r="A10" s="300" t="s">
        <v>148</v>
      </c>
      <c r="B10" s="248"/>
      <c r="C10" s="250"/>
      <c r="D10" s="374">
        <v>158400</v>
      </c>
      <c r="E10" s="250" t="s">
        <v>238</v>
      </c>
      <c r="F10" s="355"/>
      <c r="G10" s="355"/>
      <c r="H10" s="355"/>
      <c r="I10" s="337"/>
      <c r="J10" s="337"/>
      <c r="K10" s="338">
        <v>0</v>
      </c>
      <c r="L10" s="370">
        <v>0</v>
      </c>
      <c r="M10" s="338">
        <v>0.25</v>
      </c>
      <c r="N10" s="338">
        <v>0.25</v>
      </c>
      <c r="O10" s="338">
        <v>0.25</v>
      </c>
      <c r="P10" s="338">
        <v>0.25</v>
      </c>
      <c r="Q10" s="338">
        <v>0</v>
      </c>
      <c r="R10" s="338">
        <v>0</v>
      </c>
      <c r="S10" s="338">
        <v>0</v>
      </c>
      <c r="T10" s="347">
        <v>0</v>
      </c>
      <c r="U10" s="338"/>
      <c r="V10" s="351">
        <f t="shared" ref="V10" si="52">SUM(F10:U10)</f>
        <v>1</v>
      </c>
      <c r="Y10" s="305">
        <f t="shared" ref="Y10" si="53">F10*$D10</f>
        <v>0</v>
      </c>
      <c r="Z10" s="305">
        <f t="shared" ref="Z10" si="54">G10*$D10</f>
        <v>0</v>
      </c>
      <c r="AA10" s="305">
        <f t="shared" ref="AA10" si="55">H10*$D10</f>
        <v>0</v>
      </c>
      <c r="AB10" s="305">
        <f t="shared" ref="AB10" si="56">I10*$D10</f>
        <v>0</v>
      </c>
      <c r="AC10" s="305">
        <f>J10*$D10</f>
        <v>0</v>
      </c>
      <c r="AD10" s="305">
        <f t="shared" ref="AD10" si="57">K10*$D10</f>
        <v>0</v>
      </c>
      <c r="AE10" s="305">
        <f t="shared" ref="AE10" si="58">L10*$D10</f>
        <v>0</v>
      </c>
      <c r="AF10" s="305">
        <f t="shared" ref="AF10" si="59">M10*$D10</f>
        <v>39600</v>
      </c>
      <c r="AG10" s="305">
        <f t="shared" ref="AG10" si="60">N10*$D10</f>
        <v>39600</v>
      </c>
      <c r="AH10" s="305">
        <f t="shared" ref="AH10" si="61">O10*$D10</f>
        <v>39600</v>
      </c>
      <c r="AI10" s="305">
        <f t="shared" ref="AI10" si="62">P10*$D10</f>
        <v>39600</v>
      </c>
      <c r="AJ10" s="305">
        <f t="shared" ref="AJ10" si="63">Q10*$D10</f>
        <v>0</v>
      </c>
      <c r="AK10" s="305">
        <f t="shared" ref="AK10" si="64">R10*$D10</f>
        <v>0</v>
      </c>
      <c r="AL10" s="305">
        <f t="shared" ref="AL10" si="65">S10*$D10</f>
        <v>0</v>
      </c>
      <c r="AM10" s="305">
        <f t="shared" ref="AM10" si="66">T10*$D10</f>
        <v>0</v>
      </c>
      <c r="AN10" s="305">
        <f t="shared" ref="AN10" si="67">U10*$D10</f>
        <v>0</v>
      </c>
      <c r="AO10" s="305">
        <f t="shared" ref="AO10:BD10" si="68">IF(AO$3=$E10,$D10,0)</f>
        <v>0</v>
      </c>
      <c r="AP10" s="305">
        <f t="shared" si="68"/>
        <v>0</v>
      </c>
      <c r="AQ10" s="305">
        <f t="shared" si="68"/>
        <v>0</v>
      </c>
      <c r="AR10" s="305">
        <f t="shared" si="68"/>
        <v>0</v>
      </c>
      <c r="AS10" s="305">
        <f t="shared" si="68"/>
        <v>0</v>
      </c>
      <c r="AT10" s="305">
        <f t="shared" si="68"/>
        <v>0</v>
      </c>
      <c r="AU10" s="305">
        <f t="shared" si="68"/>
        <v>0</v>
      </c>
      <c r="AV10" s="305">
        <f t="shared" si="68"/>
        <v>158400</v>
      </c>
      <c r="AW10" s="305">
        <f t="shared" si="68"/>
        <v>0</v>
      </c>
      <c r="AX10" s="305">
        <f t="shared" si="68"/>
        <v>0</v>
      </c>
      <c r="AY10" s="305">
        <f t="shared" si="68"/>
        <v>0</v>
      </c>
      <c r="AZ10" s="305">
        <f t="shared" si="68"/>
        <v>0</v>
      </c>
      <c r="BA10" s="305">
        <f t="shared" si="68"/>
        <v>0</v>
      </c>
      <c r="BB10" s="305">
        <f t="shared" si="68"/>
        <v>0</v>
      </c>
      <c r="BC10" s="305">
        <f t="shared" si="68"/>
        <v>0</v>
      </c>
      <c r="BD10" s="305">
        <f t="shared" si="68"/>
        <v>0</v>
      </c>
      <c r="BE10" s="304">
        <f t="shared" ref="BE10" si="69">SUM(Y10:AN10)-SUM(AO10:BD10)</f>
        <v>0</v>
      </c>
    </row>
    <row r="11" spans="1:57" s="300" customFormat="1" ht="14.45" customHeight="1" x14ac:dyDescent="0.25">
      <c r="A11" s="300" t="s">
        <v>148</v>
      </c>
      <c r="B11" s="248"/>
      <c r="C11" s="250"/>
      <c r="D11" s="374">
        <v>400000</v>
      </c>
      <c r="E11" s="250" t="s">
        <v>266</v>
      </c>
      <c r="F11" s="355"/>
      <c r="G11" s="355"/>
      <c r="H11" s="355"/>
      <c r="I11" s="337"/>
      <c r="J11" s="337"/>
      <c r="K11" s="338"/>
      <c r="L11" s="338"/>
      <c r="M11" s="338"/>
      <c r="N11" s="338">
        <v>0.25</v>
      </c>
      <c r="O11" s="338">
        <v>0.25</v>
      </c>
      <c r="P11" s="338">
        <v>0.25</v>
      </c>
      <c r="Q11" s="338">
        <v>0.25</v>
      </c>
      <c r="R11" s="338"/>
      <c r="S11" s="338"/>
      <c r="T11" s="338"/>
      <c r="U11" s="338"/>
      <c r="V11" s="351">
        <f t="shared" si="14"/>
        <v>1</v>
      </c>
      <c r="Y11" s="305">
        <f t="shared" ref="Y11" si="70">F11*$D11</f>
        <v>0</v>
      </c>
      <c r="Z11" s="305">
        <f t="shared" ref="Z11" si="71">G11*$D11</f>
        <v>0</v>
      </c>
      <c r="AA11" s="305">
        <f t="shared" ref="AA11" si="72">H11*$D11</f>
        <v>0</v>
      </c>
      <c r="AB11" s="305">
        <f t="shared" ref="AB11" si="73">I11*$D11</f>
        <v>0</v>
      </c>
      <c r="AC11" s="305">
        <f t="shared" ref="AC11" si="74">J11*$D11</f>
        <v>0</v>
      </c>
      <c r="AD11" s="305">
        <f t="shared" ref="AD11" si="75">K11*$D11</f>
        <v>0</v>
      </c>
      <c r="AE11" s="344">
        <f t="shared" ref="AE11" si="76">L11*$D11</f>
        <v>0</v>
      </c>
      <c r="AF11" s="305">
        <f t="shared" ref="AF11" si="77">M11*$D11</f>
        <v>0</v>
      </c>
      <c r="AG11" s="305">
        <f t="shared" ref="AG11" si="78">N11*$D11</f>
        <v>100000</v>
      </c>
      <c r="AH11" s="305">
        <f t="shared" ref="AH11" si="79">O11*$D11</f>
        <v>100000</v>
      </c>
      <c r="AI11" s="305">
        <f t="shared" ref="AI11" si="80">P11*$D11</f>
        <v>100000</v>
      </c>
      <c r="AJ11" s="305">
        <f t="shared" ref="AJ11" si="81">Q11*$D11</f>
        <v>100000</v>
      </c>
      <c r="AK11" s="305">
        <f t="shared" ref="AK11" si="82">R11*$D11</f>
        <v>0</v>
      </c>
      <c r="AL11" s="305">
        <f t="shared" ref="AL11" si="83">S11*$D11</f>
        <v>0</v>
      </c>
      <c r="AM11" s="305">
        <f t="shared" ref="AM11:AN11" si="84">T11*$D11</f>
        <v>0</v>
      </c>
      <c r="AN11" s="305">
        <f t="shared" si="84"/>
        <v>0</v>
      </c>
      <c r="AO11" s="305">
        <f t="shared" ref="AO11:BD27" si="85">IF(AO$3=$E11,$D11,0)</f>
        <v>0</v>
      </c>
      <c r="AP11" s="305">
        <f t="shared" si="85"/>
        <v>0</v>
      </c>
      <c r="AQ11" s="305">
        <f t="shared" si="85"/>
        <v>0</v>
      </c>
      <c r="AR11" s="305">
        <f t="shared" si="85"/>
        <v>0</v>
      </c>
      <c r="AS11" s="305">
        <f t="shared" si="85"/>
        <v>0</v>
      </c>
      <c r="AT11" s="305">
        <f t="shared" si="85"/>
        <v>0</v>
      </c>
      <c r="AU11" s="305">
        <f t="shared" si="85"/>
        <v>0</v>
      </c>
      <c r="AV11" s="305">
        <f t="shared" si="85"/>
        <v>0</v>
      </c>
      <c r="AW11" s="305">
        <f t="shared" si="85"/>
        <v>400000</v>
      </c>
      <c r="AX11" s="305">
        <f t="shared" si="85"/>
        <v>0</v>
      </c>
      <c r="AY11" s="305">
        <f t="shared" si="85"/>
        <v>0</v>
      </c>
      <c r="AZ11" s="305">
        <f t="shared" si="85"/>
        <v>0</v>
      </c>
      <c r="BA11" s="305">
        <f t="shared" si="85"/>
        <v>0</v>
      </c>
      <c r="BB11" s="305">
        <f t="shared" si="85"/>
        <v>0</v>
      </c>
      <c r="BC11" s="305">
        <f t="shared" si="85"/>
        <v>0</v>
      </c>
      <c r="BD11" s="305">
        <f t="shared" si="85"/>
        <v>0</v>
      </c>
      <c r="BE11" s="304">
        <f t="shared" si="17"/>
        <v>0</v>
      </c>
    </row>
    <row r="12" spans="1:57" s="300" customFormat="1" ht="14.45" customHeight="1" x14ac:dyDescent="0.25">
      <c r="A12" s="300" t="s">
        <v>148</v>
      </c>
      <c r="B12" s="248"/>
      <c r="C12" s="250"/>
      <c r="D12" s="374">
        <v>1000000</v>
      </c>
      <c r="E12" s="250" t="s">
        <v>266</v>
      </c>
      <c r="F12" s="355"/>
      <c r="G12" s="355"/>
      <c r="H12" s="355"/>
      <c r="I12" s="337"/>
      <c r="J12" s="337"/>
      <c r="K12" s="338">
        <v>0</v>
      </c>
      <c r="L12" s="338">
        <v>0</v>
      </c>
      <c r="M12" s="338">
        <v>0</v>
      </c>
      <c r="N12" s="338">
        <v>0.2</v>
      </c>
      <c r="O12" s="338">
        <v>0.1</v>
      </c>
      <c r="P12" s="338">
        <v>0.1</v>
      </c>
      <c r="Q12" s="338">
        <v>0.1</v>
      </c>
      <c r="R12" s="338">
        <v>0.1</v>
      </c>
      <c r="S12" s="338">
        <v>0.1</v>
      </c>
      <c r="T12" s="338">
        <v>0.3</v>
      </c>
      <c r="U12" s="338"/>
      <c r="V12" s="351">
        <f t="shared" si="14"/>
        <v>1</v>
      </c>
      <c r="Y12" s="305">
        <f t="shared" ref="Y12" si="86">F12*$D12</f>
        <v>0</v>
      </c>
      <c r="Z12" s="305">
        <f t="shared" ref="Z12" si="87">G12*$D12</f>
        <v>0</v>
      </c>
      <c r="AA12" s="305">
        <f t="shared" ref="AA12" si="88">H12*$D12</f>
        <v>0</v>
      </c>
      <c r="AB12" s="305">
        <f t="shared" ref="AB12" si="89">I12*$D12</f>
        <v>0</v>
      </c>
      <c r="AC12" s="305">
        <f t="shared" ref="AC12" si="90">J12*$D12</f>
        <v>0</v>
      </c>
      <c r="AD12" s="305">
        <f t="shared" ref="AD12" si="91">K12*$D12</f>
        <v>0</v>
      </c>
      <c r="AE12" s="344">
        <f t="shared" ref="AE12" si="92">L12*$D12</f>
        <v>0</v>
      </c>
      <c r="AF12" s="305">
        <f t="shared" ref="AF12" si="93">M12*$D12</f>
        <v>0</v>
      </c>
      <c r="AG12" s="305">
        <f t="shared" ref="AG12" si="94">N12*$D12</f>
        <v>200000</v>
      </c>
      <c r="AH12" s="305">
        <f t="shared" ref="AH12" si="95">O12*$D12</f>
        <v>100000</v>
      </c>
      <c r="AI12" s="305">
        <f t="shared" ref="AI12" si="96">P12*$D12</f>
        <v>100000</v>
      </c>
      <c r="AJ12" s="305">
        <f t="shared" ref="AJ12" si="97">Q12*$D12</f>
        <v>100000</v>
      </c>
      <c r="AK12" s="305">
        <f t="shared" ref="AK12" si="98">R12*$D12</f>
        <v>100000</v>
      </c>
      <c r="AL12" s="305">
        <f t="shared" ref="AL12" si="99">S12*$D12</f>
        <v>100000</v>
      </c>
      <c r="AM12" s="305">
        <f t="shared" ref="AM12:AN12" si="100">T12*$D12</f>
        <v>300000</v>
      </c>
      <c r="AN12" s="305">
        <f t="shared" si="100"/>
        <v>0</v>
      </c>
      <c r="AO12" s="305">
        <f t="shared" si="13"/>
        <v>0</v>
      </c>
      <c r="AP12" s="305">
        <f t="shared" si="13"/>
        <v>0</v>
      </c>
      <c r="AQ12" s="305">
        <f t="shared" si="13"/>
        <v>0</v>
      </c>
      <c r="AR12" s="305">
        <f t="shared" si="13"/>
        <v>0</v>
      </c>
      <c r="AS12" s="305">
        <f t="shared" si="13"/>
        <v>0</v>
      </c>
      <c r="AT12" s="305">
        <f t="shared" si="13"/>
        <v>0</v>
      </c>
      <c r="AU12" s="305">
        <f t="shared" si="13"/>
        <v>0</v>
      </c>
      <c r="AV12" s="305">
        <f t="shared" si="13"/>
        <v>0</v>
      </c>
      <c r="AW12" s="305">
        <f t="shared" si="13"/>
        <v>1000000</v>
      </c>
      <c r="AX12" s="305">
        <f t="shared" si="13"/>
        <v>0</v>
      </c>
      <c r="AY12" s="305">
        <f t="shared" si="13"/>
        <v>0</v>
      </c>
      <c r="AZ12" s="305">
        <f t="shared" si="13"/>
        <v>0</v>
      </c>
      <c r="BA12" s="305">
        <f t="shared" si="13"/>
        <v>0</v>
      </c>
      <c r="BB12" s="305">
        <f t="shared" si="13"/>
        <v>0</v>
      </c>
      <c r="BC12" s="305">
        <f t="shared" si="13"/>
        <v>0</v>
      </c>
      <c r="BD12" s="305">
        <f t="shared" si="85"/>
        <v>0</v>
      </c>
      <c r="BE12" s="304">
        <f t="shared" si="17"/>
        <v>0</v>
      </c>
    </row>
    <row r="13" spans="1:57" ht="12.6" customHeight="1" x14ac:dyDescent="0.25">
      <c r="A13" t="s">
        <v>149</v>
      </c>
      <c r="B13" s="248"/>
      <c r="D13" s="374">
        <v>2772876.18</v>
      </c>
      <c r="E13" s="250" t="s">
        <v>216</v>
      </c>
      <c r="F13" s="353"/>
      <c r="G13" s="353"/>
      <c r="H13" s="353"/>
      <c r="I13" s="354">
        <v>0</v>
      </c>
      <c r="J13" s="354"/>
      <c r="K13" s="354">
        <v>7.4766355140186924E-2</v>
      </c>
      <c r="L13" s="354">
        <v>0.16822429906542058</v>
      </c>
      <c r="M13" s="354">
        <v>3.7383177570093462E-2</v>
      </c>
      <c r="N13" s="354">
        <v>0.50467289719626174</v>
      </c>
      <c r="O13" s="354">
        <v>7.4766355140186924E-2</v>
      </c>
      <c r="P13" s="354">
        <v>0</v>
      </c>
      <c r="Q13" s="354">
        <v>8.411214953271029E-2</v>
      </c>
      <c r="R13" s="354">
        <v>0</v>
      </c>
      <c r="S13" s="354">
        <v>0</v>
      </c>
      <c r="T13" s="354">
        <v>5.6074766355140193E-2</v>
      </c>
      <c r="U13" s="354"/>
      <c r="V13" s="351">
        <f t="shared" si="14"/>
        <v>1</v>
      </c>
      <c r="W13" s="300"/>
      <c r="X13" s="300"/>
      <c r="Y13" s="244">
        <f t="shared" si="0"/>
        <v>0</v>
      </c>
      <c r="Z13" s="244">
        <f t="shared" si="1"/>
        <v>0</v>
      </c>
      <c r="AA13" s="305">
        <f t="shared" si="2"/>
        <v>0</v>
      </c>
      <c r="AB13" s="305">
        <f>I13*$D13</f>
        <v>0</v>
      </c>
      <c r="AC13" s="305">
        <f>J13*$D13</f>
        <v>0</v>
      </c>
      <c r="AD13" s="305">
        <f t="shared" si="34"/>
        <v>207317.84523364488</v>
      </c>
      <c r="AE13" s="305">
        <f t="shared" si="35"/>
        <v>466465.15177570103</v>
      </c>
      <c r="AF13" s="305">
        <f t="shared" si="36"/>
        <v>103658.92261682244</v>
      </c>
      <c r="AG13" s="305">
        <f t="shared" si="15"/>
        <v>1399395.4553271031</v>
      </c>
      <c r="AH13" s="305">
        <f t="shared" si="16"/>
        <v>207317.84523364488</v>
      </c>
      <c r="AI13" s="305">
        <f t="shared" si="8"/>
        <v>0</v>
      </c>
      <c r="AJ13" s="305">
        <f t="shared" si="9"/>
        <v>233232.57588785051</v>
      </c>
      <c r="AK13" s="305">
        <f t="shared" si="10"/>
        <v>0</v>
      </c>
      <c r="AL13" s="305">
        <f t="shared" si="11"/>
        <v>0</v>
      </c>
      <c r="AM13" s="244">
        <f t="shared" si="12"/>
        <v>155488.38392523368</v>
      </c>
      <c r="AN13" s="305">
        <f t="shared" si="12"/>
        <v>0</v>
      </c>
      <c r="AO13" s="244">
        <f t="shared" si="13"/>
        <v>0</v>
      </c>
      <c r="AP13" s="244">
        <f t="shared" si="13"/>
        <v>0</v>
      </c>
      <c r="AQ13" s="244">
        <f t="shared" si="13"/>
        <v>0</v>
      </c>
      <c r="AR13" s="244">
        <f t="shared" si="13"/>
        <v>2772876.18</v>
      </c>
      <c r="AS13" s="244">
        <f t="shared" si="13"/>
        <v>0</v>
      </c>
      <c r="AT13" s="244">
        <f t="shared" si="13"/>
        <v>0</v>
      </c>
      <c r="AU13" s="244">
        <f t="shared" si="13"/>
        <v>0</v>
      </c>
      <c r="AV13" s="244">
        <f t="shared" si="13"/>
        <v>0</v>
      </c>
      <c r="AW13" s="244">
        <f t="shared" si="13"/>
        <v>0</v>
      </c>
      <c r="AX13" s="244">
        <f t="shared" si="13"/>
        <v>0</v>
      </c>
      <c r="AY13" s="244">
        <f t="shared" si="13"/>
        <v>0</v>
      </c>
      <c r="AZ13" s="244">
        <f t="shared" si="13"/>
        <v>0</v>
      </c>
      <c r="BA13" s="244">
        <f t="shared" si="13"/>
        <v>0</v>
      </c>
      <c r="BB13" s="244">
        <f t="shared" si="13"/>
        <v>0</v>
      </c>
      <c r="BC13" s="244">
        <f t="shared" si="13"/>
        <v>0</v>
      </c>
      <c r="BD13" s="305">
        <f t="shared" si="85"/>
        <v>0</v>
      </c>
      <c r="BE13" s="304">
        <f t="shared" si="17"/>
        <v>0</v>
      </c>
    </row>
    <row r="14" spans="1:57" s="300" customFormat="1" ht="14.45" customHeight="1" x14ac:dyDescent="0.25">
      <c r="A14" s="300" t="s">
        <v>151</v>
      </c>
      <c r="B14" s="248"/>
      <c r="D14" s="374">
        <v>2000</v>
      </c>
      <c r="E14" s="250" t="s">
        <v>238</v>
      </c>
      <c r="F14" s="353"/>
      <c r="G14" s="353"/>
      <c r="H14" s="353"/>
      <c r="I14" s="354"/>
      <c r="J14" s="354">
        <v>0</v>
      </c>
      <c r="K14" s="354">
        <v>0</v>
      </c>
      <c r="L14" s="354">
        <v>0</v>
      </c>
      <c r="M14" s="354">
        <v>1</v>
      </c>
      <c r="N14" s="354"/>
      <c r="O14" s="354"/>
      <c r="P14" s="354"/>
      <c r="Q14" s="354"/>
      <c r="R14" s="354"/>
      <c r="S14" s="354"/>
      <c r="T14" s="338"/>
      <c r="U14" s="338"/>
      <c r="V14" s="351">
        <f t="shared" si="14"/>
        <v>1</v>
      </c>
      <c r="Y14" s="305">
        <f t="shared" si="0"/>
        <v>0</v>
      </c>
      <c r="Z14" s="305">
        <f t="shared" si="1"/>
        <v>0</v>
      </c>
      <c r="AA14" s="305">
        <f t="shared" si="2"/>
        <v>0</v>
      </c>
      <c r="AB14" s="305">
        <f t="shared" ref="AB14" si="101">I14*$D14</f>
        <v>0</v>
      </c>
      <c r="AC14" s="305">
        <f>J14*$D14</f>
        <v>0</v>
      </c>
      <c r="AD14" s="305">
        <f t="shared" si="34"/>
        <v>0</v>
      </c>
      <c r="AE14" s="305">
        <f t="shared" si="35"/>
        <v>0</v>
      </c>
      <c r="AF14" s="305">
        <f t="shared" si="36"/>
        <v>2000</v>
      </c>
      <c r="AG14" s="305">
        <f t="shared" si="15"/>
        <v>0</v>
      </c>
      <c r="AH14" s="305">
        <f t="shared" si="16"/>
        <v>0</v>
      </c>
      <c r="AI14" s="305">
        <f t="shared" si="8"/>
        <v>0</v>
      </c>
      <c r="AJ14" s="305">
        <f t="shared" si="9"/>
        <v>0</v>
      </c>
      <c r="AK14" s="305">
        <f t="shared" si="10"/>
        <v>0</v>
      </c>
      <c r="AL14" s="305">
        <f t="shared" si="11"/>
        <v>0</v>
      </c>
      <c r="AM14" s="305">
        <f t="shared" si="12"/>
        <v>0</v>
      </c>
      <c r="AN14" s="305">
        <f t="shared" si="12"/>
        <v>0</v>
      </c>
      <c r="AO14" s="305">
        <f t="shared" si="13"/>
        <v>0</v>
      </c>
      <c r="AP14" s="305">
        <f t="shared" si="13"/>
        <v>0</v>
      </c>
      <c r="AQ14" s="305">
        <f t="shared" si="13"/>
        <v>0</v>
      </c>
      <c r="AR14" s="305">
        <f t="shared" si="13"/>
        <v>0</v>
      </c>
      <c r="AS14" s="305">
        <v>0</v>
      </c>
      <c r="AT14" s="305">
        <v>0</v>
      </c>
      <c r="AU14" s="305">
        <f t="shared" si="13"/>
        <v>0</v>
      </c>
      <c r="AV14" s="305">
        <f t="shared" si="13"/>
        <v>2000</v>
      </c>
      <c r="AW14" s="305">
        <f t="shared" si="13"/>
        <v>0</v>
      </c>
      <c r="AX14" s="305">
        <f t="shared" si="13"/>
        <v>0</v>
      </c>
      <c r="AY14" s="305">
        <f t="shared" si="13"/>
        <v>0</v>
      </c>
      <c r="AZ14" s="305">
        <f t="shared" si="13"/>
        <v>0</v>
      </c>
      <c r="BA14" s="305">
        <f t="shared" si="13"/>
        <v>0</v>
      </c>
      <c r="BB14" s="305">
        <f t="shared" si="13"/>
        <v>0</v>
      </c>
      <c r="BC14" s="305">
        <f t="shared" si="13"/>
        <v>0</v>
      </c>
      <c r="BD14" s="305">
        <f t="shared" si="85"/>
        <v>0</v>
      </c>
      <c r="BE14" s="304">
        <f t="shared" si="17"/>
        <v>0</v>
      </c>
    </row>
    <row r="15" spans="1:57" s="300" customFormat="1" x14ac:dyDescent="0.25">
      <c r="A15" s="300" t="s">
        <v>152</v>
      </c>
      <c r="B15" s="376"/>
      <c r="D15" s="374">
        <f>(3000*12)+998.88</f>
        <v>36998.879999999997</v>
      </c>
      <c r="E15" s="250" t="s">
        <v>184</v>
      </c>
      <c r="F15" s="356"/>
      <c r="G15" s="356"/>
      <c r="H15" s="356"/>
      <c r="I15" s="338">
        <v>0.24325060650484501</v>
      </c>
      <c r="J15" s="338">
        <v>0.26195171313293808</v>
      </c>
      <c r="K15" s="338">
        <v>0.23700393092980099</v>
      </c>
      <c r="L15" s="338">
        <v>0.25779374943241501</v>
      </c>
      <c r="M15" s="338">
        <v>0</v>
      </c>
      <c r="N15" s="338"/>
      <c r="O15" s="338"/>
      <c r="P15" s="338"/>
      <c r="Q15" s="338"/>
      <c r="R15" s="337"/>
      <c r="S15" s="337"/>
      <c r="T15" s="337"/>
      <c r="U15" s="337"/>
      <c r="V15" s="351">
        <f t="shared" si="14"/>
        <v>0.99999999999999911</v>
      </c>
      <c r="Y15" s="305">
        <f t="shared" si="0"/>
        <v>0</v>
      </c>
      <c r="Z15" s="305">
        <f t="shared" si="1"/>
        <v>0</v>
      </c>
      <c r="AA15" s="305">
        <f t="shared" si="2"/>
        <v>0</v>
      </c>
      <c r="AB15" s="305">
        <f t="shared" si="3"/>
        <v>8999.99999999998</v>
      </c>
      <c r="AC15" s="344">
        <f>J15*$D15</f>
        <v>9691.92</v>
      </c>
      <c r="AD15" s="305">
        <f t="shared" si="34"/>
        <v>8768.8799999999937</v>
      </c>
      <c r="AE15" s="344">
        <f t="shared" si="35"/>
        <v>9538.0799999999908</v>
      </c>
      <c r="AF15" s="305">
        <f t="shared" si="36"/>
        <v>0</v>
      </c>
      <c r="AG15" s="305">
        <f t="shared" si="15"/>
        <v>0</v>
      </c>
      <c r="AH15" s="305">
        <f t="shared" si="16"/>
        <v>0</v>
      </c>
      <c r="AI15" s="305">
        <f t="shared" si="8"/>
        <v>0</v>
      </c>
      <c r="AJ15" s="305">
        <f t="shared" si="9"/>
        <v>0</v>
      </c>
      <c r="AK15" s="305">
        <f t="shared" si="10"/>
        <v>0</v>
      </c>
      <c r="AL15" s="305">
        <f t="shared" si="11"/>
        <v>0</v>
      </c>
      <c r="AM15" s="305">
        <f t="shared" si="12"/>
        <v>0</v>
      </c>
      <c r="AN15" s="305">
        <f t="shared" si="12"/>
        <v>0</v>
      </c>
      <c r="AO15" s="305">
        <f t="shared" si="13"/>
        <v>0</v>
      </c>
      <c r="AP15" s="305">
        <f t="shared" si="13"/>
        <v>0</v>
      </c>
      <c r="AQ15" s="305">
        <f t="shared" si="13"/>
        <v>36998.879999999997</v>
      </c>
      <c r="AR15" s="305">
        <f t="shared" si="13"/>
        <v>0</v>
      </c>
      <c r="AS15" s="305">
        <f t="shared" si="13"/>
        <v>0</v>
      </c>
      <c r="AT15" s="305">
        <f t="shared" si="13"/>
        <v>0</v>
      </c>
      <c r="AU15" s="305">
        <f t="shared" si="13"/>
        <v>0</v>
      </c>
      <c r="AV15" s="305">
        <f t="shared" si="13"/>
        <v>0</v>
      </c>
      <c r="AW15" s="305">
        <f t="shared" si="13"/>
        <v>0</v>
      </c>
      <c r="AX15" s="305">
        <f t="shared" si="13"/>
        <v>0</v>
      </c>
      <c r="AY15" s="305">
        <f t="shared" si="13"/>
        <v>0</v>
      </c>
      <c r="AZ15" s="305">
        <f t="shared" si="13"/>
        <v>0</v>
      </c>
      <c r="BA15" s="305">
        <f t="shared" si="13"/>
        <v>0</v>
      </c>
      <c r="BB15" s="305">
        <f t="shared" si="13"/>
        <v>0</v>
      </c>
      <c r="BC15" s="305">
        <f t="shared" si="13"/>
        <v>0</v>
      </c>
      <c r="BD15" s="305">
        <f t="shared" si="85"/>
        <v>0</v>
      </c>
      <c r="BE15" s="304">
        <f t="shared" si="17"/>
        <v>0</v>
      </c>
    </row>
    <row r="16" spans="1:57" s="300" customFormat="1" x14ac:dyDescent="0.25">
      <c r="A16" s="300" t="s">
        <v>152</v>
      </c>
      <c r="B16" s="376"/>
      <c r="D16" s="374">
        <v>43123.28</v>
      </c>
      <c r="E16" s="250" t="s">
        <v>198</v>
      </c>
      <c r="F16" s="356"/>
      <c r="G16" s="356"/>
      <c r="H16" s="356"/>
      <c r="I16" s="338"/>
      <c r="J16" s="338"/>
      <c r="K16" s="338"/>
      <c r="L16" s="338">
        <v>0</v>
      </c>
      <c r="M16" s="338">
        <v>0.25</v>
      </c>
      <c r="N16" s="338">
        <v>0.25</v>
      </c>
      <c r="O16" s="338">
        <v>0.25</v>
      </c>
      <c r="P16" s="338">
        <v>0.25</v>
      </c>
      <c r="Q16" s="338"/>
      <c r="R16" s="337"/>
      <c r="S16" s="337"/>
      <c r="T16" s="337"/>
      <c r="U16" s="337"/>
      <c r="V16" s="351">
        <f t="shared" si="14"/>
        <v>1</v>
      </c>
      <c r="Y16" s="305">
        <f t="shared" ref="Y16" si="102">F16*$D16</f>
        <v>0</v>
      </c>
      <c r="Z16" s="305">
        <f t="shared" ref="Z16" si="103">G16*$D16</f>
        <v>0</v>
      </c>
      <c r="AA16" s="305">
        <f t="shared" ref="AA16" si="104">H16*$D16</f>
        <v>0</v>
      </c>
      <c r="AB16" s="305">
        <f t="shared" ref="AB16" si="105">I16*$D16</f>
        <v>0</v>
      </c>
      <c r="AC16" s="305">
        <f t="shared" ref="AC16" si="106">J16*$D16</f>
        <v>0</v>
      </c>
      <c r="AD16" s="305">
        <f t="shared" ref="AD16" si="107">K16*$D16</f>
        <v>0</v>
      </c>
      <c r="AE16" s="344">
        <f t="shared" ref="AE16" si="108">L16*$D16</f>
        <v>0</v>
      </c>
      <c r="AF16" s="344">
        <f t="shared" ref="AF16" si="109">M16*$D16</f>
        <v>10780.82</v>
      </c>
      <c r="AG16" s="305">
        <f t="shared" ref="AG16" si="110">N16*$D16</f>
        <v>10780.82</v>
      </c>
      <c r="AH16" s="305">
        <f t="shared" ref="AH16" si="111">O16*$D16</f>
        <v>10780.82</v>
      </c>
      <c r="AI16" s="305">
        <f t="shared" ref="AI16" si="112">P16*$D16</f>
        <v>10780.82</v>
      </c>
      <c r="AJ16" s="305">
        <f t="shared" ref="AJ16" si="113">Q16*$D16</f>
        <v>0</v>
      </c>
      <c r="AK16" s="305">
        <f t="shared" ref="AK16" si="114">R16*$D16</f>
        <v>0</v>
      </c>
      <c r="AL16" s="305">
        <f t="shared" ref="AL16" si="115">S16*$D16</f>
        <v>0</v>
      </c>
      <c r="AM16" s="305">
        <f t="shared" ref="AM16:AN16" si="116">T16*$D16</f>
        <v>0</v>
      </c>
      <c r="AN16" s="305">
        <f t="shared" si="116"/>
        <v>0</v>
      </c>
      <c r="AO16" s="305">
        <f t="shared" si="13"/>
        <v>0</v>
      </c>
      <c r="AP16" s="305">
        <f t="shared" si="13"/>
        <v>0</v>
      </c>
      <c r="AQ16" s="305">
        <f t="shared" si="13"/>
        <v>0</v>
      </c>
      <c r="AR16" s="305">
        <f t="shared" si="13"/>
        <v>0</v>
      </c>
      <c r="AS16" s="305">
        <f t="shared" si="13"/>
        <v>0</v>
      </c>
      <c r="AT16" s="305">
        <f t="shared" si="13"/>
        <v>0</v>
      </c>
      <c r="AU16" s="305">
        <f t="shared" si="13"/>
        <v>43123.28</v>
      </c>
      <c r="AV16" s="305">
        <f t="shared" si="13"/>
        <v>0</v>
      </c>
      <c r="AW16" s="305">
        <f t="shared" si="13"/>
        <v>0</v>
      </c>
      <c r="AX16" s="305">
        <f t="shared" si="13"/>
        <v>0</v>
      </c>
      <c r="AY16" s="305">
        <f t="shared" si="13"/>
        <v>0</v>
      </c>
      <c r="AZ16" s="305">
        <f t="shared" si="13"/>
        <v>0</v>
      </c>
      <c r="BA16" s="305">
        <f t="shared" si="13"/>
        <v>0</v>
      </c>
      <c r="BB16" s="305">
        <f t="shared" si="13"/>
        <v>0</v>
      </c>
      <c r="BC16" s="305">
        <f t="shared" si="13"/>
        <v>0</v>
      </c>
      <c r="BD16" s="305">
        <f t="shared" si="85"/>
        <v>0</v>
      </c>
      <c r="BE16" s="304">
        <f t="shared" si="17"/>
        <v>0</v>
      </c>
    </row>
    <row r="17" spans="1:57" s="300" customFormat="1" x14ac:dyDescent="0.25">
      <c r="A17" s="300" t="s">
        <v>152</v>
      </c>
      <c r="B17" s="376"/>
      <c r="D17" s="374">
        <v>18759</v>
      </c>
      <c r="E17" s="250" t="s">
        <v>198</v>
      </c>
      <c r="F17" s="356"/>
      <c r="G17" s="356"/>
      <c r="H17" s="356"/>
      <c r="I17" s="338"/>
      <c r="J17" s="338"/>
      <c r="K17" s="338"/>
      <c r="L17" s="338">
        <v>0.172307692307692</v>
      </c>
      <c r="M17" s="338">
        <v>0.25</v>
      </c>
      <c r="N17" s="338">
        <v>0.25</v>
      </c>
      <c r="O17" s="338">
        <v>0.25</v>
      </c>
      <c r="P17" s="338">
        <v>7.7692307692307949E-2</v>
      </c>
      <c r="Q17" s="338"/>
      <c r="R17" s="337"/>
      <c r="S17" s="337"/>
      <c r="T17" s="337"/>
      <c r="U17" s="337"/>
      <c r="V17" s="351">
        <f t="shared" si="14"/>
        <v>1</v>
      </c>
      <c r="Y17" s="305">
        <f t="shared" ref="Y17" si="117">F17*$D17</f>
        <v>0</v>
      </c>
      <c r="Z17" s="305">
        <f t="shared" ref="Z17" si="118">G17*$D17</f>
        <v>0</v>
      </c>
      <c r="AA17" s="305">
        <f t="shared" ref="AA17" si="119">H17*$D17</f>
        <v>0</v>
      </c>
      <c r="AB17" s="305">
        <f t="shared" ref="AB17" si="120">I17*$D17</f>
        <v>0</v>
      </c>
      <c r="AC17" s="305">
        <f t="shared" ref="AC17" si="121">J17*$D17</f>
        <v>0</v>
      </c>
      <c r="AD17" s="305">
        <f t="shared" ref="AD17" si="122">K17*$D17</f>
        <v>0</v>
      </c>
      <c r="AE17" s="344">
        <f t="shared" ref="AE17" si="123">L17*$D17</f>
        <v>3232.3199999999943</v>
      </c>
      <c r="AF17" s="344">
        <f t="shared" ref="AF17" si="124">M17*$D17</f>
        <v>4689.75</v>
      </c>
      <c r="AG17" s="305">
        <f t="shared" ref="AG17" si="125">N17*$D17</f>
        <v>4689.75</v>
      </c>
      <c r="AH17" s="305">
        <f t="shared" ref="AH17" si="126">O17*$D17</f>
        <v>4689.75</v>
      </c>
      <c r="AI17" s="305">
        <f t="shared" ref="AI17" si="127">P17*$D17</f>
        <v>1457.4300000000048</v>
      </c>
      <c r="AJ17" s="305">
        <f t="shared" ref="AJ17" si="128">Q17*$D17</f>
        <v>0</v>
      </c>
      <c r="AK17" s="305">
        <f t="shared" ref="AK17" si="129">R17*$D17</f>
        <v>0</v>
      </c>
      <c r="AL17" s="305">
        <f t="shared" ref="AL17" si="130">S17*$D17</f>
        <v>0</v>
      </c>
      <c r="AM17" s="305">
        <f t="shared" ref="AM17:AN17" si="131">T17*$D17</f>
        <v>0</v>
      </c>
      <c r="AN17" s="305">
        <f t="shared" si="131"/>
        <v>0</v>
      </c>
      <c r="AO17" s="305">
        <f t="shared" si="13"/>
        <v>0</v>
      </c>
      <c r="AP17" s="305">
        <f t="shared" si="13"/>
        <v>0</v>
      </c>
      <c r="AQ17" s="305">
        <f t="shared" si="13"/>
        <v>0</v>
      </c>
      <c r="AR17" s="305">
        <f t="shared" si="13"/>
        <v>0</v>
      </c>
      <c r="AS17" s="305">
        <f t="shared" si="13"/>
        <v>0</v>
      </c>
      <c r="AT17" s="305">
        <f t="shared" si="13"/>
        <v>0</v>
      </c>
      <c r="AU17" s="305">
        <f t="shared" si="13"/>
        <v>18759</v>
      </c>
      <c r="AV17" s="305">
        <f t="shared" si="13"/>
        <v>0</v>
      </c>
      <c r="AW17" s="305">
        <f t="shared" si="13"/>
        <v>0</v>
      </c>
      <c r="AX17" s="305">
        <f t="shared" si="13"/>
        <v>0</v>
      </c>
      <c r="AY17" s="305">
        <f t="shared" si="13"/>
        <v>0</v>
      </c>
      <c r="AZ17" s="305">
        <f t="shared" si="13"/>
        <v>0</v>
      </c>
      <c r="BA17" s="305">
        <f t="shared" si="13"/>
        <v>0</v>
      </c>
      <c r="BB17" s="305">
        <f t="shared" si="13"/>
        <v>0</v>
      </c>
      <c r="BC17" s="305">
        <f t="shared" si="13"/>
        <v>0</v>
      </c>
      <c r="BD17" s="305">
        <f t="shared" si="85"/>
        <v>0</v>
      </c>
      <c r="BE17" s="304">
        <f t="shared" si="17"/>
        <v>0</v>
      </c>
    </row>
    <row r="18" spans="1:57" s="300" customFormat="1" x14ac:dyDescent="0.25">
      <c r="A18" s="300" t="s">
        <v>152</v>
      </c>
      <c r="B18" s="376"/>
      <c r="C18" s="317"/>
      <c r="D18" s="374">
        <v>72000</v>
      </c>
      <c r="E18" s="250" t="s">
        <v>266</v>
      </c>
      <c r="F18" s="356"/>
      <c r="G18" s="356"/>
      <c r="H18" s="356"/>
      <c r="I18" s="338"/>
      <c r="J18" s="338"/>
      <c r="K18" s="338">
        <v>0</v>
      </c>
      <c r="L18" s="338">
        <v>0</v>
      </c>
      <c r="M18" s="338">
        <v>0</v>
      </c>
      <c r="N18" s="338">
        <v>0</v>
      </c>
      <c r="O18" s="338">
        <v>0.25</v>
      </c>
      <c r="P18" s="338">
        <v>0.25</v>
      </c>
      <c r="Q18" s="338">
        <v>0.25</v>
      </c>
      <c r="R18" s="338">
        <v>0.25</v>
      </c>
      <c r="S18" s="337"/>
      <c r="T18" s="337"/>
      <c r="U18" s="337"/>
      <c r="V18" s="351">
        <f t="shared" si="14"/>
        <v>1</v>
      </c>
      <c r="Y18" s="305">
        <f t="shared" si="0"/>
        <v>0</v>
      </c>
      <c r="Z18" s="305">
        <f t="shared" si="1"/>
        <v>0</v>
      </c>
      <c r="AA18" s="305">
        <f t="shared" si="2"/>
        <v>0</v>
      </c>
      <c r="AB18" s="305">
        <f t="shared" si="3"/>
        <v>0</v>
      </c>
      <c r="AC18" s="305">
        <f>J18*$D18</f>
        <v>0</v>
      </c>
      <c r="AD18" s="344">
        <f t="shared" si="34"/>
        <v>0</v>
      </c>
      <c r="AE18" s="344">
        <f t="shared" si="35"/>
        <v>0</v>
      </c>
      <c r="AF18" s="344">
        <f t="shared" si="36"/>
        <v>0</v>
      </c>
      <c r="AG18" s="305">
        <f t="shared" si="15"/>
        <v>0</v>
      </c>
      <c r="AH18" s="305">
        <f t="shared" si="16"/>
        <v>18000</v>
      </c>
      <c r="AI18" s="305">
        <f t="shared" si="8"/>
        <v>18000</v>
      </c>
      <c r="AJ18" s="305">
        <f t="shared" si="9"/>
        <v>18000</v>
      </c>
      <c r="AK18" s="305">
        <f t="shared" si="10"/>
        <v>18000</v>
      </c>
      <c r="AL18" s="305">
        <f t="shared" si="11"/>
        <v>0</v>
      </c>
      <c r="AM18" s="305">
        <f t="shared" si="12"/>
        <v>0</v>
      </c>
      <c r="AN18" s="305">
        <f t="shared" si="12"/>
        <v>0</v>
      </c>
      <c r="AO18" s="305">
        <f t="shared" si="13"/>
        <v>0</v>
      </c>
      <c r="AP18" s="305">
        <f t="shared" si="13"/>
        <v>0</v>
      </c>
      <c r="AQ18" s="305">
        <f t="shared" si="13"/>
        <v>0</v>
      </c>
      <c r="AR18" s="305">
        <f t="shared" si="13"/>
        <v>0</v>
      </c>
      <c r="AS18" s="305">
        <f t="shared" si="13"/>
        <v>0</v>
      </c>
      <c r="AT18" s="305">
        <f t="shared" si="13"/>
        <v>0</v>
      </c>
      <c r="AU18" s="305">
        <f t="shared" si="13"/>
        <v>0</v>
      </c>
      <c r="AV18" s="305">
        <f t="shared" si="13"/>
        <v>0</v>
      </c>
      <c r="AW18" s="305">
        <f t="shared" si="13"/>
        <v>72000</v>
      </c>
      <c r="AX18" s="305">
        <f t="shared" si="13"/>
        <v>0</v>
      </c>
      <c r="AY18" s="305">
        <f t="shared" si="13"/>
        <v>0</v>
      </c>
      <c r="AZ18" s="305">
        <f t="shared" si="13"/>
        <v>0</v>
      </c>
      <c r="BA18" s="305">
        <f t="shared" si="13"/>
        <v>0</v>
      </c>
      <c r="BB18" s="305">
        <f t="shared" si="13"/>
        <v>0</v>
      </c>
      <c r="BC18" s="305">
        <f t="shared" si="13"/>
        <v>0</v>
      </c>
      <c r="BD18" s="305">
        <f t="shared" si="85"/>
        <v>0</v>
      </c>
      <c r="BE18" s="304">
        <f t="shared" si="17"/>
        <v>0</v>
      </c>
    </row>
    <row r="19" spans="1:57" s="300" customFormat="1" x14ac:dyDescent="0.25">
      <c r="A19" s="300" t="s">
        <v>152</v>
      </c>
      <c r="B19" s="376"/>
      <c r="C19" s="317"/>
      <c r="D19" s="374">
        <v>100000</v>
      </c>
      <c r="E19" s="250" t="s">
        <v>266</v>
      </c>
      <c r="F19" s="356"/>
      <c r="G19" s="356"/>
      <c r="H19" s="356"/>
      <c r="I19" s="338"/>
      <c r="J19" s="338"/>
      <c r="K19" s="338"/>
      <c r="L19" s="338">
        <v>0</v>
      </c>
      <c r="M19" s="338">
        <v>0</v>
      </c>
      <c r="N19" s="338">
        <v>0</v>
      </c>
      <c r="O19" s="338">
        <v>0.25</v>
      </c>
      <c r="P19" s="338">
        <v>0.25</v>
      </c>
      <c r="Q19" s="338">
        <v>0.25</v>
      </c>
      <c r="R19" s="338">
        <v>0.25</v>
      </c>
      <c r="S19" s="337"/>
      <c r="T19" s="337"/>
      <c r="U19" s="337"/>
      <c r="V19" s="351">
        <f t="shared" si="14"/>
        <v>1</v>
      </c>
      <c r="Y19" s="305">
        <f t="shared" ref="Y19:Y20" si="132">F19*$D19</f>
        <v>0</v>
      </c>
      <c r="Z19" s="305">
        <f t="shared" ref="Z19:Z20" si="133">G19*$D19</f>
        <v>0</v>
      </c>
      <c r="AA19" s="305">
        <f t="shared" ref="AA19:AA20" si="134">H19*$D19</f>
        <v>0</v>
      </c>
      <c r="AB19" s="305">
        <f t="shared" ref="AB19:AB20" si="135">I19*$D19</f>
        <v>0</v>
      </c>
      <c r="AC19" s="305">
        <f t="shared" ref="AC19:AC20" si="136">J19*$D19</f>
        <v>0</v>
      </c>
      <c r="AD19" s="305">
        <f t="shared" ref="AD19:AD20" si="137">K19*$D19</f>
        <v>0</v>
      </c>
      <c r="AE19" s="344">
        <f t="shared" ref="AE19:AE20" si="138">L19*$D19</f>
        <v>0</v>
      </c>
      <c r="AF19" s="344">
        <f t="shared" ref="AF19:AF20" si="139">M19*$D19</f>
        <v>0</v>
      </c>
      <c r="AG19" s="305">
        <f t="shared" ref="AG19:AG20" si="140">N19*$D19</f>
        <v>0</v>
      </c>
      <c r="AH19" s="305">
        <f t="shared" ref="AH19:AH20" si="141">O19*$D19</f>
        <v>25000</v>
      </c>
      <c r="AI19" s="305">
        <f t="shared" ref="AI19:AI20" si="142">P19*$D19</f>
        <v>25000</v>
      </c>
      <c r="AJ19" s="305">
        <f t="shared" ref="AJ19:AJ20" si="143">Q19*$D19</f>
        <v>25000</v>
      </c>
      <c r="AK19" s="305">
        <f t="shared" ref="AK19:AK20" si="144">R19*$D19</f>
        <v>25000</v>
      </c>
      <c r="AL19" s="305">
        <f t="shared" ref="AL19:AL20" si="145">S19*$D19</f>
        <v>0</v>
      </c>
      <c r="AM19" s="305">
        <f t="shared" ref="AM19:AN20" si="146">T19*$D19</f>
        <v>0</v>
      </c>
      <c r="AN19" s="305">
        <f t="shared" si="146"/>
        <v>0</v>
      </c>
      <c r="AO19" s="305">
        <f t="shared" si="13"/>
        <v>0</v>
      </c>
      <c r="AP19" s="305">
        <f t="shared" si="13"/>
        <v>0</v>
      </c>
      <c r="AQ19" s="305">
        <f t="shared" si="13"/>
        <v>0</v>
      </c>
      <c r="AR19" s="305">
        <f t="shared" si="13"/>
        <v>0</v>
      </c>
      <c r="AS19" s="305">
        <f t="shared" si="13"/>
        <v>0</v>
      </c>
      <c r="AT19" s="305">
        <f t="shared" si="13"/>
        <v>0</v>
      </c>
      <c r="AU19" s="305">
        <f t="shared" si="13"/>
        <v>0</v>
      </c>
      <c r="AV19" s="305">
        <f t="shared" si="13"/>
        <v>0</v>
      </c>
      <c r="AW19" s="305">
        <f t="shared" si="13"/>
        <v>100000</v>
      </c>
      <c r="AX19" s="305">
        <f t="shared" si="13"/>
        <v>0</v>
      </c>
      <c r="AY19" s="305">
        <f t="shared" si="13"/>
        <v>0</v>
      </c>
      <c r="AZ19" s="305">
        <f t="shared" si="13"/>
        <v>0</v>
      </c>
      <c r="BA19" s="305">
        <f t="shared" si="13"/>
        <v>0</v>
      </c>
      <c r="BB19" s="305">
        <f t="shared" si="13"/>
        <v>0</v>
      </c>
      <c r="BC19" s="305">
        <f t="shared" si="13"/>
        <v>0</v>
      </c>
      <c r="BD19" s="305">
        <f t="shared" si="85"/>
        <v>0</v>
      </c>
      <c r="BE19" s="304">
        <f t="shared" si="17"/>
        <v>0</v>
      </c>
    </row>
    <row r="20" spans="1:57" s="300" customFormat="1" x14ac:dyDescent="0.25">
      <c r="A20" s="300" t="s">
        <v>152</v>
      </c>
      <c r="B20" s="376"/>
      <c r="C20" s="317"/>
      <c r="D20" s="374">
        <v>40000</v>
      </c>
      <c r="E20" s="250" t="s">
        <v>266</v>
      </c>
      <c r="F20" s="356"/>
      <c r="G20" s="356"/>
      <c r="H20" s="356"/>
      <c r="I20" s="338"/>
      <c r="J20" s="338"/>
      <c r="K20" s="338">
        <v>0</v>
      </c>
      <c r="L20" s="338">
        <v>0</v>
      </c>
      <c r="M20" s="338">
        <v>0</v>
      </c>
      <c r="N20" s="338">
        <v>0</v>
      </c>
      <c r="O20" s="338">
        <v>0.25</v>
      </c>
      <c r="P20" s="338">
        <v>0.25</v>
      </c>
      <c r="Q20" s="338">
        <v>0.25</v>
      </c>
      <c r="R20" s="338">
        <v>0.25</v>
      </c>
      <c r="S20" s="337"/>
      <c r="T20" s="337"/>
      <c r="U20" s="337"/>
      <c r="V20" s="351">
        <f t="shared" si="14"/>
        <v>1</v>
      </c>
      <c r="Y20" s="305">
        <f t="shared" si="132"/>
        <v>0</v>
      </c>
      <c r="Z20" s="305">
        <f t="shared" si="133"/>
        <v>0</v>
      </c>
      <c r="AA20" s="305">
        <f t="shared" si="134"/>
        <v>0</v>
      </c>
      <c r="AB20" s="305">
        <f t="shared" si="135"/>
        <v>0</v>
      </c>
      <c r="AC20" s="305">
        <f t="shared" si="136"/>
        <v>0</v>
      </c>
      <c r="AD20" s="305">
        <f t="shared" si="137"/>
        <v>0</v>
      </c>
      <c r="AE20" s="344">
        <f t="shared" si="138"/>
        <v>0</v>
      </c>
      <c r="AF20" s="344">
        <f t="shared" si="139"/>
        <v>0</v>
      </c>
      <c r="AG20" s="305">
        <f t="shared" si="140"/>
        <v>0</v>
      </c>
      <c r="AH20" s="305">
        <f t="shared" si="141"/>
        <v>10000</v>
      </c>
      <c r="AI20" s="305">
        <f t="shared" si="142"/>
        <v>10000</v>
      </c>
      <c r="AJ20" s="305">
        <f t="shared" si="143"/>
        <v>10000</v>
      </c>
      <c r="AK20" s="305">
        <f t="shared" si="144"/>
        <v>10000</v>
      </c>
      <c r="AL20" s="305">
        <f t="shared" si="145"/>
        <v>0</v>
      </c>
      <c r="AM20" s="305">
        <f t="shared" si="146"/>
        <v>0</v>
      </c>
      <c r="AN20" s="305">
        <f t="shared" si="146"/>
        <v>0</v>
      </c>
      <c r="AO20" s="305">
        <f t="shared" ref="AO20:BD20" si="147">IF(AO$3=$E20,$D20,0)</f>
        <v>0</v>
      </c>
      <c r="AP20" s="305">
        <f t="shared" si="147"/>
        <v>0</v>
      </c>
      <c r="AQ20" s="305">
        <f t="shared" si="147"/>
        <v>0</v>
      </c>
      <c r="AR20" s="305">
        <f t="shared" si="147"/>
        <v>0</v>
      </c>
      <c r="AS20" s="305">
        <f t="shared" si="147"/>
        <v>0</v>
      </c>
      <c r="AT20" s="305">
        <f t="shared" si="147"/>
        <v>0</v>
      </c>
      <c r="AU20" s="305">
        <f t="shared" si="147"/>
        <v>0</v>
      </c>
      <c r="AV20" s="305">
        <f t="shared" si="147"/>
        <v>0</v>
      </c>
      <c r="AW20" s="305">
        <f t="shared" si="147"/>
        <v>40000</v>
      </c>
      <c r="AX20" s="305">
        <f t="shared" si="147"/>
        <v>0</v>
      </c>
      <c r="AY20" s="305">
        <f t="shared" si="147"/>
        <v>0</v>
      </c>
      <c r="AZ20" s="305">
        <f t="shared" si="147"/>
        <v>0</v>
      </c>
      <c r="BA20" s="305">
        <f t="shared" si="147"/>
        <v>0</v>
      </c>
      <c r="BB20" s="305">
        <f t="shared" si="147"/>
        <v>0</v>
      </c>
      <c r="BC20" s="305">
        <f t="shared" si="147"/>
        <v>0</v>
      </c>
      <c r="BD20" s="305">
        <f t="shared" si="147"/>
        <v>0</v>
      </c>
      <c r="BE20" s="304">
        <f t="shared" si="17"/>
        <v>0</v>
      </c>
    </row>
    <row r="21" spans="1:57" x14ac:dyDescent="0.25">
      <c r="A21" t="s">
        <v>152</v>
      </c>
      <c r="B21" s="376"/>
      <c r="C21" s="317"/>
      <c r="D21" s="374">
        <v>4000</v>
      </c>
      <c r="E21" s="250" t="s">
        <v>184</v>
      </c>
      <c r="F21" s="356"/>
      <c r="G21" s="356"/>
      <c r="H21" s="356">
        <v>1</v>
      </c>
      <c r="I21" s="338"/>
      <c r="J21" s="338"/>
      <c r="K21" s="338"/>
      <c r="L21" s="338"/>
      <c r="M21" s="338"/>
      <c r="N21" s="338"/>
      <c r="O21" s="337"/>
      <c r="P21" s="337"/>
      <c r="Q21" s="337"/>
      <c r="R21" s="337"/>
      <c r="S21" s="337"/>
      <c r="T21" s="337"/>
      <c r="U21" s="337"/>
      <c r="V21" s="351">
        <f t="shared" si="14"/>
        <v>1</v>
      </c>
      <c r="W21" s="300"/>
      <c r="X21" s="300"/>
      <c r="Y21" s="244">
        <f t="shared" si="0"/>
        <v>0</v>
      </c>
      <c r="Z21" s="244">
        <f t="shared" si="1"/>
        <v>0</v>
      </c>
      <c r="AA21" s="305">
        <f t="shared" si="2"/>
        <v>4000</v>
      </c>
      <c r="AB21" s="305">
        <f t="shared" si="3"/>
        <v>0</v>
      </c>
      <c r="AC21" s="305">
        <f>J21*$D21</f>
        <v>0</v>
      </c>
      <c r="AD21" s="305">
        <f t="shared" si="34"/>
        <v>0</v>
      </c>
      <c r="AE21" s="344">
        <f t="shared" si="35"/>
        <v>0</v>
      </c>
      <c r="AF21" s="344">
        <f t="shared" si="36"/>
        <v>0</v>
      </c>
      <c r="AG21" s="305">
        <f t="shared" si="15"/>
        <v>0</v>
      </c>
      <c r="AH21" s="305">
        <f t="shared" si="16"/>
        <v>0</v>
      </c>
      <c r="AI21" s="305">
        <f t="shared" si="8"/>
        <v>0</v>
      </c>
      <c r="AJ21" s="305">
        <f t="shared" si="9"/>
        <v>0</v>
      </c>
      <c r="AK21" s="305">
        <f t="shared" si="10"/>
        <v>0</v>
      </c>
      <c r="AL21" s="305">
        <f t="shared" si="11"/>
        <v>0</v>
      </c>
      <c r="AM21" s="244">
        <f t="shared" si="12"/>
        <v>0</v>
      </c>
      <c r="AN21" s="305">
        <f t="shared" si="12"/>
        <v>0</v>
      </c>
      <c r="AO21" s="305">
        <f t="shared" si="13"/>
        <v>0</v>
      </c>
      <c r="AP21" s="305">
        <f t="shared" si="13"/>
        <v>0</v>
      </c>
      <c r="AQ21" s="305">
        <f t="shared" si="13"/>
        <v>4000</v>
      </c>
      <c r="AR21" s="305">
        <f t="shared" si="13"/>
        <v>0</v>
      </c>
      <c r="AS21" s="305">
        <f t="shared" si="13"/>
        <v>0</v>
      </c>
      <c r="AT21" s="305">
        <f t="shared" si="13"/>
        <v>0</v>
      </c>
      <c r="AU21" s="305">
        <f t="shared" si="13"/>
        <v>0</v>
      </c>
      <c r="AV21" s="244">
        <f t="shared" si="13"/>
        <v>0</v>
      </c>
      <c r="AW21" s="244">
        <f t="shared" si="13"/>
        <v>0</v>
      </c>
      <c r="AX21" s="244">
        <f t="shared" si="13"/>
        <v>0</v>
      </c>
      <c r="AY21" s="244">
        <f t="shared" si="13"/>
        <v>0</v>
      </c>
      <c r="AZ21" s="244">
        <f t="shared" si="13"/>
        <v>0</v>
      </c>
      <c r="BA21" s="244">
        <f t="shared" si="13"/>
        <v>0</v>
      </c>
      <c r="BB21" s="244">
        <f t="shared" si="13"/>
        <v>0</v>
      </c>
      <c r="BC21" s="244">
        <f t="shared" si="13"/>
        <v>0</v>
      </c>
      <c r="BD21" s="305">
        <f t="shared" si="85"/>
        <v>0</v>
      </c>
      <c r="BE21" s="304">
        <f t="shared" si="17"/>
        <v>0</v>
      </c>
    </row>
    <row r="22" spans="1:57" s="300" customFormat="1" x14ac:dyDescent="0.25">
      <c r="A22" s="300" t="s">
        <v>152</v>
      </c>
      <c r="B22" s="376"/>
      <c r="C22" s="317"/>
      <c r="D22" s="374">
        <v>4000</v>
      </c>
      <c r="E22" s="250" t="s">
        <v>238</v>
      </c>
      <c r="F22" s="356"/>
      <c r="G22" s="356"/>
      <c r="H22" s="356">
        <v>0</v>
      </c>
      <c r="I22" s="338"/>
      <c r="J22" s="338"/>
      <c r="K22" s="338"/>
      <c r="L22" s="338"/>
      <c r="M22" s="338">
        <v>1</v>
      </c>
      <c r="N22" s="338"/>
      <c r="O22" s="337"/>
      <c r="P22" s="337"/>
      <c r="Q22" s="337"/>
      <c r="R22" s="337"/>
      <c r="S22" s="337"/>
      <c r="T22" s="337"/>
      <c r="U22" s="337"/>
      <c r="V22" s="351">
        <f t="shared" ref="V22" si="148">SUM(F22:U22)</f>
        <v>1</v>
      </c>
      <c r="Y22" s="305">
        <f t="shared" ref="Y22" si="149">F22*$D22</f>
        <v>0</v>
      </c>
      <c r="Z22" s="305">
        <f t="shared" ref="Z22" si="150">G22*$D22</f>
        <v>0</v>
      </c>
      <c r="AA22" s="305">
        <f t="shared" ref="AA22" si="151">H22*$D22</f>
        <v>0</v>
      </c>
      <c r="AB22" s="305">
        <f t="shared" ref="AB22" si="152">I22*$D22</f>
        <v>0</v>
      </c>
      <c r="AC22" s="305">
        <f>J22*$D22</f>
        <v>0</v>
      </c>
      <c r="AD22" s="305">
        <f t="shared" ref="AD22" si="153">K22*$D22</f>
        <v>0</v>
      </c>
      <c r="AE22" s="344">
        <f t="shared" ref="AE22" si="154">L22*$D22</f>
        <v>0</v>
      </c>
      <c r="AF22" s="344">
        <f t="shared" ref="AF22" si="155">M22*$D22</f>
        <v>4000</v>
      </c>
      <c r="AG22" s="305">
        <f t="shared" ref="AG22" si="156">N22*$D22</f>
        <v>0</v>
      </c>
      <c r="AH22" s="305">
        <f t="shared" ref="AH22" si="157">O22*$D22</f>
        <v>0</v>
      </c>
      <c r="AI22" s="305">
        <f t="shared" ref="AI22" si="158">P22*$D22</f>
        <v>0</v>
      </c>
      <c r="AJ22" s="305">
        <f t="shared" ref="AJ22" si="159">Q22*$D22</f>
        <v>0</v>
      </c>
      <c r="AK22" s="305">
        <f t="shared" ref="AK22" si="160">R22*$D22</f>
        <v>0</v>
      </c>
      <c r="AL22" s="305">
        <f t="shared" ref="AL22" si="161">S22*$D22</f>
        <v>0</v>
      </c>
      <c r="AM22" s="305">
        <f t="shared" ref="AM22" si="162">T22*$D22</f>
        <v>0</v>
      </c>
      <c r="AN22" s="305">
        <f t="shared" ref="AN22" si="163">U22*$D22</f>
        <v>0</v>
      </c>
      <c r="AO22" s="305">
        <f t="shared" ref="AO22:BC22" si="164">IF(AO$3=$E22,$D22,0)</f>
        <v>0</v>
      </c>
      <c r="AP22" s="305">
        <f t="shared" si="164"/>
        <v>0</v>
      </c>
      <c r="AQ22" s="305">
        <f t="shared" si="164"/>
        <v>0</v>
      </c>
      <c r="AR22" s="305">
        <f t="shared" si="164"/>
        <v>0</v>
      </c>
      <c r="AS22" s="305">
        <f t="shared" si="164"/>
        <v>0</v>
      </c>
      <c r="AT22" s="305">
        <f t="shared" si="164"/>
        <v>0</v>
      </c>
      <c r="AU22" s="305">
        <f t="shared" si="164"/>
        <v>0</v>
      </c>
      <c r="AV22" s="305">
        <f t="shared" si="164"/>
        <v>4000</v>
      </c>
      <c r="AW22" s="305">
        <f t="shared" si="164"/>
        <v>0</v>
      </c>
      <c r="AX22" s="305">
        <f t="shared" si="164"/>
        <v>0</v>
      </c>
      <c r="AY22" s="305">
        <f t="shared" si="164"/>
        <v>0</v>
      </c>
      <c r="AZ22" s="305">
        <f t="shared" si="164"/>
        <v>0</v>
      </c>
      <c r="BA22" s="305">
        <f t="shared" si="164"/>
        <v>0</v>
      </c>
      <c r="BB22" s="305">
        <f t="shared" si="164"/>
        <v>0</v>
      </c>
      <c r="BC22" s="305">
        <f t="shared" si="164"/>
        <v>0</v>
      </c>
      <c r="BD22" s="305">
        <f t="shared" si="85"/>
        <v>0</v>
      </c>
      <c r="BE22" s="304">
        <f t="shared" si="17"/>
        <v>0</v>
      </c>
    </row>
    <row r="23" spans="1:57" x14ac:dyDescent="0.25">
      <c r="A23" t="s">
        <v>152</v>
      </c>
      <c r="B23" s="376"/>
      <c r="C23" s="317"/>
      <c r="D23" s="374">
        <f>99000+851.16</f>
        <v>99851.16</v>
      </c>
      <c r="E23" s="250" t="s">
        <v>184</v>
      </c>
      <c r="F23" s="356"/>
      <c r="G23" s="356"/>
      <c r="H23" s="353">
        <v>0</v>
      </c>
      <c r="I23" s="354">
        <v>0.33049190415013707</v>
      </c>
      <c r="J23" s="354">
        <v>0.27120045475686011</v>
      </c>
      <c r="K23" s="354">
        <v>0.26270741371457274</v>
      </c>
      <c r="L23" s="338">
        <v>0.13560022737843005</v>
      </c>
      <c r="M23" s="338"/>
      <c r="N23" s="338"/>
      <c r="O23" s="337"/>
      <c r="P23" s="337"/>
      <c r="Q23" s="337"/>
      <c r="R23" s="337"/>
      <c r="S23" s="337"/>
      <c r="T23" s="337"/>
      <c r="U23" s="337"/>
      <c r="V23" s="351">
        <f t="shared" si="14"/>
        <v>0.99999999999999989</v>
      </c>
      <c r="W23" s="300"/>
      <c r="X23" s="300"/>
      <c r="Y23" s="244">
        <f t="shared" si="0"/>
        <v>0</v>
      </c>
      <c r="Z23" s="244">
        <f t="shared" si="1"/>
        <v>0</v>
      </c>
      <c r="AA23" s="305">
        <f t="shared" si="2"/>
        <v>0</v>
      </c>
      <c r="AB23" s="305">
        <f t="shared" si="3"/>
        <v>33000</v>
      </c>
      <c r="AC23" s="305">
        <f>J23*$D23</f>
        <v>27079.68</v>
      </c>
      <c r="AD23" s="305">
        <f t="shared" si="34"/>
        <v>26231.639999999996</v>
      </c>
      <c r="AE23" s="344">
        <f t="shared" si="35"/>
        <v>13539.84</v>
      </c>
      <c r="AF23" s="344">
        <f t="shared" si="36"/>
        <v>0</v>
      </c>
      <c r="AG23" s="305">
        <f t="shared" si="15"/>
        <v>0</v>
      </c>
      <c r="AH23" s="305">
        <f t="shared" si="16"/>
        <v>0</v>
      </c>
      <c r="AI23" s="305">
        <f t="shared" si="8"/>
        <v>0</v>
      </c>
      <c r="AJ23" s="305">
        <f t="shared" si="9"/>
        <v>0</v>
      </c>
      <c r="AK23" s="305">
        <f t="shared" si="10"/>
        <v>0</v>
      </c>
      <c r="AL23" s="305">
        <f t="shared" si="11"/>
        <v>0</v>
      </c>
      <c r="AM23" s="244">
        <f t="shared" si="12"/>
        <v>0</v>
      </c>
      <c r="AN23" s="305">
        <f t="shared" si="12"/>
        <v>0</v>
      </c>
      <c r="AO23" s="305">
        <f t="shared" si="13"/>
        <v>0</v>
      </c>
      <c r="AP23" s="305">
        <f t="shared" si="13"/>
        <v>0</v>
      </c>
      <c r="AQ23" s="305">
        <f t="shared" si="13"/>
        <v>99851.16</v>
      </c>
      <c r="AR23" s="305">
        <f t="shared" si="13"/>
        <v>0</v>
      </c>
      <c r="AS23" s="305">
        <f t="shared" si="13"/>
        <v>0</v>
      </c>
      <c r="AT23" s="305">
        <f t="shared" si="13"/>
        <v>0</v>
      </c>
      <c r="AU23" s="305">
        <f t="shared" si="13"/>
        <v>0</v>
      </c>
      <c r="AV23" s="244">
        <f t="shared" si="13"/>
        <v>0</v>
      </c>
      <c r="AW23" s="244">
        <f t="shared" si="13"/>
        <v>0</v>
      </c>
      <c r="AX23" s="244">
        <f t="shared" si="13"/>
        <v>0</v>
      </c>
      <c r="AY23" s="244">
        <f t="shared" si="13"/>
        <v>0</v>
      </c>
      <c r="AZ23" s="244">
        <f t="shared" si="13"/>
        <v>0</v>
      </c>
      <c r="BA23" s="244">
        <f t="shared" si="13"/>
        <v>0</v>
      </c>
      <c r="BB23" s="244">
        <f t="shared" si="13"/>
        <v>0</v>
      </c>
      <c r="BC23" s="244">
        <f t="shared" si="13"/>
        <v>0</v>
      </c>
      <c r="BD23" s="305">
        <f t="shared" si="85"/>
        <v>0</v>
      </c>
      <c r="BE23" s="304">
        <f t="shared" si="17"/>
        <v>0</v>
      </c>
    </row>
    <row r="24" spans="1:57" s="300" customFormat="1" x14ac:dyDescent="0.25">
      <c r="A24" s="300" t="s">
        <v>152</v>
      </c>
      <c r="B24" s="376"/>
      <c r="C24" s="317"/>
      <c r="D24" s="374">
        <v>118604.1</v>
      </c>
      <c r="E24" s="250" t="s">
        <v>198</v>
      </c>
      <c r="F24" s="356"/>
      <c r="G24" s="356"/>
      <c r="H24" s="353"/>
      <c r="I24" s="354"/>
      <c r="J24" s="354"/>
      <c r="K24" s="354"/>
      <c r="L24" s="338">
        <v>7.9299788118623218E-2</v>
      </c>
      <c r="M24" s="338">
        <v>0.25</v>
      </c>
      <c r="N24" s="338">
        <v>0.25</v>
      </c>
      <c r="O24" s="338">
        <v>0.25</v>
      </c>
      <c r="P24" s="338">
        <v>0.17070021188137674</v>
      </c>
      <c r="Q24" s="337"/>
      <c r="R24" s="337"/>
      <c r="S24" s="337"/>
      <c r="T24" s="337"/>
      <c r="U24" s="337"/>
      <c r="V24" s="351">
        <f t="shared" si="14"/>
        <v>1</v>
      </c>
      <c r="Y24" s="305">
        <f t="shared" ref="Y24" si="165">F24*$D24</f>
        <v>0</v>
      </c>
      <c r="Z24" s="305">
        <f t="shared" ref="Z24" si="166">G24*$D24</f>
        <v>0</v>
      </c>
      <c r="AA24" s="305">
        <f t="shared" ref="AA24" si="167">H24*$D24</f>
        <v>0</v>
      </c>
      <c r="AB24" s="305">
        <f t="shared" ref="AB24" si="168">I24*$D24</f>
        <v>0</v>
      </c>
      <c r="AC24" s="305">
        <f t="shared" ref="AC24" si="169">J24*$D24</f>
        <v>0</v>
      </c>
      <c r="AD24" s="305">
        <f t="shared" ref="AD24" si="170">K24*$D24</f>
        <v>0</v>
      </c>
      <c r="AE24" s="344">
        <f t="shared" ref="AE24" si="171">L24*$D24</f>
        <v>9405.2800000000007</v>
      </c>
      <c r="AF24" s="344">
        <f t="shared" ref="AF24" si="172">M24*$D24</f>
        <v>29651.025000000001</v>
      </c>
      <c r="AG24" s="305">
        <f t="shared" ref="AG24" si="173">N24*$D24</f>
        <v>29651.025000000001</v>
      </c>
      <c r="AH24" s="305">
        <f t="shared" ref="AH24" si="174">O24*$D24</f>
        <v>29651.025000000001</v>
      </c>
      <c r="AI24" s="305">
        <f t="shared" ref="AI24" si="175">P24*$D24</f>
        <v>20245.744999999995</v>
      </c>
      <c r="AJ24" s="305">
        <f t="shared" ref="AJ24" si="176">Q24*$D24</f>
        <v>0</v>
      </c>
      <c r="AK24" s="305">
        <f t="shared" ref="AK24" si="177">R24*$D24</f>
        <v>0</v>
      </c>
      <c r="AL24" s="305">
        <f t="shared" ref="AL24" si="178">S24*$D24</f>
        <v>0</v>
      </c>
      <c r="AM24" s="305">
        <f t="shared" ref="AM24:AN24" si="179">T24*$D24</f>
        <v>0</v>
      </c>
      <c r="AN24" s="305">
        <f t="shared" si="179"/>
        <v>0</v>
      </c>
      <c r="AO24" s="305">
        <f t="shared" ref="AO24:BD24" si="180">IF(AO$3=$E24,$D24,0)</f>
        <v>0</v>
      </c>
      <c r="AP24" s="305">
        <f t="shared" si="180"/>
        <v>0</v>
      </c>
      <c r="AQ24" s="305">
        <f t="shared" si="180"/>
        <v>0</v>
      </c>
      <c r="AR24" s="305">
        <f t="shared" si="180"/>
        <v>0</v>
      </c>
      <c r="AS24" s="305">
        <f t="shared" si="180"/>
        <v>0</v>
      </c>
      <c r="AT24" s="305">
        <f t="shared" si="180"/>
        <v>0</v>
      </c>
      <c r="AU24" s="305">
        <f t="shared" si="180"/>
        <v>118604.1</v>
      </c>
      <c r="AV24" s="305">
        <f t="shared" si="180"/>
        <v>0</v>
      </c>
      <c r="AW24" s="305">
        <f t="shared" si="180"/>
        <v>0</v>
      </c>
      <c r="AX24" s="305">
        <f t="shared" si="180"/>
        <v>0</v>
      </c>
      <c r="AY24" s="305">
        <f t="shared" si="180"/>
        <v>0</v>
      </c>
      <c r="AZ24" s="305">
        <f t="shared" si="180"/>
        <v>0</v>
      </c>
      <c r="BA24" s="305">
        <f t="shared" si="180"/>
        <v>0</v>
      </c>
      <c r="BB24" s="305">
        <f t="shared" si="180"/>
        <v>0</v>
      </c>
      <c r="BC24" s="305">
        <f t="shared" si="180"/>
        <v>0</v>
      </c>
      <c r="BD24" s="305">
        <f t="shared" si="180"/>
        <v>0</v>
      </c>
      <c r="BE24" s="304">
        <f t="shared" si="17"/>
        <v>0</v>
      </c>
    </row>
    <row r="25" spans="1:57" x14ac:dyDescent="0.25">
      <c r="A25" t="s">
        <v>152</v>
      </c>
      <c r="B25" s="376"/>
      <c r="C25" s="317"/>
      <c r="D25" s="342">
        <v>230000</v>
      </c>
      <c r="E25" s="250" t="s">
        <v>266</v>
      </c>
      <c r="F25" s="356"/>
      <c r="G25" s="356"/>
      <c r="H25" s="356"/>
      <c r="I25" s="338"/>
      <c r="J25" s="338"/>
      <c r="K25" s="338">
        <v>0</v>
      </c>
      <c r="L25" s="338">
        <v>0</v>
      </c>
      <c r="M25" s="338">
        <v>0</v>
      </c>
      <c r="N25" s="338">
        <v>0</v>
      </c>
      <c r="O25" s="338">
        <v>0.25</v>
      </c>
      <c r="P25" s="338">
        <v>0.25</v>
      </c>
      <c r="Q25" s="338">
        <v>0.25</v>
      </c>
      <c r="R25" s="338">
        <v>0.25</v>
      </c>
      <c r="S25" s="337"/>
      <c r="T25" s="337"/>
      <c r="U25" s="337"/>
      <c r="V25" s="351">
        <f t="shared" si="14"/>
        <v>1</v>
      </c>
      <c r="W25" s="300"/>
      <c r="X25" s="300"/>
      <c r="Y25" s="244">
        <f t="shared" si="0"/>
        <v>0</v>
      </c>
      <c r="Z25" s="244">
        <f t="shared" si="1"/>
        <v>0</v>
      </c>
      <c r="AA25" s="305">
        <f t="shared" si="2"/>
        <v>0</v>
      </c>
      <c r="AB25" s="305">
        <f t="shared" si="3"/>
        <v>0</v>
      </c>
      <c r="AC25" s="305">
        <f>J25*$D25</f>
        <v>0</v>
      </c>
      <c r="AD25" s="305">
        <f>K25*$D25</f>
        <v>0</v>
      </c>
      <c r="AE25" s="344">
        <f t="shared" si="35"/>
        <v>0</v>
      </c>
      <c r="AF25" s="305">
        <f t="shared" si="36"/>
        <v>0</v>
      </c>
      <c r="AG25" s="305">
        <f t="shared" si="15"/>
        <v>0</v>
      </c>
      <c r="AH25" s="305">
        <f t="shared" si="16"/>
        <v>57500</v>
      </c>
      <c r="AI25" s="305">
        <f t="shared" si="8"/>
        <v>57500</v>
      </c>
      <c r="AJ25" s="305">
        <f t="shared" si="9"/>
        <v>57500</v>
      </c>
      <c r="AK25" s="305">
        <f t="shared" si="10"/>
        <v>57500</v>
      </c>
      <c r="AL25" s="305">
        <f t="shared" si="11"/>
        <v>0</v>
      </c>
      <c r="AM25" s="244">
        <f t="shared" si="12"/>
        <v>0</v>
      </c>
      <c r="AN25" s="305">
        <f t="shared" si="12"/>
        <v>0</v>
      </c>
      <c r="AO25" s="305">
        <f t="shared" si="13"/>
        <v>0</v>
      </c>
      <c r="AP25" s="305">
        <f t="shared" si="13"/>
        <v>0</v>
      </c>
      <c r="AQ25" s="305">
        <f t="shared" si="13"/>
        <v>0</v>
      </c>
      <c r="AR25" s="305">
        <f t="shared" si="13"/>
        <v>0</v>
      </c>
      <c r="AS25" s="305">
        <f t="shared" si="13"/>
        <v>0</v>
      </c>
      <c r="AT25" s="305">
        <f t="shared" si="13"/>
        <v>0</v>
      </c>
      <c r="AU25" s="305">
        <f t="shared" si="13"/>
        <v>0</v>
      </c>
      <c r="AV25" s="244">
        <f t="shared" si="13"/>
        <v>0</v>
      </c>
      <c r="AW25" s="244">
        <f t="shared" si="13"/>
        <v>230000</v>
      </c>
      <c r="AX25" s="244">
        <f t="shared" si="13"/>
        <v>0</v>
      </c>
      <c r="AY25" s="244">
        <f t="shared" si="13"/>
        <v>0</v>
      </c>
      <c r="AZ25" s="244">
        <f t="shared" si="13"/>
        <v>0</v>
      </c>
      <c r="BA25" s="244">
        <f t="shared" si="13"/>
        <v>0</v>
      </c>
      <c r="BB25" s="244">
        <f t="shared" si="13"/>
        <v>0</v>
      </c>
      <c r="BC25" s="244">
        <f t="shared" si="13"/>
        <v>0</v>
      </c>
      <c r="BD25" s="305">
        <f t="shared" si="85"/>
        <v>0</v>
      </c>
      <c r="BE25" s="304">
        <f t="shared" si="17"/>
        <v>0</v>
      </c>
    </row>
    <row r="26" spans="1:57" s="300" customFormat="1" x14ac:dyDescent="0.25">
      <c r="A26" s="300" t="s">
        <v>152</v>
      </c>
      <c r="B26" s="376"/>
      <c r="C26" s="317"/>
      <c r="D26" s="342">
        <v>7725.48</v>
      </c>
      <c r="E26" s="250" t="s">
        <v>266</v>
      </c>
      <c r="F26" s="356"/>
      <c r="G26" s="356"/>
      <c r="H26" s="356"/>
      <c r="I26" s="338"/>
      <c r="J26" s="338"/>
      <c r="K26" s="338">
        <v>0</v>
      </c>
      <c r="L26" s="338">
        <v>1</v>
      </c>
      <c r="M26" s="338">
        <v>0</v>
      </c>
      <c r="N26" s="338">
        <v>0</v>
      </c>
      <c r="O26" s="338">
        <v>0</v>
      </c>
      <c r="P26" s="338">
        <v>0</v>
      </c>
      <c r="Q26" s="338">
        <v>0</v>
      </c>
      <c r="R26" s="338">
        <v>0</v>
      </c>
      <c r="S26" s="337"/>
      <c r="T26" s="337"/>
      <c r="U26" s="337"/>
      <c r="V26" s="351">
        <f t="shared" ref="V26" si="181">SUM(F26:U26)</f>
        <v>1</v>
      </c>
      <c r="Y26" s="305">
        <f t="shared" ref="Y26" si="182">F26*$D26</f>
        <v>0</v>
      </c>
      <c r="Z26" s="305">
        <f t="shared" ref="Z26" si="183">G26*$D26</f>
        <v>0</v>
      </c>
      <c r="AA26" s="305">
        <f t="shared" ref="AA26" si="184">H26*$D26</f>
        <v>0</v>
      </c>
      <c r="AB26" s="305">
        <f t="shared" ref="AB26" si="185">I26*$D26</f>
        <v>0</v>
      </c>
      <c r="AC26" s="305">
        <f>J26*$D26</f>
        <v>0</v>
      </c>
      <c r="AD26" s="305">
        <f>K26*$D26</f>
        <v>0</v>
      </c>
      <c r="AE26" s="344">
        <f t="shared" ref="AE26" si="186">L26*$D26</f>
        <v>7725.48</v>
      </c>
      <c r="AF26" s="305">
        <f t="shared" ref="AF26" si="187">M26*$D26</f>
        <v>0</v>
      </c>
      <c r="AG26" s="305">
        <f t="shared" ref="AG26" si="188">N26*$D26</f>
        <v>0</v>
      </c>
      <c r="AH26" s="305">
        <f t="shared" ref="AH26" si="189">O26*$D26</f>
        <v>0</v>
      </c>
      <c r="AI26" s="305">
        <f t="shared" ref="AI26" si="190">P26*$D26</f>
        <v>0</v>
      </c>
      <c r="AJ26" s="305">
        <f t="shared" ref="AJ26" si="191">Q26*$D26</f>
        <v>0</v>
      </c>
      <c r="AK26" s="305">
        <f t="shared" ref="AK26" si="192">R26*$D26</f>
        <v>0</v>
      </c>
      <c r="AL26" s="305">
        <f t="shared" ref="AL26" si="193">S26*$D26</f>
        <v>0</v>
      </c>
      <c r="AM26" s="305">
        <f t="shared" ref="AM26" si="194">T26*$D26</f>
        <v>0</v>
      </c>
      <c r="AN26" s="305">
        <f t="shared" ref="AN26" si="195">U26*$D26</f>
        <v>0</v>
      </c>
      <c r="AO26" s="305">
        <f t="shared" ref="AO26:BC26" si="196">IF(AO$3=$E26,$D26,0)</f>
        <v>0</v>
      </c>
      <c r="AP26" s="305">
        <f t="shared" si="196"/>
        <v>0</v>
      </c>
      <c r="AQ26" s="305">
        <f t="shared" si="196"/>
        <v>0</v>
      </c>
      <c r="AR26" s="305">
        <f t="shared" si="196"/>
        <v>0</v>
      </c>
      <c r="AS26" s="305">
        <f t="shared" si="196"/>
        <v>0</v>
      </c>
      <c r="AT26" s="305">
        <f t="shared" si="196"/>
        <v>0</v>
      </c>
      <c r="AU26" s="305">
        <f t="shared" si="196"/>
        <v>0</v>
      </c>
      <c r="AV26" s="305">
        <f t="shared" si="196"/>
        <v>0</v>
      </c>
      <c r="AW26" s="305">
        <f t="shared" si="196"/>
        <v>7725.48</v>
      </c>
      <c r="AX26" s="305">
        <f t="shared" si="196"/>
        <v>0</v>
      </c>
      <c r="AY26" s="305">
        <f t="shared" si="196"/>
        <v>0</v>
      </c>
      <c r="AZ26" s="305">
        <f t="shared" si="196"/>
        <v>0</v>
      </c>
      <c r="BA26" s="305">
        <f t="shared" si="196"/>
        <v>0</v>
      </c>
      <c r="BB26" s="305">
        <f t="shared" si="196"/>
        <v>0</v>
      </c>
      <c r="BC26" s="305">
        <f t="shared" si="196"/>
        <v>0</v>
      </c>
      <c r="BD26" s="305">
        <f t="shared" si="85"/>
        <v>0</v>
      </c>
      <c r="BE26" s="304">
        <f t="shared" ref="BE26" si="197">SUM(Y26:AN26)-SUM(AO26:BD26)</f>
        <v>0</v>
      </c>
    </row>
    <row r="27" spans="1:57" s="300" customFormat="1" x14ac:dyDescent="0.25">
      <c r="A27" s="300" t="s">
        <v>152</v>
      </c>
      <c r="B27" s="376"/>
      <c r="C27" s="317"/>
      <c r="D27" s="342">
        <v>1500</v>
      </c>
      <c r="E27" s="250" t="s">
        <v>216</v>
      </c>
      <c r="F27" s="356"/>
      <c r="G27" s="356"/>
      <c r="H27" s="356"/>
      <c r="I27" s="338">
        <v>1</v>
      </c>
      <c r="J27" s="338"/>
      <c r="K27" s="338">
        <v>0</v>
      </c>
      <c r="L27" s="338"/>
      <c r="M27" s="338"/>
      <c r="N27" s="338"/>
      <c r="O27" s="338"/>
      <c r="P27" s="338"/>
      <c r="Q27" s="338"/>
      <c r="R27" s="337"/>
      <c r="S27" s="337"/>
      <c r="T27" s="337"/>
      <c r="U27" s="337"/>
      <c r="V27" s="351">
        <f t="shared" si="14"/>
        <v>1</v>
      </c>
      <c r="Y27" s="305">
        <f t="shared" ref="Y27" si="198">F27*$D27</f>
        <v>0</v>
      </c>
      <c r="Z27" s="305">
        <f t="shared" ref="Z27" si="199">G27*$D27</f>
        <v>0</v>
      </c>
      <c r="AA27" s="305">
        <f t="shared" ref="AA27" si="200">H27*$D27</f>
        <v>0</v>
      </c>
      <c r="AB27" s="305">
        <f t="shared" ref="AB27" si="201">I27*$D27</f>
        <v>1500</v>
      </c>
      <c r="AC27" s="305">
        <f t="shared" ref="AC27" si="202">J27*$D27</f>
        <v>0</v>
      </c>
      <c r="AD27" s="305">
        <f t="shared" ref="AD27" si="203">K27*$D27</f>
        <v>0</v>
      </c>
      <c r="AE27" s="344">
        <f t="shared" ref="AE27" si="204">L27*$D27</f>
        <v>0</v>
      </c>
      <c r="AF27" s="305">
        <f t="shared" ref="AF27" si="205">M27*$D27</f>
        <v>0</v>
      </c>
      <c r="AG27" s="305">
        <f t="shared" ref="AG27" si="206">N27*$D27</f>
        <v>0</v>
      </c>
      <c r="AH27" s="305">
        <f t="shared" ref="AH27" si="207">O27*$D27</f>
        <v>0</v>
      </c>
      <c r="AI27" s="305">
        <f t="shared" ref="AI27" si="208">P27*$D27</f>
        <v>0</v>
      </c>
      <c r="AJ27" s="305">
        <f t="shared" ref="AJ27" si="209">Q27*$D27</f>
        <v>0</v>
      </c>
      <c r="AK27" s="305">
        <f t="shared" ref="AK27" si="210">R27*$D27</f>
        <v>0</v>
      </c>
      <c r="AL27" s="305">
        <f t="shared" ref="AL27" si="211">S27*$D27</f>
        <v>0</v>
      </c>
      <c r="AM27" s="305">
        <f t="shared" ref="AM27:AN27" si="212">T27*$D27</f>
        <v>0</v>
      </c>
      <c r="AN27" s="305">
        <f t="shared" si="212"/>
        <v>0</v>
      </c>
      <c r="AO27" s="305">
        <f t="shared" si="13"/>
        <v>0</v>
      </c>
      <c r="AP27" s="305">
        <f t="shared" si="13"/>
        <v>0</v>
      </c>
      <c r="AQ27" s="305">
        <f t="shared" si="13"/>
        <v>0</v>
      </c>
      <c r="AR27" s="305">
        <f t="shared" si="13"/>
        <v>1500</v>
      </c>
      <c r="AS27" s="305">
        <f t="shared" si="13"/>
        <v>0</v>
      </c>
      <c r="AT27" s="305">
        <f t="shared" si="13"/>
        <v>0</v>
      </c>
      <c r="AU27" s="305">
        <f t="shared" si="13"/>
        <v>0</v>
      </c>
      <c r="AV27" s="305">
        <f t="shared" si="13"/>
        <v>0</v>
      </c>
      <c r="AW27" s="305">
        <f t="shared" si="13"/>
        <v>0</v>
      </c>
      <c r="AX27" s="305">
        <f t="shared" si="13"/>
        <v>0</v>
      </c>
      <c r="AY27" s="305">
        <f t="shared" si="13"/>
        <v>0</v>
      </c>
      <c r="AZ27" s="305">
        <f t="shared" si="13"/>
        <v>0</v>
      </c>
      <c r="BA27" s="305">
        <f t="shared" si="13"/>
        <v>0</v>
      </c>
      <c r="BB27" s="305">
        <f t="shared" si="13"/>
        <v>0</v>
      </c>
      <c r="BC27" s="305">
        <f t="shared" si="13"/>
        <v>0</v>
      </c>
      <c r="BD27" s="305">
        <f t="shared" si="85"/>
        <v>0</v>
      </c>
      <c r="BE27" s="304">
        <f t="shared" si="17"/>
        <v>0</v>
      </c>
    </row>
    <row r="28" spans="1:57" ht="14.45" customHeight="1" x14ac:dyDescent="0.25">
      <c r="A28" s="300" t="s">
        <v>153</v>
      </c>
      <c r="B28" s="313"/>
      <c r="C28" s="317"/>
      <c r="D28" s="342">
        <v>200000</v>
      </c>
      <c r="E28" s="250" t="s">
        <v>216</v>
      </c>
      <c r="F28" s="356"/>
      <c r="G28" s="356"/>
      <c r="H28" s="356"/>
      <c r="I28" s="338"/>
      <c r="J28" s="338">
        <v>0</v>
      </c>
      <c r="K28" s="338">
        <v>0.20979244999999999</v>
      </c>
      <c r="L28" s="370">
        <v>4.6872799999999999E-2</v>
      </c>
      <c r="M28" s="339">
        <v>0</v>
      </c>
      <c r="N28" s="347">
        <v>0.15</v>
      </c>
      <c r="O28" s="347">
        <v>0.2</v>
      </c>
      <c r="P28" s="347"/>
      <c r="Q28" s="347"/>
      <c r="R28" s="347">
        <v>0.2</v>
      </c>
      <c r="S28" s="347">
        <f>1-R28-O28-N28-L28-K28</f>
        <v>0.19333475000000008</v>
      </c>
      <c r="T28" s="337"/>
      <c r="U28" s="337"/>
      <c r="V28" s="377">
        <f t="shared" si="14"/>
        <v>1</v>
      </c>
      <c r="W28" s="300"/>
      <c r="X28" s="300"/>
      <c r="Y28" s="244">
        <f t="shared" si="0"/>
        <v>0</v>
      </c>
      <c r="Z28" s="244">
        <f t="shared" si="1"/>
        <v>0</v>
      </c>
      <c r="AA28" s="305">
        <f t="shared" si="2"/>
        <v>0</v>
      </c>
      <c r="AB28" s="305">
        <f t="shared" si="3"/>
        <v>0</v>
      </c>
      <c r="AC28" s="305">
        <f>J28*$D28</f>
        <v>0</v>
      </c>
      <c r="AD28" s="305">
        <f t="shared" si="34"/>
        <v>41958.49</v>
      </c>
      <c r="AE28" s="344">
        <f t="shared" si="35"/>
        <v>9374.56</v>
      </c>
      <c r="AF28" s="305">
        <f t="shared" si="36"/>
        <v>0</v>
      </c>
      <c r="AG28" s="305">
        <f t="shared" si="15"/>
        <v>30000</v>
      </c>
      <c r="AH28" s="305">
        <f t="shared" si="16"/>
        <v>40000</v>
      </c>
      <c r="AI28" s="305">
        <f t="shared" si="8"/>
        <v>0</v>
      </c>
      <c r="AJ28" s="305">
        <f t="shared" si="9"/>
        <v>0</v>
      </c>
      <c r="AK28" s="305">
        <f t="shared" si="10"/>
        <v>40000</v>
      </c>
      <c r="AL28" s="305">
        <f t="shared" si="11"/>
        <v>38666.950000000019</v>
      </c>
      <c r="AM28" s="244">
        <f t="shared" si="12"/>
        <v>0</v>
      </c>
      <c r="AN28" s="305">
        <f t="shared" si="12"/>
        <v>0</v>
      </c>
      <c r="AO28" s="305">
        <f t="shared" ref="AO28:BD43" si="213">IF(AO$3=$E28,$D28,0)</f>
        <v>0</v>
      </c>
      <c r="AP28" s="305">
        <f t="shared" si="213"/>
        <v>0</v>
      </c>
      <c r="AQ28" s="305">
        <f t="shared" si="213"/>
        <v>0</v>
      </c>
      <c r="AR28" s="305">
        <f t="shared" si="213"/>
        <v>200000</v>
      </c>
      <c r="AS28" s="305">
        <f t="shared" si="213"/>
        <v>0</v>
      </c>
      <c r="AT28" s="305">
        <f t="shared" si="213"/>
        <v>0</v>
      </c>
      <c r="AU28" s="244">
        <f t="shared" si="213"/>
        <v>0</v>
      </c>
      <c r="AV28" s="244">
        <f t="shared" si="213"/>
        <v>0</v>
      </c>
      <c r="AW28" s="244">
        <f t="shared" si="213"/>
        <v>0</v>
      </c>
      <c r="AX28" s="244">
        <f t="shared" si="213"/>
        <v>0</v>
      </c>
      <c r="AY28" s="244">
        <f t="shared" si="213"/>
        <v>0</v>
      </c>
      <c r="AZ28" s="244">
        <f t="shared" si="213"/>
        <v>0</v>
      </c>
      <c r="BA28" s="244">
        <f t="shared" si="213"/>
        <v>0</v>
      </c>
      <c r="BB28" s="244">
        <f t="shared" si="213"/>
        <v>0</v>
      </c>
      <c r="BC28" s="244">
        <f t="shared" si="213"/>
        <v>0</v>
      </c>
      <c r="BD28" s="305">
        <f t="shared" si="213"/>
        <v>0</v>
      </c>
      <c r="BE28" s="304">
        <f t="shared" si="17"/>
        <v>0</v>
      </c>
    </row>
    <row r="29" spans="1:57" ht="14.45" customHeight="1" x14ac:dyDescent="0.25">
      <c r="A29" t="s">
        <v>153</v>
      </c>
      <c r="B29" s="313"/>
      <c r="C29" s="317"/>
      <c r="D29" s="342">
        <v>51406.27</v>
      </c>
      <c r="E29" s="250" t="s">
        <v>213</v>
      </c>
      <c r="F29" s="355"/>
      <c r="G29" s="355"/>
      <c r="H29" s="355"/>
      <c r="I29" s="337"/>
      <c r="J29" s="338">
        <v>0.37500194529821401</v>
      </c>
      <c r="K29" s="338">
        <v>0.50000233435785701</v>
      </c>
      <c r="L29" s="354">
        <v>0.12499572034392892</v>
      </c>
      <c r="M29" s="338"/>
      <c r="N29" s="338"/>
      <c r="O29" s="337"/>
      <c r="P29" s="337"/>
      <c r="Q29" s="337"/>
      <c r="R29" s="337"/>
      <c r="S29" s="337"/>
      <c r="T29" s="337"/>
      <c r="U29" s="337"/>
      <c r="V29" s="351">
        <f t="shared" si="14"/>
        <v>1</v>
      </c>
      <c r="W29" s="300"/>
      <c r="X29" s="300"/>
      <c r="Y29" s="244">
        <f t="shared" si="0"/>
        <v>0</v>
      </c>
      <c r="Z29" s="244">
        <f t="shared" si="1"/>
        <v>0</v>
      </c>
      <c r="AA29" s="305">
        <f t="shared" si="2"/>
        <v>0</v>
      </c>
      <c r="AB29" s="305">
        <f t="shared" si="3"/>
        <v>0</v>
      </c>
      <c r="AC29" s="305">
        <f>J29*$D29</f>
        <v>19277.451250525221</v>
      </c>
      <c r="AD29" s="305">
        <f t="shared" si="34"/>
        <v>25703.255000630274</v>
      </c>
      <c r="AE29" s="344">
        <f t="shared" si="35"/>
        <v>6425.5637488445027</v>
      </c>
      <c r="AF29" s="305">
        <f t="shared" si="36"/>
        <v>0</v>
      </c>
      <c r="AG29" s="305">
        <f t="shared" si="15"/>
        <v>0</v>
      </c>
      <c r="AH29" s="305">
        <f t="shared" si="16"/>
        <v>0</v>
      </c>
      <c r="AI29" s="305">
        <f t="shared" si="8"/>
        <v>0</v>
      </c>
      <c r="AJ29" s="305">
        <f t="shared" si="9"/>
        <v>0</v>
      </c>
      <c r="AK29" s="305">
        <f t="shared" si="10"/>
        <v>0</v>
      </c>
      <c r="AL29" s="305">
        <f t="shared" si="11"/>
        <v>0</v>
      </c>
      <c r="AM29" s="244">
        <f t="shared" si="12"/>
        <v>0</v>
      </c>
      <c r="AN29" s="305">
        <f t="shared" si="12"/>
        <v>0</v>
      </c>
      <c r="AO29" s="305">
        <f t="shared" si="213"/>
        <v>0</v>
      </c>
      <c r="AP29" s="305">
        <f t="shared" si="213"/>
        <v>0</v>
      </c>
      <c r="AQ29" s="305">
        <f t="shared" si="213"/>
        <v>0</v>
      </c>
      <c r="AR29" s="305">
        <f t="shared" si="213"/>
        <v>0</v>
      </c>
      <c r="AS29" s="305">
        <f t="shared" si="213"/>
        <v>51406.27</v>
      </c>
      <c r="AT29" s="305">
        <f t="shared" si="213"/>
        <v>0</v>
      </c>
      <c r="AU29" s="244">
        <f t="shared" si="213"/>
        <v>0</v>
      </c>
      <c r="AV29" s="244">
        <f t="shared" si="213"/>
        <v>0</v>
      </c>
      <c r="AW29" s="244">
        <f t="shared" si="213"/>
        <v>0</v>
      </c>
      <c r="AX29" s="244">
        <f t="shared" si="213"/>
        <v>0</v>
      </c>
      <c r="AY29" s="244">
        <f t="shared" si="213"/>
        <v>0</v>
      </c>
      <c r="AZ29" s="244">
        <f t="shared" si="213"/>
        <v>0</v>
      </c>
      <c r="BA29" s="244">
        <f t="shared" si="213"/>
        <v>0</v>
      </c>
      <c r="BB29" s="244">
        <f t="shared" si="213"/>
        <v>0</v>
      </c>
      <c r="BC29" s="244">
        <f t="shared" si="213"/>
        <v>0</v>
      </c>
      <c r="BD29" s="305">
        <f t="shared" si="213"/>
        <v>0</v>
      </c>
      <c r="BE29" s="304">
        <f t="shared" si="17"/>
        <v>0</v>
      </c>
    </row>
    <row r="30" spans="1:57" s="300" customFormat="1" ht="14.45" customHeight="1" x14ac:dyDescent="0.25">
      <c r="A30" s="300" t="s">
        <v>153</v>
      </c>
      <c r="B30" s="313"/>
      <c r="C30" s="317"/>
      <c r="D30" s="342">
        <v>6425.8</v>
      </c>
      <c r="E30" s="250" t="s">
        <v>198</v>
      </c>
      <c r="F30" s="355"/>
      <c r="G30" s="355"/>
      <c r="H30" s="355"/>
      <c r="I30" s="337"/>
      <c r="J30" s="338">
        <v>0</v>
      </c>
      <c r="K30" s="338">
        <v>0</v>
      </c>
      <c r="L30" s="338">
        <v>1</v>
      </c>
      <c r="M30" s="338"/>
      <c r="N30" s="338"/>
      <c r="O30" s="337"/>
      <c r="P30" s="337"/>
      <c r="Q30" s="337"/>
      <c r="R30" s="337"/>
      <c r="S30" s="337"/>
      <c r="T30" s="337"/>
      <c r="U30" s="337"/>
      <c r="V30" s="351">
        <f t="shared" si="14"/>
        <v>1</v>
      </c>
      <c r="Y30" s="305">
        <f t="shared" ref="Y30" si="214">F30*$D30</f>
        <v>0</v>
      </c>
      <c r="Z30" s="305">
        <f t="shared" ref="Z30" si="215">G30*$D30</f>
        <v>0</v>
      </c>
      <c r="AA30" s="305">
        <f t="shared" ref="AA30" si="216">H30*$D30</f>
        <v>0</v>
      </c>
      <c r="AB30" s="305">
        <f t="shared" ref="AB30" si="217">I30*$D30</f>
        <v>0</v>
      </c>
      <c r="AC30" s="305">
        <f t="shared" ref="AC30" si="218">J30*$D30</f>
        <v>0</v>
      </c>
      <c r="AD30" s="305">
        <f t="shared" ref="AD30" si="219">K30*$D30</f>
        <v>0</v>
      </c>
      <c r="AE30" s="344">
        <f t="shared" ref="AE30" si="220">L30*$D30</f>
        <v>6425.8</v>
      </c>
      <c r="AF30" s="305">
        <f t="shared" ref="AF30" si="221">M30*$D30</f>
        <v>0</v>
      </c>
      <c r="AG30" s="305">
        <f t="shared" ref="AG30" si="222">N30*$D30</f>
        <v>0</v>
      </c>
      <c r="AH30" s="305">
        <f t="shared" ref="AH30" si="223">O30*$D30</f>
        <v>0</v>
      </c>
      <c r="AI30" s="305">
        <f t="shared" ref="AI30" si="224">P30*$D30</f>
        <v>0</v>
      </c>
      <c r="AJ30" s="305">
        <f t="shared" ref="AJ30" si="225">Q30*$D30</f>
        <v>0</v>
      </c>
      <c r="AK30" s="305">
        <f t="shared" ref="AK30" si="226">R30*$D30</f>
        <v>0</v>
      </c>
      <c r="AL30" s="305">
        <f t="shared" ref="AL30" si="227">S30*$D30</f>
        <v>0</v>
      </c>
      <c r="AM30" s="305">
        <f t="shared" ref="AM30:AN30" si="228">T30*$D30</f>
        <v>0</v>
      </c>
      <c r="AN30" s="305">
        <f t="shared" si="228"/>
        <v>0</v>
      </c>
      <c r="AO30" s="305">
        <f t="shared" si="213"/>
        <v>0</v>
      </c>
      <c r="AP30" s="305">
        <f t="shared" si="213"/>
        <v>0</v>
      </c>
      <c r="AQ30" s="305">
        <f t="shared" si="213"/>
        <v>0</v>
      </c>
      <c r="AR30" s="305">
        <f t="shared" si="213"/>
        <v>0</v>
      </c>
      <c r="AS30" s="305">
        <f t="shared" si="213"/>
        <v>0</v>
      </c>
      <c r="AT30" s="305">
        <f t="shared" si="213"/>
        <v>0</v>
      </c>
      <c r="AU30" s="305">
        <f t="shared" si="213"/>
        <v>6425.8</v>
      </c>
      <c r="AV30" s="305">
        <f t="shared" si="213"/>
        <v>0</v>
      </c>
      <c r="AW30" s="305">
        <f t="shared" si="213"/>
        <v>0</v>
      </c>
      <c r="AX30" s="305">
        <f t="shared" si="213"/>
        <v>0</v>
      </c>
      <c r="AY30" s="305">
        <f t="shared" si="213"/>
        <v>0</v>
      </c>
      <c r="AZ30" s="305">
        <f t="shared" si="213"/>
        <v>0</v>
      </c>
      <c r="BA30" s="305">
        <f t="shared" si="213"/>
        <v>0</v>
      </c>
      <c r="BB30" s="305">
        <f t="shared" si="213"/>
        <v>0</v>
      </c>
      <c r="BC30" s="305">
        <f t="shared" si="213"/>
        <v>0</v>
      </c>
      <c r="BD30" s="305">
        <f t="shared" si="213"/>
        <v>0</v>
      </c>
      <c r="BE30" s="304">
        <f t="shared" si="17"/>
        <v>0</v>
      </c>
    </row>
    <row r="31" spans="1:57" ht="14.45" customHeight="1" x14ac:dyDescent="0.25">
      <c r="A31" t="s">
        <v>153</v>
      </c>
      <c r="B31" s="313"/>
      <c r="C31" s="317"/>
      <c r="D31" s="342">
        <v>121200</v>
      </c>
      <c r="E31" s="250" t="s">
        <v>184</v>
      </c>
      <c r="F31" s="356"/>
      <c r="G31" s="356"/>
      <c r="H31" s="356"/>
      <c r="I31" s="338">
        <v>0.33333332999999998</v>
      </c>
      <c r="J31" s="338">
        <v>0.16666665999999999</v>
      </c>
      <c r="K31" s="338">
        <v>0.33333332999999998</v>
      </c>
      <c r="L31" s="338">
        <v>0.16666668000000007</v>
      </c>
      <c r="M31" s="338"/>
      <c r="N31" s="338"/>
      <c r="O31" s="338"/>
      <c r="P31" s="338"/>
      <c r="Q31" s="338"/>
      <c r="R31" s="337"/>
      <c r="S31" s="337"/>
      <c r="T31" s="337"/>
      <c r="U31" s="337"/>
      <c r="V31" s="351">
        <f t="shared" si="14"/>
        <v>1</v>
      </c>
      <c r="W31" s="300"/>
      <c r="X31" s="300"/>
      <c r="Y31" s="254">
        <f t="shared" si="0"/>
        <v>0</v>
      </c>
      <c r="Z31" s="244">
        <f t="shared" si="1"/>
        <v>0</v>
      </c>
      <c r="AA31" s="305">
        <f t="shared" si="2"/>
        <v>0</v>
      </c>
      <c r="AB31" s="305">
        <f t="shared" si="3"/>
        <v>40399.999596000001</v>
      </c>
      <c r="AC31" s="305">
        <f t="shared" ref="AC31:AC37" si="229">J31*$D31</f>
        <v>20199.999191999999</v>
      </c>
      <c r="AD31" s="305">
        <f t="shared" si="34"/>
        <v>40399.999596000001</v>
      </c>
      <c r="AE31" s="344">
        <f t="shared" si="35"/>
        <v>20200.001616000009</v>
      </c>
      <c r="AF31" s="305">
        <f t="shared" si="36"/>
        <v>0</v>
      </c>
      <c r="AG31" s="305">
        <f t="shared" si="15"/>
        <v>0</v>
      </c>
      <c r="AH31" s="305">
        <f t="shared" si="16"/>
        <v>0</v>
      </c>
      <c r="AI31" s="305">
        <f t="shared" si="8"/>
        <v>0</v>
      </c>
      <c r="AJ31" s="305">
        <f t="shared" si="9"/>
        <v>0</v>
      </c>
      <c r="AK31" s="305">
        <f t="shared" si="10"/>
        <v>0</v>
      </c>
      <c r="AL31" s="305">
        <f t="shared" si="11"/>
        <v>0</v>
      </c>
      <c r="AM31" s="244">
        <f t="shared" si="12"/>
        <v>0</v>
      </c>
      <c r="AN31" s="305">
        <f t="shared" si="12"/>
        <v>0</v>
      </c>
      <c r="AO31" s="305">
        <f t="shared" si="213"/>
        <v>0</v>
      </c>
      <c r="AP31" s="305">
        <f t="shared" si="213"/>
        <v>0</v>
      </c>
      <c r="AQ31" s="305">
        <f t="shared" si="213"/>
        <v>121200</v>
      </c>
      <c r="AR31" s="305">
        <f t="shared" si="213"/>
        <v>0</v>
      </c>
      <c r="AS31" s="305">
        <f t="shared" si="213"/>
        <v>0</v>
      </c>
      <c r="AT31" s="305">
        <f t="shared" si="213"/>
        <v>0</v>
      </c>
      <c r="AU31" s="244">
        <f t="shared" si="213"/>
        <v>0</v>
      </c>
      <c r="AV31" s="244">
        <f t="shared" si="213"/>
        <v>0</v>
      </c>
      <c r="AW31" s="244">
        <f t="shared" si="213"/>
        <v>0</v>
      </c>
      <c r="AX31" s="244">
        <f t="shared" si="213"/>
        <v>0</v>
      </c>
      <c r="AY31" s="244">
        <f t="shared" si="213"/>
        <v>0</v>
      </c>
      <c r="AZ31" s="244">
        <f t="shared" si="213"/>
        <v>0</v>
      </c>
      <c r="BA31" s="244">
        <f t="shared" si="213"/>
        <v>0</v>
      </c>
      <c r="BB31" s="244">
        <f t="shared" si="213"/>
        <v>0</v>
      </c>
      <c r="BC31" s="244">
        <f t="shared" si="213"/>
        <v>0</v>
      </c>
      <c r="BD31" s="305">
        <f t="shared" si="213"/>
        <v>0</v>
      </c>
      <c r="BE31" s="304">
        <f t="shared" si="17"/>
        <v>0</v>
      </c>
    </row>
    <row r="32" spans="1:57" ht="14.45" customHeight="1" x14ac:dyDescent="0.25">
      <c r="A32" t="s">
        <v>153</v>
      </c>
      <c r="B32" s="313"/>
      <c r="C32" s="317"/>
      <c r="D32" s="375">
        <f>12250*12</f>
        <v>147000</v>
      </c>
      <c r="E32" s="337" t="s">
        <v>213</v>
      </c>
      <c r="F32" s="356"/>
      <c r="G32" s="356"/>
      <c r="H32" s="356"/>
      <c r="I32" s="338"/>
      <c r="J32" s="338">
        <v>8.3333333333333301E-2</v>
      </c>
      <c r="K32" s="338">
        <v>0.16666666666666599</v>
      </c>
      <c r="L32" s="338">
        <f>25%+J32</f>
        <v>0.33333333333333331</v>
      </c>
      <c r="M32" s="338">
        <f>25%+J32</f>
        <v>0.33333333333333331</v>
      </c>
      <c r="N32" s="338">
        <v>8.3333333333333301E-2</v>
      </c>
      <c r="O32" s="338">
        <v>0</v>
      </c>
      <c r="P32" s="338"/>
      <c r="Q32" s="338"/>
      <c r="R32" s="337"/>
      <c r="S32" s="337"/>
      <c r="T32" s="337"/>
      <c r="U32" s="337"/>
      <c r="V32" s="351">
        <f t="shared" si="14"/>
        <v>0.99999999999999911</v>
      </c>
      <c r="W32" s="300"/>
      <c r="X32" s="300"/>
      <c r="Y32" s="254">
        <f t="shared" si="0"/>
        <v>0</v>
      </c>
      <c r="Z32" s="244">
        <f t="shared" si="1"/>
        <v>0</v>
      </c>
      <c r="AA32" s="305">
        <f t="shared" si="2"/>
        <v>0</v>
      </c>
      <c r="AB32" s="305">
        <f t="shared" si="3"/>
        <v>0</v>
      </c>
      <c r="AC32" s="305">
        <f t="shared" si="229"/>
        <v>12249.999999999995</v>
      </c>
      <c r="AD32" s="305">
        <f t="shared" si="34"/>
        <v>24499.999999999902</v>
      </c>
      <c r="AE32" s="344">
        <f t="shared" si="35"/>
        <v>49000</v>
      </c>
      <c r="AF32" s="305">
        <f t="shared" si="36"/>
        <v>49000</v>
      </c>
      <c r="AG32" s="305">
        <f t="shared" si="15"/>
        <v>12249.999999999995</v>
      </c>
      <c r="AH32" s="305">
        <f t="shared" si="16"/>
        <v>0</v>
      </c>
      <c r="AI32" s="305">
        <f t="shared" si="8"/>
        <v>0</v>
      </c>
      <c r="AJ32" s="305">
        <f t="shared" si="9"/>
        <v>0</v>
      </c>
      <c r="AK32" s="305">
        <f t="shared" si="10"/>
        <v>0</v>
      </c>
      <c r="AL32" s="305">
        <f t="shared" si="11"/>
        <v>0</v>
      </c>
      <c r="AM32" s="244">
        <f t="shared" si="12"/>
        <v>0</v>
      </c>
      <c r="AN32" s="305">
        <f t="shared" si="12"/>
        <v>0</v>
      </c>
      <c r="AO32" s="305">
        <f t="shared" si="213"/>
        <v>0</v>
      </c>
      <c r="AP32" s="305">
        <f t="shared" si="213"/>
        <v>0</v>
      </c>
      <c r="AQ32" s="305">
        <f t="shared" si="213"/>
        <v>0</v>
      </c>
      <c r="AR32" s="305">
        <f t="shared" si="213"/>
        <v>0</v>
      </c>
      <c r="AS32" s="305">
        <f t="shared" si="213"/>
        <v>147000</v>
      </c>
      <c r="AT32" s="305">
        <f t="shared" si="213"/>
        <v>0</v>
      </c>
      <c r="AU32" s="244">
        <f t="shared" si="213"/>
        <v>0</v>
      </c>
      <c r="AV32" s="244">
        <f t="shared" si="213"/>
        <v>0</v>
      </c>
      <c r="AW32" s="244">
        <f t="shared" si="213"/>
        <v>0</v>
      </c>
      <c r="AX32" s="244">
        <f t="shared" si="213"/>
        <v>0</v>
      </c>
      <c r="AY32" s="244">
        <f t="shared" si="213"/>
        <v>0</v>
      </c>
      <c r="AZ32" s="244">
        <f t="shared" si="213"/>
        <v>0</v>
      </c>
      <c r="BA32" s="244">
        <f t="shared" si="213"/>
        <v>0</v>
      </c>
      <c r="BB32" s="244">
        <f t="shared" si="213"/>
        <v>0</v>
      </c>
      <c r="BC32" s="244">
        <f t="shared" si="213"/>
        <v>0</v>
      </c>
      <c r="BD32" s="305">
        <f t="shared" si="213"/>
        <v>0</v>
      </c>
      <c r="BE32" s="304">
        <f t="shared" si="17"/>
        <v>0</v>
      </c>
    </row>
    <row r="33" spans="1:57" ht="14.45" customHeight="1" x14ac:dyDescent="0.25">
      <c r="A33" t="s">
        <v>153</v>
      </c>
      <c r="B33" s="313"/>
      <c r="C33" s="323"/>
      <c r="D33" s="342">
        <f>12250*12</f>
        <v>147000</v>
      </c>
      <c r="E33" s="250" t="s">
        <v>266</v>
      </c>
      <c r="F33" s="356"/>
      <c r="G33" s="356"/>
      <c r="H33" s="356"/>
      <c r="I33" s="338"/>
      <c r="J33" s="338"/>
      <c r="K33" s="338"/>
      <c r="L33" s="338"/>
      <c r="M33" s="338"/>
      <c r="N33" s="338"/>
      <c r="O33" s="338">
        <v>0.16666666666666699</v>
      </c>
      <c r="P33" s="338">
        <v>0.25</v>
      </c>
      <c r="Q33" s="338">
        <v>0.25</v>
      </c>
      <c r="R33" s="338">
        <v>0.25</v>
      </c>
      <c r="S33" s="338">
        <v>8.3333333333333329E-2</v>
      </c>
      <c r="T33" s="337"/>
      <c r="U33" s="337"/>
      <c r="V33" s="351">
        <f t="shared" si="14"/>
        <v>1.0000000000000002</v>
      </c>
      <c r="W33" s="300"/>
      <c r="X33" s="300"/>
      <c r="Y33" s="254">
        <f t="shared" si="0"/>
        <v>0</v>
      </c>
      <c r="Z33" s="244">
        <f t="shared" si="1"/>
        <v>0</v>
      </c>
      <c r="AA33" s="305">
        <f t="shared" si="2"/>
        <v>0</v>
      </c>
      <c r="AB33" s="305">
        <f t="shared" si="3"/>
        <v>0</v>
      </c>
      <c r="AC33" s="305">
        <f t="shared" si="229"/>
        <v>0</v>
      </c>
      <c r="AD33" s="305">
        <f t="shared" si="34"/>
        <v>0</v>
      </c>
      <c r="AE33" s="305">
        <f t="shared" si="35"/>
        <v>0</v>
      </c>
      <c r="AF33" s="305">
        <f t="shared" si="36"/>
        <v>0</v>
      </c>
      <c r="AG33" s="305">
        <f t="shared" si="15"/>
        <v>0</v>
      </c>
      <c r="AH33" s="305">
        <f t="shared" si="16"/>
        <v>24500.000000000047</v>
      </c>
      <c r="AI33" s="305">
        <f t="shared" si="8"/>
        <v>36750</v>
      </c>
      <c r="AJ33" s="305">
        <f t="shared" si="9"/>
        <v>36750</v>
      </c>
      <c r="AK33" s="305">
        <f t="shared" si="10"/>
        <v>36750</v>
      </c>
      <c r="AL33" s="305">
        <f t="shared" si="11"/>
        <v>12250</v>
      </c>
      <c r="AM33" s="244">
        <f t="shared" si="12"/>
        <v>0</v>
      </c>
      <c r="AN33" s="305">
        <f t="shared" si="12"/>
        <v>0</v>
      </c>
      <c r="AO33" s="305">
        <f t="shared" si="213"/>
        <v>0</v>
      </c>
      <c r="AP33" s="305">
        <f t="shared" si="213"/>
        <v>0</v>
      </c>
      <c r="AQ33" s="305">
        <f t="shared" si="213"/>
        <v>0</v>
      </c>
      <c r="AR33" s="305">
        <f t="shared" si="213"/>
        <v>0</v>
      </c>
      <c r="AS33" s="305">
        <f t="shared" si="213"/>
        <v>0</v>
      </c>
      <c r="AT33" s="305">
        <f t="shared" si="213"/>
        <v>0</v>
      </c>
      <c r="AU33" s="244">
        <f t="shared" si="213"/>
        <v>0</v>
      </c>
      <c r="AV33" s="244">
        <f t="shared" si="213"/>
        <v>0</v>
      </c>
      <c r="AW33" s="244">
        <f t="shared" si="213"/>
        <v>147000</v>
      </c>
      <c r="AX33" s="244">
        <f t="shared" si="213"/>
        <v>0</v>
      </c>
      <c r="AY33" s="244">
        <f t="shared" si="213"/>
        <v>0</v>
      </c>
      <c r="AZ33" s="244">
        <f t="shared" si="213"/>
        <v>0</v>
      </c>
      <c r="BA33" s="244">
        <f t="shared" si="213"/>
        <v>0</v>
      </c>
      <c r="BB33" s="244">
        <f t="shared" si="213"/>
        <v>0</v>
      </c>
      <c r="BC33" s="244">
        <f t="shared" si="213"/>
        <v>0</v>
      </c>
      <c r="BD33" s="305">
        <f t="shared" si="213"/>
        <v>0</v>
      </c>
      <c r="BE33" s="304">
        <f t="shared" si="17"/>
        <v>0</v>
      </c>
    </row>
    <row r="34" spans="1:57" ht="14.45" customHeight="1" x14ac:dyDescent="0.25">
      <c r="A34" t="s">
        <v>153</v>
      </c>
      <c r="B34" s="313"/>
      <c r="C34" s="250"/>
      <c r="D34" s="375">
        <v>61250</v>
      </c>
      <c r="E34" s="337" t="s">
        <v>212</v>
      </c>
      <c r="F34" s="356"/>
      <c r="G34" s="356">
        <v>0</v>
      </c>
      <c r="H34" s="356">
        <v>0.4</v>
      </c>
      <c r="I34" s="338">
        <v>0.6</v>
      </c>
      <c r="J34" s="338">
        <v>0</v>
      </c>
      <c r="K34" s="338"/>
      <c r="L34" s="338"/>
      <c r="M34" s="338"/>
      <c r="N34" s="338"/>
      <c r="O34" s="338"/>
      <c r="P34" s="338"/>
      <c r="Q34" s="338"/>
      <c r="R34" s="337"/>
      <c r="S34" s="337"/>
      <c r="T34" s="337"/>
      <c r="U34" s="337"/>
      <c r="V34" s="351">
        <f t="shared" si="14"/>
        <v>1</v>
      </c>
      <c r="W34" s="300"/>
      <c r="X34" s="300"/>
      <c r="Y34" s="244">
        <f t="shared" si="0"/>
        <v>0</v>
      </c>
      <c r="Z34" s="244">
        <f t="shared" si="1"/>
        <v>0</v>
      </c>
      <c r="AA34" s="305">
        <f t="shared" si="2"/>
        <v>24500</v>
      </c>
      <c r="AB34" s="305">
        <f t="shared" si="3"/>
        <v>36750</v>
      </c>
      <c r="AC34" s="305">
        <f t="shared" si="229"/>
        <v>0</v>
      </c>
      <c r="AD34" s="305">
        <f t="shared" si="34"/>
        <v>0</v>
      </c>
      <c r="AE34" s="305">
        <f t="shared" si="35"/>
        <v>0</v>
      </c>
      <c r="AF34" s="305">
        <f t="shared" si="36"/>
        <v>0</v>
      </c>
      <c r="AG34" s="305">
        <f t="shared" si="15"/>
        <v>0</v>
      </c>
      <c r="AH34" s="305">
        <f t="shared" si="16"/>
        <v>0</v>
      </c>
      <c r="AI34" s="305">
        <f t="shared" si="8"/>
        <v>0</v>
      </c>
      <c r="AJ34" s="305">
        <f t="shared" si="9"/>
        <v>0</v>
      </c>
      <c r="AK34" s="305">
        <f t="shared" si="10"/>
        <v>0</v>
      </c>
      <c r="AL34" s="305">
        <f t="shared" si="11"/>
        <v>0</v>
      </c>
      <c r="AM34" s="244">
        <f t="shared" si="12"/>
        <v>0</v>
      </c>
      <c r="AN34" s="305">
        <f t="shared" si="12"/>
        <v>0</v>
      </c>
      <c r="AO34" s="305">
        <f t="shared" si="213"/>
        <v>0</v>
      </c>
      <c r="AP34" s="305">
        <f t="shared" si="213"/>
        <v>61250</v>
      </c>
      <c r="AQ34" s="305">
        <f t="shared" si="213"/>
        <v>0</v>
      </c>
      <c r="AR34" s="305">
        <f t="shared" si="213"/>
        <v>0</v>
      </c>
      <c r="AS34" s="305">
        <f t="shared" si="213"/>
        <v>0</v>
      </c>
      <c r="AT34" s="305">
        <f t="shared" si="213"/>
        <v>0</v>
      </c>
      <c r="AU34" s="244">
        <f t="shared" si="213"/>
        <v>0</v>
      </c>
      <c r="AV34" s="244">
        <f t="shared" si="213"/>
        <v>0</v>
      </c>
      <c r="AW34" s="244">
        <f t="shared" si="213"/>
        <v>0</v>
      </c>
      <c r="AX34" s="244">
        <f t="shared" si="213"/>
        <v>0</v>
      </c>
      <c r="AY34" s="244">
        <f t="shared" si="213"/>
        <v>0</v>
      </c>
      <c r="AZ34" s="244">
        <f t="shared" si="213"/>
        <v>0</v>
      </c>
      <c r="BA34" s="244">
        <f t="shared" si="213"/>
        <v>0</v>
      </c>
      <c r="BB34" s="244">
        <f t="shared" si="213"/>
        <v>0</v>
      </c>
      <c r="BC34" s="244">
        <f t="shared" si="213"/>
        <v>0</v>
      </c>
      <c r="BD34" s="305">
        <f t="shared" si="213"/>
        <v>0</v>
      </c>
      <c r="BE34" s="304">
        <f t="shared" si="17"/>
        <v>0</v>
      </c>
    </row>
    <row r="35" spans="1:57" s="335" customFormat="1" ht="14.45" customHeight="1" x14ac:dyDescent="0.25">
      <c r="A35" s="335" t="s">
        <v>153</v>
      </c>
      <c r="B35" s="313"/>
      <c r="C35" s="337"/>
      <c r="D35" s="375">
        <v>73500</v>
      </c>
      <c r="E35" s="337" t="s">
        <v>265</v>
      </c>
      <c r="F35" s="356"/>
      <c r="G35" s="356" t="s">
        <v>121</v>
      </c>
      <c r="H35" s="356" t="s">
        <v>121</v>
      </c>
      <c r="I35" s="338" t="s">
        <v>121</v>
      </c>
      <c r="J35" s="338">
        <v>0</v>
      </c>
      <c r="K35" s="338">
        <v>0</v>
      </c>
      <c r="L35" s="338"/>
      <c r="M35" s="338"/>
      <c r="N35" s="338"/>
      <c r="O35" s="338">
        <v>0.5</v>
      </c>
      <c r="P35" s="338">
        <v>0.5</v>
      </c>
      <c r="Q35" s="338"/>
      <c r="R35" s="337"/>
      <c r="S35" s="337"/>
      <c r="T35" s="337"/>
      <c r="U35" s="337"/>
      <c r="V35" s="351">
        <f t="shared" si="14"/>
        <v>1</v>
      </c>
      <c r="Y35" s="336">
        <f t="shared" si="0"/>
        <v>0</v>
      </c>
      <c r="Z35" s="336">
        <v>0</v>
      </c>
      <c r="AA35" s="336">
        <v>0</v>
      </c>
      <c r="AB35" s="336">
        <v>0</v>
      </c>
      <c r="AC35" s="336">
        <f t="shared" si="229"/>
        <v>0</v>
      </c>
      <c r="AD35" s="336">
        <f t="shared" si="34"/>
        <v>0</v>
      </c>
      <c r="AE35" s="336">
        <f t="shared" si="35"/>
        <v>0</v>
      </c>
      <c r="AF35" s="336">
        <f t="shared" si="36"/>
        <v>0</v>
      </c>
      <c r="AG35" s="336">
        <f t="shared" si="15"/>
        <v>0</v>
      </c>
      <c r="AH35" s="336">
        <f t="shared" si="16"/>
        <v>36750</v>
      </c>
      <c r="AI35" s="336">
        <f t="shared" si="8"/>
        <v>36750</v>
      </c>
      <c r="AJ35" s="336">
        <f t="shared" si="9"/>
        <v>0</v>
      </c>
      <c r="AK35" s="336">
        <f t="shared" si="10"/>
        <v>0</v>
      </c>
      <c r="AL35" s="336">
        <f t="shared" si="11"/>
        <v>0</v>
      </c>
      <c r="AM35" s="336">
        <f t="shared" si="12"/>
        <v>0</v>
      </c>
      <c r="AN35" s="336">
        <f t="shared" si="12"/>
        <v>0</v>
      </c>
      <c r="AO35" s="336">
        <f t="shared" si="213"/>
        <v>0</v>
      </c>
      <c r="AP35" s="336">
        <f t="shared" si="213"/>
        <v>0</v>
      </c>
      <c r="AQ35" s="336">
        <f t="shared" si="213"/>
        <v>0</v>
      </c>
      <c r="AR35" s="336">
        <f t="shared" si="213"/>
        <v>0</v>
      </c>
      <c r="AS35" s="336">
        <f t="shared" si="213"/>
        <v>0</v>
      </c>
      <c r="AT35" s="336">
        <f t="shared" si="213"/>
        <v>0</v>
      </c>
      <c r="AU35" s="336">
        <f t="shared" si="213"/>
        <v>0</v>
      </c>
      <c r="AV35" s="336">
        <f t="shared" si="213"/>
        <v>0</v>
      </c>
      <c r="AW35" s="336">
        <f t="shared" si="213"/>
        <v>0</v>
      </c>
      <c r="AX35" s="336">
        <f t="shared" si="213"/>
        <v>73500</v>
      </c>
      <c r="AY35" s="336">
        <f t="shared" si="213"/>
        <v>0</v>
      </c>
      <c r="AZ35" s="336">
        <f t="shared" si="213"/>
        <v>0</v>
      </c>
      <c r="BA35" s="336">
        <f t="shared" si="213"/>
        <v>0</v>
      </c>
      <c r="BB35" s="336">
        <f t="shared" si="213"/>
        <v>0</v>
      </c>
      <c r="BC35" s="336">
        <f t="shared" si="213"/>
        <v>0</v>
      </c>
      <c r="BD35" s="336">
        <f t="shared" si="213"/>
        <v>0</v>
      </c>
      <c r="BE35" s="304">
        <f t="shared" si="17"/>
        <v>0</v>
      </c>
    </row>
    <row r="36" spans="1:57" ht="14.45" customHeight="1" x14ac:dyDescent="0.25">
      <c r="A36" t="s">
        <v>154</v>
      </c>
      <c r="B36" s="313"/>
      <c r="C36" s="250"/>
      <c r="D36" s="342">
        <v>1030229</v>
      </c>
      <c r="E36" s="250" t="s">
        <v>186</v>
      </c>
      <c r="F36" s="356"/>
      <c r="G36" s="356"/>
      <c r="H36" s="356"/>
      <c r="I36" s="338"/>
      <c r="J36" s="338"/>
      <c r="K36" s="338">
        <v>0</v>
      </c>
      <c r="L36" s="338">
        <v>0.1</v>
      </c>
      <c r="M36" s="338">
        <v>0.7</v>
      </c>
      <c r="N36" s="338">
        <v>0.2</v>
      </c>
      <c r="O36" s="347">
        <v>0</v>
      </c>
      <c r="P36" s="337"/>
      <c r="Q36" s="337"/>
      <c r="R36" s="337"/>
      <c r="S36" s="337"/>
      <c r="T36" s="337"/>
      <c r="U36" s="337"/>
      <c r="V36" s="351">
        <f t="shared" si="14"/>
        <v>1</v>
      </c>
      <c r="W36" s="300"/>
      <c r="X36" s="300"/>
      <c r="Y36" s="244">
        <f t="shared" si="0"/>
        <v>0</v>
      </c>
      <c r="Z36" s="244">
        <f t="shared" si="1"/>
        <v>0</v>
      </c>
      <c r="AA36" s="305">
        <f t="shared" si="2"/>
        <v>0</v>
      </c>
      <c r="AB36" s="305">
        <f t="shared" si="3"/>
        <v>0</v>
      </c>
      <c r="AC36" s="305">
        <f t="shared" si="229"/>
        <v>0</v>
      </c>
      <c r="AD36" s="305">
        <f>K36*$D36</f>
        <v>0</v>
      </c>
      <c r="AE36" s="305">
        <f t="shared" si="35"/>
        <v>103022.90000000001</v>
      </c>
      <c r="AF36" s="305">
        <f t="shared" si="36"/>
        <v>721160.29999999993</v>
      </c>
      <c r="AG36" s="305">
        <f t="shared" si="15"/>
        <v>206045.80000000002</v>
      </c>
      <c r="AH36" s="305">
        <f t="shared" si="16"/>
        <v>0</v>
      </c>
      <c r="AI36" s="305">
        <f t="shared" si="8"/>
        <v>0</v>
      </c>
      <c r="AJ36" s="305">
        <f t="shared" si="9"/>
        <v>0</v>
      </c>
      <c r="AK36" s="305">
        <f t="shared" si="10"/>
        <v>0</v>
      </c>
      <c r="AL36" s="305">
        <f t="shared" si="11"/>
        <v>0</v>
      </c>
      <c r="AM36" s="244">
        <f t="shared" si="12"/>
        <v>0</v>
      </c>
      <c r="AN36" s="305">
        <f t="shared" si="12"/>
        <v>0</v>
      </c>
      <c r="AO36" s="305">
        <f t="shared" si="213"/>
        <v>0</v>
      </c>
      <c r="AP36" s="305">
        <f t="shared" si="213"/>
        <v>0</v>
      </c>
      <c r="AQ36" s="305">
        <f t="shared" si="213"/>
        <v>0</v>
      </c>
      <c r="AR36" s="305">
        <f t="shared" si="213"/>
        <v>0</v>
      </c>
      <c r="AS36" s="305">
        <f t="shared" si="213"/>
        <v>0</v>
      </c>
      <c r="AT36" s="305">
        <f t="shared" si="213"/>
        <v>1030229</v>
      </c>
      <c r="AU36" s="244">
        <f t="shared" si="213"/>
        <v>0</v>
      </c>
      <c r="AV36" s="244">
        <f t="shared" si="213"/>
        <v>0</v>
      </c>
      <c r="AW36" s="244">
        <f t="shared" si="213"/>
        <v>0</v>
      </c>
      <c r="AX36" s="244">
        <f t="shared" si="213"/>
        <v>0</v>
      </c>
      <c r="AY36" s="244">
        <f t="shared" si="213"/>
        <v>0</v>
      </c>
      <c r="AZ36" s="244">
        <f t="shared" si="213"/>
        <v>0</v>
      </c>
      <c r="BA36" s="244">
        <f t="shared" si="213"/>
        <v>0</v>
      </c>
      <c r="BB36" s="244">
        <f t="shared" si="213"/>
        <v>0</v>
      </c>
      <c r="BC36" s="244">
        <f t="shared" si="213"/>
        <v>0</v>
      </c>
      <c r="BD36" s="305">
        <f t="shared" si="213"/>
        <v>0</v>
      </c>
      <c r="BE36" s="304">
        <f t="shared" si="17"/>
        <v>0</v>
      </c>
    </row>
    <row r="37" spans="1:57" ht="14.45" customHeight="1" x14ac:dyDescent="0.25">
      <c r="A37" t="s">
        <v>154</v>
      </c>
      <c r="B37" s="313"/>
      <c r="C37" s="250"/>
      <c r="D37" s="342">
        <v>1745000</v>
      </c>
      <c r="E37" s="250" t="s">
        <v>238</v>
      </c>
      <c r="F37" s="355"/>
      <c r="G37" s="355"/>
      <c r="H37" s="355"/>
      <c r="I37" s="337"/>
      <c r="J37" s="338"/>
      <c r="K37" s="338">
        <v>0</v>
      </c>
      <c r="L37" s="338">
        <v>0</v>
      </c>
      <c r="M37" s="338">
        <v>0</v>
      </c>
      <c r="N37" s="338">
        <v>0.5</v>
      </c>
      <c r="O37" s="347">
        <v>0.5</v>
      </c>
      <c r="P37" s="347"/>
      <c r="Q37" s="337"/>
      <c r="R37" s="337"/>
      <c r="S37" s="337"/>
      <c r="T37" s="337"/>
      <c r="U37" s="337"/>
      <c r="V37" s="351">
        <f t="shared" si="14"/>
        <v>1</v>
      </c>
      <c r="W37" s="300"/>
      <c r="X37" s="300"/>
      <c r="Y37" s="305">
        <f t="shared" si="0"/>
        <v>0</v>
      </c>
      <c r="Z37" s="305">
        <f t="shared" si="1"/>
        <v>0</v>
      </c>
      <c r="AA37" s="305">
        <f t="shared" si="2"/>
        <v>0</v>
      </c>
      <c r="AB37" s="305">
        <f t="shared" si="3"/>
        <v>0</v>
      </c>
      <c r="AC37" s="305">
        <f t="shared" si="229"/>
        <v>0</v>
      </c>
      <c r="AD37" s="305">
        <f t="shared" si="34"/>
        <v>0</v>
      </c>
      <c r="AE37" s="305">
        <f t="shared" si="35"/>
        <v>0</v>
      </c>
      <c r="AF37" s="305">
        <f t="shared" si="36"/>
        <v>0</v>
      </c>
      <c r="AG37" s="305">
        <f t="shared" si="15"/>
        <v>872500</v>
      </c>
      <c r="AH37" s="305">
        <f t="shared" si="16"/>
        <v>872500</v>
      </c>
      <c r="AI37" s="305">
        <f t="shared" si="8"/>
        <v>0</v>
      </c>
      <c r="AJ37" s="305">
        <f t="shared" si="9"/>
        <v>0</v>
      </c>
      <c r="AK37" s="305">
        <f t="shared" si="10"/>
        <v>0</v>
      </c>
      <c r="AL37" s="305">
        <f t="shared" si="11"/>
        <v>0</v>
      </c>
      <c r="AM37" s="305">
        <f t="shared" si="12"/>
        <v>0</v>
      </c>
      <c r="AN37" s="305">
        <f t="shared" si="12"/>
        <v>0</v>
      </c>
      <c r="AO37" s="305">
        <f t="shared" ref="AO37:BC57" si="230">IF(AO$3=$E37,$D37,0)</f>
        <v>0</v>
      </c>
      <c r="AP37" s="305">
        <f t="shared" si="230"/>
        <v>0</v>
      </c>
      <c r="AQ37" s="305">
        <f t="shared" si="230"/>
        <v>0</v>
      </c>
      <c r="AR37" s="305">
        <f t="shared" si="230"/>
        <v>0</v>
      </c>
      <c r="AS37" s="305">
        <f t="shared" si="230"/>
        <v>0</v>
      </c>
      <c r="AT37" s="305">
        <f t="shared" si="230"/>
        <v>0</v>
      </c>
      <c r="AU37" s="244">
        <f t="shared" si="230"/>
        <v>0</v>
      </c>
      <c r="AV37" s="244">
        <f t="shared" si="230"/>
        <v>1745000</v>
      </c>
      <c r="AW37" s="244">
        <f t="shared" si="230"/>
        <v>0</v>
      </c>
      <c r="AX37" s="244">
        <f t="shared" si="230"/>
        <v>0</v>
      </c>
      <c r="AY37" s="244">
        <f t="shared" si="230"/>
        <v>0</v>
      </c>
      <c r="AZ37" s="244">
        <f t="shared" si="230"/>
        <v>0</v>
      </c>
      <c r="BA37" s="244">
        <f t="shared" si="230"/>
        <v>0</v>
      </c>
      <c r="BB37" s="244">
        <f t="shared" si="230"/>
        <v>0</v>
      </c>
      <c r="BC37" s="244">
        <f t="shared" si="230"/>
        <v>0</v>
      </c>
      <c r="BD37" s="305">
        <f t="shared" si="213"/>
        <v>0</v>
      </c>
      <c r="BE37" s="304">
        <f t="shared" si="17"/>
        <v>0</v>
      </c>
    </row>
    <row r="38" spans="1:57" s="300" customFormat="1" ht="14.45" customHeight="1" x14ac:dyDescent="0.25">
      <c r="A38" s="300" t="s">
        <v>155</v>
      </c>
      <c r="B38" s="313"/>
      <c r="D38" s="342">
        <v>5000</v>
      </c>
      <c r="E38" s="250" t="s">
        <v>216</v>
      </c>
      <c r="F38" s="355"/>
      <c r="G38" s="355"/>
      <c r="H38" s="355"/>
      <c r="I38" s="338">
        <v>1</v>
      </c>
      <c r="J38" s="338"/>
      <c r="K38" s="338"/>
      <c r="L38" s="338"/>
      <c r="M38" s="338"/>
      <c r="N38" s="337"/>
      <c r="O38" s="337"/>
      <c r="P38" s="337"/>
      <c r="Q38" s="337"/>
      <c r="R38" s="337"/>
      <c r="S38" s="337"/>
      <c r="T38" s="337"/>
      <c r="U38" s="337"/>
      <c r="V38" s="351">
        <f t="shared" si="14"/>
        <v>1</v>
      </c>
      <c r="Y38" s="305">
        <f t="shared" ref="Y38" si="231">F38*$D38</f>
        <v>0</v>
      </c>
      <c r="Z38" s="305">
        <f t="shared" ref="Z38" si="232">G38*$D38</f>
        <v>0</v>
      </c>
      <c r="AA38" s="305">
        <f t="shared" ref="AA38" si="233">H38*$D38</f>
        <v>0</v>
      </c>
      <c r="AB38" s="305">
        <f t="shared" ref="AB38" si="234">I38*$D38</f>
        <v>5000</v>
      </c>
      <c r="AC38" s="305">
        <f t="shared" ref="AC38" si="235">J38*$D38</f>
        <v>0</v>
      </c>
      <c r="AD38" s="305">
        <f t="shared" ref="AD38" si="236">K38*$D38</f>
        <v>0</v>
      </c>
      <c r="AE38" s="305">
        <f t="shared" ref="AE38" si="237">L38*$D38</f>
        <v>0</v>
      </c>
      <c r="AF38" s="305">
        <f t="shared" ref="AF38" si="238">M38*$D38</f>
        <v>0</v>
      </c>
      <c r="AG38" s="305">
        <f t="shared" ref="AG38" si="239">N38*$D38</f>
        <v>0</v>
      </c>
      <c r="AH38" s="305">
        <f t="shared" ref="AH38" si="240">O38*$D38</f>
        <v>0</v>
      </c>
      <c r="AI38" s="305">
        <f t="shared" ref="AI38" si="241">P38*$D38</f>
        <v>0</v>
      </c>
      <c r="AJ38" s="305">
        <f t="shared" ref="AJ38" si="242">Q38*$D38</f>
        <v>0</v>
      </c>
      <c r="AK38" s="305">
        <f t="shared" ref="AK38" si="243">R38*$D38</f>
        <v>0</v>
      </c>
      <c r="AL38" s="305">
        <f t="shared" ref="AL38" si="244">S38*$D38</f>
        <v>0</v>
      </c>
      <c r="AM38" s="305">
        <f t="shared" ref="AM38:AN38" si="245">T38*$D38</f>
        <v>0</v>
      </c>
      <c r="AN38" s="305">
        <f t="shared" si="245"/>
        <v>0</v>
      </c>
      <c r="AO38" s="305">
        <f t="shared" si="230"/>
        <v>0</v>
      </c>
      <c r="AP38" s="305">
        <f t="shared" si="230"/>
        <v>0</v>
      </c>
      <c r="AQ38" s="305">
        <f t="shared" si="230"/>
        <v>0</v>
      </c>
      <c r="AR38" s="305">
        <f t="shared" si="230"/>
        <v>5000</v>
      </c>
      <c r="AS38" s="305">
        <f t="shared" si="230"/>
        <v>0</v>
      </c>
      <c r="AT38" s="305">
        <f t="shared" si="230"/>
        <v>0</v>
      </c>
      <c r="AU38" s="305">
        <f t="shared" si="230"/>
        <v>0</v>
      </c>
      <c r="AV38" s="305">
        <f t="shared" si="230"/>
        <v>0</v>
      </c>
      <c r="AW38" s="305">
        <f t="shared" si="230"/>
        <v>0</v>
      </c>
      <c r="AX38" s="305">
        <f t="shared" si="230"/>
        <v>0</v>
      </c>
      <c r="AY38" s="305">
        <f t="shared" si="230"/>
        <v>0</v>
      </c>
      <c r="AZ38" s="305">
        <f t="shared" si="230"/>
        <v>0</v>
      </c>
      <c r="BA38" s="305">
        <f t="shared" si="230"/>
        <v>0</v>
      </c>
      <c r="BB38" s="305">
        <f t="shared" si="230"/>
        <v>0</v>
      </c>
      <c r="BC38" s="305">
        <f t="shared" si="230"/>
        <v>0</v>
      </c>
      <c r="BD38" s="305">
        <f t="shared" si="213"/>
        <v>0</v>
      </c>
      <c r="BE38" s="304">
        <f t="shared" si="17"/>
        <v>0</v>
      </c>
    </row>
    <row r="39" spans="1:57" s="300" customFormat="1" ht="14.45" customHeight="1" x14ac:dyDescent="0.25">
      <c r="A39" s="300" t="s">
        <v>155</v>
      </c>
      <c r="B39" s="313"/>
      <c r="D39" s="342">
        <v>961.64</v>
      </c>
      <c r="E39" s="250" t="s">
        <v>213</v>
      </c>
      <c r="F39" s="355"/>
      <c r="G39" s="355"/>
      <c r="H39" s="355"/>
      <c r="I39" s="338"/>
      <c r="J39" s="338">
        <v>1</v>
      </c>
      <c r="K39" s="338"/>
      <c r="L39" s="338"/>
      <c r="M39" s="338"/>
      <c r="N39" s="337"/>
      <c r="O39" s="337"/>
      <c r="P39" s="337"/>
      <c r="Q39" s="337"/>
      <c r="R39" s="337"/>
      <c r="S39" s="337"/>
      <c r="T39" s="337"/>
      <c r="U39" s="337"/>
      <c r="V39" s="351">
        <f t="shared" si="14"/>
        <v>1</v>
      </c>
      <c r="Y39" s="305">
        <f t="shared" ref="Y39" si="246">F39*$D39</f>
        <v>0</v>
      </c>
      <c r="Z39" s="305">
        <f t="shared" ref="Z39" si="247">G39*$D39</f>
        <v>0</v>
      </c>
      <c r="AA39" s="305">
        <f t="shared" ref="AA39" si="248">H39*$D39</f>
        <v>0</v>
      </c>
      <c r="AB39" s="305">
        <f t="shared" ref="AB39" si="249">I39*$D39</f>
        <v>0</v>
      </c>
      <c r="AC39" s="305">
        <f t="shared" ref="AC39" si="250">J39*$D39</f>
        <v>961.64</v>
      </c>
      <c r="AD39" s="305">
        <f t="shared" ref="AD39" si="251">K39*$D39</f>
        <v>0</v>
      </c>
      <c r="AE39" s="305">
        <f t="shared" ref="AE39" si="252">L39*$D39</f>
        <v>0</v>
      </c>
      <c r="AF39" s="305">
        <f t="shared" ref="AF39" si="253">M39*$D39</f>
        <v>0</v>
      </c>
      <c r="AG39" s="305">
        <f t="shared" ref="AG39" si="254">N39*$D39</f>
        <v>0</v>
      </c>
      <c r="AH39" s="305">
        <f t="shared" ref="AH39" si="255">O39*$D39</f>
        <v>0</v>
      </c>
      <c r="AI39" s="305">
        <f t="shared" ref="AI39" si="256">P39*$D39</f>
        <v>0</v>
      </c>
      <c r="AJ39" s="305">
        <f t="shared" ref="AJ39" si="257">Q39*$D39</f>
        <v>0</v>
      </c>
      <c r="AK39" s="305">
        <f t="shared" ref="AK39" si="258">R39*$D39</f>
        <v>0</v>
      </c>
      <c r="AL39" s="305">
        <f t="shared" ref="AL39" si="259">S39*$D39</f>
        <v>0</v>
      </c>
      <c r="AM39" s="305">
        <f t="shared" ref="AM39:AN39" si="260">T39*$D39</f>
        <v>0</v>
      </c>
      <c r="AN39" s="305">
        <f t="shared" si="260"/>
        <v>0</v>
      </c>
      <c r="AO39" s="305">
        <f t="shared" si="230"/>
        <v>0</v>
      </c>
      <c r="AP39" s="305">
        <f t="shared" si="230"/>
        <v>0</v>
      </c>
      <c r="AQ39" s="305">
        <f t="shared" si="230"/>
        <v>0</v>
      </c>
      <c r="AR39" s="305">
        <f t="shared" si="230"/>
        <v>0</v>
      </c>
      <c r="AS39" s="305">
        <f t="shared" si="230"/>
        <v>961.64</v>
      </c>
      <c r="AT39" s="305">
        <f t="shared" si="230"/>
        <v>0</v>
      </c>
      <c r="AU39" s="305">
        <f t="shared" si="230"/>
        <v>0</v>
      </c>
      <c r="AV39" s="305">
        <f t="shared" si="230"/>
        <v>0</v>
      </c>
      <c r="AW39" s="305">
        <f t="shared" si="230"/>
        <v>0</v>
      </c>
      <c r="AX39" s="305">
        <f t="shared" si="230"/>
        <v>0</v>
      </c>
      <c r="AY39" s="305">
        <f t="shared" si="230"/>
        <v>0</v>
      </c>
      <c r="AZ39" s="305">
        <f t="shared" si="230"/>
        <v>0</v>
      </c>
      <c r="BA39" s="305">
        <f t="shared" si="230"/>
        <v>0</v>
      </c>
      <c r="BB39" s="305">
        <f t="shared" si="230"/>
        <v>0</v>
      </c>
      <c r="BC39" s="305">
        <f t="shared" si="230"/>
        <v>0</v>
      </c>
      <c r="BD39" s="305">
        <f t="shared" si="213"/>
        <v>0</v>
      </c>
      <c r="BE39" s="304">
        <f t="shared" si="17"/>
        <v>0</v>
      </c>
    </row>
    <row r="40" spans="1:57" ht="14.45" customHeight="1" x14ac:dyDescent="0.25">
      <c r="A40" t="s">
        <v>156</v>
      </c>
      <c r="B40" s="259"/>
      <c r="C40" s="250"/>
      <c r="D40" s="326">
        <v>13200</v>
      </c>
      <c r="E40" s="250" t="s">
        <v>213</v>
      </c>
      <c r="F40" s="356"/>
      <c r="G40" s="356"/>
      <c r="H40" s="356"/>
      <c r="I40" s="338"/>
      <c r="J40" s="338"/>
      <c r="K40" s="338">
        <v>1</v>
      </c>
      <c r="L40" s="338"/>
      <c r="M40" s="338"/>
      <c r="N40" s="338"/>
      <c r="O40" s="337"/>
      <c r="P40" s="337"/>
      <c r="Q40" s="337"/>
      <c r="R40" s="337"/>
      <c r="S40" s="337"/>
      <c r="T40" s="337"/>
      <c r="U40" s="337"/>
      <c r="V40" s="351">
        <f t="shared" si="14"/>
        <v>1</v>
      </c>
      <c r="W40" s="300"/>
      <c r="X40" s="300"/>
      <c r="Y40" s="305">
        <f t="shared" si="0"/>
        <v>0</v>
      </c>
      <c r="Z40" s="305">
        <f t="shared" si="1"/>
        <v>0</v>
      </c>
      <c r="AA40" s="305">
        <f t="shared" si="2"/>
        <v>0</v>
      </c>
      <c r="AB40" s="305">
        <f t="shared" si="3"/>
        <v>0</v>
      </c>
      <c r="AC40" s="305">
        <f>J40*$D40</f>
        <v>0</v>
      </c>
      <c r="AD40" s="305">
        <f t="shared" si="34"/>
        <v>13200</v>
      </c>
      <c r="AE40" s="305">
        <f t="shared" si="35"/>
        <v>0</v>
      </c>
      <c r="AF40" s="305">
        <f t="shared" si="36"/>
        <v>0</v>
      </c>
      <c r="AG40" s="305">
        <f t="shared" si="15"/>
        <v>0</v>
      </c>
      <c r="AH40" s="305">
        <f t="shared" si="16"/>
        <v>0</v>
      </c>
      <c r="AI40" s="305">
        <f t="shared" si="8"/>
        <v>0</v>
      </c>
      <c r="AJ40" s="305">
        <f t="shared" si="9"/>
        <v>0</v>
      </c>
      <c r="AK40" s="305">
        <f t="shared" si="10"/>
        <v>0</v>
      </c>
      <c r="AL40" s="305">
        <f t="shared" si="11"/>
        <v>0</v>
      </c>
      <c r="AM40" s="305">
        <f t="shared" si="12"/>
        <v>0</v>
      </c>
      <c r="AN40" s="305">
        <f t="shared" si="12"/>
        <v>0</v>
      </c>
      <c r="AO40" s="244">
        <f t="shared" si="230"/>
        <v>0</v>
      </c>
      <c r="AP40" s="244">
        <f t="shared" si="230"/>
        <v>0</v>
      </c>
      <c r="AQ40" s="244">
        <f t="shared" si="230"/>
        <v>0</v>
      </c>
      <c r="AR40" s="244">
        <f t="shared" si="230"/>
        <v>0</v>
      </c>
      <c r="AS40" s="244">
        <f t="shared" si="230"/>
        <v>13200</v>
      </c>
      <c r="AT40" s="244">
        <f t="shared" si="230"/>
        <v>0</v>
      </c>
      <c r="AU40" s="244">
        <f t="shared" si="230"/>
        <v>0</v>
      </c>
      <c r="AV40" s="244">
        <f t="shared" si="230"/>
        <v>0</v>
      </c>
      <c r="AW40" s="244">
        <f t="shared" si="230"/>
        <v>0</v>
      </c>
      <c r="AX40" s="244">
        <f t="shared" si="230"/>
        <v>0</v>
      </c>
      <c r="AY40" s="244">
        <f t="shared" si="230"/>
        <v>0</v>
      </c>
      <c r="AZ40" s="244">
        <f t="shared" si="230"/>
        <v>0</v>
      </c>
      <c r="BA40" s="244">
        <f t="shared" si="230"/>
        <v>0</v>
      </c>
      <c r="BB40" s="244">
        <f t="shared" si="230"/>
        <v>0</v>
      </c>
      <c r="BC40" s="244">
        <f t="shared" si="230"/>
        <v>0</v>
      </c>
      <c r="BD40" s="305">
        <f t="shared" si="213"/>
        <v>0</v>
      </c>
      <c r="BE40" s="304">
        <f t="shared" si="17"/>
        <v>0</v>
      </c>
    </row>
    <row r="41" spans="1:57" ht="14.45" customHeight="1" x14ac:dyDescent="0.25">
      <c r="A41" t="s">
        <v>156</v>
      </c>
      <c r="B41" s="259"/>
      <c r="C41" s="250"/>
      <c r="D41" s="326">
        <v>25000</v>
      </c>
      <c r="E41" s="250" t="s">
        <v>198</v>
      </c>
      <c r="F41" s="355"/>
      <c r="G41" s="355"/>
      <c r="H41" s="355"/>
      <c r="I41" s="337"/>
      <c r="J41" s="337"/>
      <c r="K41" s="337"/>
      <c r="L41" s="347">
        <v>1</v>
      </c>
      <c r="M41" s="338">
        <v>0</v>
      </c>
      <c r="N41" s="347">
        <v>0</v>
      </c>
      <c r="O41" s="347">
        <v>0</v>
      </c>
      <c r="P41" s="347">
        <v>0</v>
      </c>
      <c r="Q41" s="338"/>
      <c r="R41" s="338"/>
      <c r="S41" s="338"/>
      <c r="T41" s="338"/>
      <c r="U41" s="338"/>
      <c r="V41" s="351">
        <f t="shared" si="14"/>
        <v>1</v>
      </c>
      <c r="W41" s="300"/>
      <c r="X41" s="300"/>
      <c r="Y41" s="305">
        <f t="shared" si="0"/>
        <v>0</v>
      </c>
      <c r="Z41" s="305">
        <f t="shared" si="1"/>
        <v>0</v>
      </c>
      <c r="AA41" s="305">
        <f t="shared" si="2"/>
        <v>0</v>
      </c>
      <c r="AB41" s="305">
        <f t="shared" si="3"/>
        <v>0</v>
      </c>
      <c r="AC41" s="305">
        <f>J41*$D41</f>
        <v>0</v>
      </c>
      <c r="AD41" s="305">
        <f t="shared" si="34"/>
        <v>0</v>
      </c>
      <c r="AE41" s="305">
        <f t="shared" si="35"/>
        <v>25000</v>
      </c>
      <c r="AF41" s="305">
        <f t="shared" si="36"/>
        <v>0</v>
      </c>
      <c r="AG41" s="305">
        <f t="shared" si="15"/>
        <v>0</v>
      </c>
      <c r="AH41" s="305">
        <f t="shared" si="16"/>
        <v>0</v>
      </c>
      <c r="AI41" s="305">
        <f t="shared" si="8"/>
        <v>0</v>
      </c>
      <c r="AJ41" s="305">
        <f t="shared" si="9"/>
        <v>0</v>
      </c>
      <c r="AK41" s="305">
        <f t="shared" si="10"/>
        <v>0</v>
      </c>
      <c r="AL41" s="305">
        <f t="shared" si="11"/>
        <v>0</v>
      </c>
      <c r="AM41" s="305">
        <f t="shared" si="12"/>
        <v>0</v>
      </c>
      <c r="AN41" s="305">
        <f t="shared" si="12"/>
        <v>0</v>
      </c>
      <c r="AO41" s="244">
        <f t="shared" si="230"/>
        <v>0</v>
      </c>
      <c r="AP41" s="244">
        <f t="shared" si="230"/>
        <v>0</v>
      </c>
      <c r="AQ41" s="244">
        <f t="shared" si="230"/>
        <v>0</v>
      </c>
      <c r="AR41" s="244">
        <f t="shared" si="230"/>
        <v>0</v>
      </c>
      <c r="AS41" s="244">
        <f t="shared" si="230"/>
        <v>0</v>
      </c>
      <c r="AT41" s="244">
        <f t="shared" si="230"/>
        <v>0</v>
      </c>
      <c r="AU41" s="244">
        <f t="shared" si="230"/>
        <v>25000</v>
      </c>
      <c r="AV41" s="244">
        <f t="shared" si="230"/>
        <v>0</v>
      </c>
      <c r="AW41" s="244">
        <f t="shared" si="230"/>
        <v>0</v>
      </c>
      <c r="AX41" s="244">
        <f t="shared" si="230"/>
        <v>0</v>
      </c>
      <c r="AY41" s="244">
        <f t="shared" si="230"/>
        <v>0</v>
      </c>
      <c r="AZ41" s="244">
        <f t="shared" si="230"/>
        <v>0</v>
      </c>
      <c r="BA41" s="244">
        <f t="shared" si="230"/>
        <v>0</v>
      </c>
      <c r="BB41" s="244">
        <f t="shared" si="230"/>
        <v>0</v>
      </c>
      <c r="BC41" s="244">
        <f t="shared" si="230"/>
        <v>0</v>
      </c>
      <c r="BD41" s="305">
        <f t="shared" si="213"/>
        <v>0</v>
      </c>
      <c r="BE41" s="304">
        <f t="shared" si="17"/>
        <v>0</v>
      </c>
    </row>
    <row r="42" spans="1:57" s="300" customFormat="1" ht="14.45" customHeight="1" x14ac:dyDescent="0.25">
      <c r="A42" s="300" t="s">
        <v>156</v>
      </c>
      <c r="B42" s="259"/>
      <c r="C42" s="250"/>
      <c r="D42" s="326">
        <v>5000</v>
      </c>
      <c r="E42" s="250" t="s">
        <v>198</v>
      </c>
      <c r="F42" s="355"/>
      <c r="G42" s="355"/>
      <c r="H42" s="355"/>
      <c r="I42" s="337"/>
      <c r="J42" s="337"/>
      <c r="K42" s="337"/>
      <c r="L42" s="347">
        <v>1</v>
      </c>
      <c r="M42" s="338">
        <v>0</v>
      </c>
      <c r="N42" s="347">
        <v>0</v>
      </c>
      <c r="O42" s="347">
        <v>0</v>
      </c>
      <c r="P42" s="347">
        <v>0</v>
      </c>
      <c r="Q42" s="338"/>
      <c r="R42" s="338"/>
      <c r="S42" s="338"/>
      <c r="T42" s="338"/>
      <c r="U42" s="338"/>
      <c r="V42" s="351">
        <f t="shared" si="14"/>
        <v>1</v>
      </c>
      <c r="Y42" s="305">
        <f t="shared" ref="Y42:Y46" si="261">F42*$D42</f>
        <v>0</v>
      </c>
      <c r="Z42" s="305">
        <f t="shared" ref="Z42:Z46" si="262">G42*$D42</f>
        <v>0</v>
      </c>
      <c r="AA42" s="305">
        <f t="shared" ref="AA42:AA46" si="263">H42*$D42</f>
        <v>0</v>
      </c>
      <c r="AB42" s="305">
        <f t="shared" ref="AB42:AB46" si="264">I42*$D42</f>
        <v>0</v>
      </c>
      <c r="AC42" s="305">
        <f t="shared" ref="AC42:AC46" si="265">J42*$D42</f>
        <v>0</v>
      </c>
      <c r="AD42" s="305">
        <f t="shared" ref="AD42:AD46" si="266">K42*$D42</f>
        <v>0</v>
      </c>
      <c r="AE42" s="305">
        <f t="shared" ref="AE42:AE46" si="267">L42*$D42</f>
        <v>5000</v>
      </c>
      <c r="AF42" s="305">
        <f t="shared" ref="AF42:AF46" si="268">M42*$D42</f>
        <v>0</v>
      </c>
      <c r="AG42" s="305">
        <f t="shared" ref="AG42:AG46" si="269">N42*$D42</f>
        <v>0</v>
      </c>
      <c r="AH42" s="305">
        <f t="shared" ref="AH42:AH46" si="270">O42*$D42</f>
        <v>0</v>
      </c>
      <c r="AI42" s="305">
        <f t="shared" ref="AI42:AI46" si="271">P42*$D42</f>
        <v>0</v>
      </c>
      <c r="AJ42" s="305">
        <f t="shared" ref="AJ42:AJ46" si="272">Q42*$D42</f>
        <v>0</v>
      </c>
      <c r="AK42" s="305">
        <f t="shared" ref="AK42:AK46" si="273">R42*$D42</f>
        <v>0</v>
      </c>
      <c r="AL42" s="305">
        <f t="shared" ref="AL42:AL46" si="274">S42*$D42</f>
        <v>0</v>
      </c>
      <c r="AM42" s="305">
        <f t="shared" ref="AM42:AN46" si="275">T42*$D42</f>
        <v>0</v>
      </c>
      <c r="AN42" s="305">
        <f t="shared" si="275"/>
        <v>0</v>
      </c>
      <c r="AO42" s="305">
        <f t="shared" si="230"/>
        <v>0</v>
      </c>
      <c r="AP42" s="305">
        <f t="shared" si="230"/>
        <v>0</v>
      </c>
      <c r="AQ42" s="305">
        <f t="shared" si="230"/>
        <v>0</v>
      </c>
      <c r="AR42" s="305">
        <f t="shared" si="230"/>
        <v>0</v>
      </c>
      <c r="AS42" s="305">
        <f t="shared" si="230"/>
        <v>0</v>
      </c>
      <c r="AT42" s="305">
        <f t="shared" si="230"/>
        <v>0</v>
      </c>
      <c r="AU42" s="305">
        <f t="shared" si="230"/>
        <v>5000</v>
      </c>
      <c r="AV42" s="305">
        <f t="shared" si="230"/>
        <v>0</v>
      </c>
      <c r="AW42" s="305">
        <f t="shared" si="230"/>
        <v>0</v>
      </c>
      <c r="AX42" s="305">
        <f t="shared" si="230"/>
        <v>0</v>
      </c>
      <c r="AY42" s="305">
        <f t="shared" si="230"/>
        <v>0</v>
      </c>
      <c r="AZ42" s="305">
        <f t="shared" si="230"/>
        <v>0</v>
      </c>
      <c r="BA42" s="305">
        <f t="shared" si="230"/>
        <v>0</v>
      </c>
      <c r="BB42" s="305">
        <f t="shared" si="230"/>
        <v>0</v>
      </c>
      <c r="BC42" s="305">
        <f t="shared" si="230"/>
        <v>0</v>
      </c>
      <c r="BD42" s="305">
        <f t="shared" si="213"/>
        <v>0</v>
      </c>
      <c r="BE42" s="304">
        <f t="shared" si="17"/>
        <v>0</v>
      </c>
    </row>
    <row r="43" spans="1:57" s="300" customFormat="1" ht="14.45" customHeight="1" x14ac:dyDescent="0.25">
      <c r="A43" s="300" t="s">
        <v>156</v>
      </c>
      <c r="B43" s="259"/>
      <c r="C43" s="250"/>
      <c r="D43" s="326">
        <v>30000</v>
      </c>
      <c r="E43" s="250" t="s">
        <v>238</v>
      </c>
      <c r="F43" s="355"/>
      <c r="G43" s="355"/>
      <c r="H43" s="355"/>
      <c r="I43" s="337"/>
      <c r="J43" s="337"/>
      <c r="K43" s="337"/>
      <c r="L43" s="347">
        <v>0</v>
      </c>
      <c r="M43" s="338">
        <v>1</v>
      </c>
      <c r="N43" s="347">
        <v>0</v>
      </c>
      <c r="O43" s="347">
        <v>0</v>
      </c>
      <c r="P43" s="347">
        <v>0</v>
      </c>
      <c r="Q43" s="338"/>
      <c r="R43" s="338"/>
      <c r="S43" s="338"/>
      <c r="T43" s="338"/>
      <c r="U43" s="338"/>
      <c r="V43" s="351">
        <f t="shared" si="14"/>
        <v>1</v>
      </c>
      <c r="Y43" s="305">
        <f t="shared" si="261"/>
        <v>0</v>
      </c>
      <c r="Z43" s="305">
        <f t="shared" si="262"/>
        <v>0</v>
      </c>
      <c r="AA43" s="305">
        <f t="shared" si="263"/>
        <v>0</v>
      </c>
      <c r="AB43" s="305">
        <f t="shared" si="264"/>
        <v>0</v>
      </c>
      <c r="AC43" s="305">
        <f t="shared" si="265"/>
        <v>0</v>
      </c>
      <c r="AD43" s="305">
        <f t="shared" si="266"/>
        <v>0</v>
      </c>
      <c r="AE43" s="305">
        <f t="shared" si="267"/>
        <v>0</v>
      </c>
      <c r="AF43" s="305">
        <f t="shared" si="268"/>
        <v>30000</v>
      </c>
      <c r="AG43" s="305">
        <f t="shared" si="269"/>
        <v>0</v>
      </c>
      <c r="AH43" s="305">
        <f t="shared" si="270"/>
        <v>0</v>
      </c>
      <c r="AI43" s="305">
        <f t="shared" si="271"/>
        <v>0</v>
      </c>
      <c r="AJ43" s="305">
        <f t="shared" si="272"/>
        <v>0</v>
      </c>
      <c r="AK43" s="305">
        <f t="shared" si="273"/>
        <v>0</v>
      </c>
      <c r="AL43" s="305">
        <f t="shared" si="274"/>
        <v>0</v>
      </c>
      <c r="AM43" s="305">
        <f t="shared" si="275"/>
        <v>0</v>
      </c>
      <c r="AN43" s="305">
        <f t="shared" si="275"/>
        <v>0</v>
      </c>
      <c r="AO43" s="305">
        <f t="shared" si="230"/>
        <v>0</v>
      </c>
      <c r="AP43" s="305">
        <f t="shared" si="230"/>
        <v>0</v>
      </c>
      <c r="AQ43" s="305">
        <f t="shared" si="230"/>
        <v>0</v>
      </c>
      <c r="AR43" s="305">
        <f t="shared" si="230"/>
        <v>0</v>
      </c>
      <c r="AS43" s="305">
        <f t="shared" si="230"/>
        <v>0</v>
      </c>
      <c r="AT43" s="305">
        <f t="shared" si="230"/>
        <v>0</v>
      </c>
      <c r="AU43" s="305">
        <f t="shared" si="230"/>
        <v>0</v>
      </c>
      <c r="AV43" s="305">
        <f t="shared" si="230"/>
        <v>30000</v>
      </c>
      <c r="AW43" s="305">
        <f t="shared" si="230"/>
        <v>0</v>
      </c>
      <c r="AX43" s="305">
        <f t="shared" si="230"/>
        <v>0</v>
      </c>
      <c r="AY43" s="305">
        <f t="shared" si="230"/>
        <v>0</v>
      </c>
      <c r="AZ43" s="305">
        <f t="shared" si="230"/>
        <v>0</v>
      </c>
      <c r="BA43" s="305">
        <f t="shared" si="230"/>
        <v>0</v>
      </c>
      <c r="BB43" s="305">
        <f t="shared" si="230"/>
        <v>0</v>
      </c>
      <c r="BC43" s="305">
        <f t="shared" si="230"/>
        <v>0</v>
      </c>
      <c r="BD43" s="305">
        <f t="shared" si="213"/>
        <v>0</v>
      </c>
      <c r="BE43" s="304">
        <f t="shared" si="17"/>
        <v>0</v>
      </c>
    </row>
    <row r="44" spans="1:57" s="300" customFormat="1" ht="14.45" customHeight="1" x14ac:dyDescent="0.25">
      <c r="A44" s="300" t="s">
        <v>156</v>
      </c>
      <c r="B44" s="259"/>
      <c r="C44" s="250"/>
      <c r="D44" s="326">
        <v>3000</v>
      </c>
      <c r="E44" s="250" t="s">
        <v>238</v>
      </c>
      <c r="F44" s="355"/>
      <c r="G44" s="355"/>
      <c r="H44" s="355"/>
      <c r="I44" s="337"/>
      <c r="J44" s="337"/>
      <c r="K44" s="337"/>
      <c r="L44" s="347">
        <v>0</v>
      </c>
      <c r="M44" s="338">
        <v>1</v>
      </c>
      <c r="N44" s="347">
        <v>0</v>
      </c>
      <c r="O44" s="347">
        <v>0</v>
      </c>
      <c r="P44" s="347">
        <v>0</v>
      </c>
      <c r="Q44" s="338"/>
      <c r="R44" s="338"/>
      <c r="S44" s="338"/>
      <c r="T44" s="338"/>
      <c r="U44" s="338"/>
      <c r="V44" s="351">
        <f t="shared" si="14"/>
        <v>1</v>
      </c>
      <c r="Y44" s="305">
        <f t="shared" si="261"/>
        <v>0</v>
      </c>
      <c r="Z44" s="305">
        <f t="shared" si="262"/>
        <v>0</v>
      </c>
      <c r="AA44" s="305">
        <f t="shared" si="263"/>
        <v>0</v>
      </c>
      <c r="AB44" s="305">
        <f t="shared" si="264"/>
        <v>0</v>
      </c>
      <c r="AC44" s="305">
        <f t="shared" si="265"/>
        <v>0</v>
      </c>
      <c r="AD44" s="305">
        <f t="shared" si="266"/>
        <v>0</v>
      </c>
      <c r="AE44" s="305">
        <f t="shared" si="267"/>
        <v>0</v>
      </c>
      <c r="AF44" s="305">
        <f t="shared" si="268"/>
        <v>3000</v>
      </c>
      <c r="AG44" s="305">
        <f t="shared" si="269"/>
        <v>0</v>
      </c>
      <c r="AH44" s="305">
        <f t="shared" si="270"/>
        <v>0</v>
      </c>
      <c r="AI44" s="305">
        <f t="shared" si="271"/>
        <v>0</v>
      </c>
      <c r="AJ44" s="305">
        <f t="shared" si="272"/>
        <v>0</v>
      </c>
      <c r="AK44" s="305">
        <f t="shared" si="273"/>
        <v>0</v>
      </c>
      <c r="AL44" s="305">
        <f t="shared" si="274"/>
        <v>0</v>
      </c>
      <c r="AM44" s="305">
        <f t="shared" si="275"/>
        <v>0</v>
      </c>
      <c r="AN44" s="305">
        <f t="shared" si="275"/>
        <v>0</v>
      </c>
      <c r="AO44" s="305">
        <f t="shared" si="230"/>
        <v>0</v>
      </c>
      <c r="AP44" s="305">
        <f t="shared" si="230"/>
        <v>0</v>
      </c>
      <c r="AQ44" s="305">
        <f t="shared" si="230"/>
        <v>0</v>
      </c>
      <c r="AR44" s="305">
        <f t="shared" si="230"/>
        <v>0</v>
      </c>
      <c r="AS44" s="305">
        <f t="shared" si="230"/>
        <v>0</v>
      </c>
      <c r="AT44" s="305">
        <f t="shared" ref="AO44:BD46" si="276">IF(AT$3=$E44,$D44,0)</f>
        <v>0</v>
      </c>
      <c r="AU44" s="305">
        <f t="shared" si="276"/>
        <v>0</v>
      </c>
      <c r="AV44" s="305">
        <f t="shared" si="276"/>
        <v>3000</v>
      </c>
      <c r="AW44" s="305">
        <f t="shared" si="276"/>
        <v>0</v>
      </c>
      <c r="AX44" s="305">
        <f t="shared" si="276"/>
        <v>0</v>
      </c>
      <c r="AY44" s="305">
        <f t="shared" si="276"/>
        <v>0</v>
      </c>
      <c r="AZ44" s="305">
        <f t="shared" si="276"/>
        <v>0</v>
      </c>
      <c r="BA44" s="305">
        <f t="shared" si="276"/>
        <v>0</v>
      </c>
      <c r="BB44" s="305">
        <f t="shared" si="276"/>
        <v>0</v>
      </c>
      <c r="BC44" s="305">
        <f t="shared" si="276"/>
        <v>0</v>
      </c>
      <c r="BD44" s="305">
        <f t="shared" si="276"/>
        <v>0</v>
      </c>
      <c r="BE44" s="304">
        <f t="shared" si="17"/>
        <v>0</v>
      </c>
    </row>
    <row r="45" spans="1:57" s="300" customFormat="1" ht="14.45" customHeight="1" x14ac:dyDescent="0.25">
      <c r="A45" s="300" t="s">
        <v>156</v>
      </c>
      <c r="B45" s="259"/>
      <c r="C45" s="250"/>
      <c r="D45" s="326">
        <v>50000</v>
      </c>
      <c r="E45" s="250" t="s">
        <v>238</v>
      </c>
      <c r="F45" s="355"/>
      <c r="G45" s="355"/>
      <c r="H45" s="355"/>
      <c r="I45" s="337"/>
      <c r="J45" s="337"/>
      <c r="K45" s="337"/>
      <c r="L45" s="347">
        <v>0</v>
      </c>
      <c r="M45" s="338">
        <v>1</v>
      </c>
      <c r="N45" s="347">
        <v>0</v>
      </c>
      <c r="O45" s="347">
        <v>0</v>
      </c>
      <c r="P45" s="347">
        <v>0</v>
      </c>
      <c r="Q45" s="338"/>
      <c r="R45" s="338"/>
      <c r="S45" s="338"/>
      <c r="T45" s="338"/>
      <c r="U45" s="338"/>
      <c r="V45" s="351">
        <f t="shared" si="14"/>
        <v>1</v>
      </c>
      <c r="Y45" s="305">
        <f t="shared" si="261"/>
        <v>0</v>
      </c>
      <c r="Z45" s="305">
        <f t="shared" si="262"/>
        <v>0</v>
      </c>
      <c r="AA45" s="305">
        <f t="shared" si="263"/>
        <v>0</v>
      </c>
      <c r="AB45" s="305">
        <f t="shared" si="264"/>
        <v>0</v>
      </c>
      <c r="AC45" s="305">
        <f t="shared" si="265"/>
        <v>0</v>
      </c>
      <c r="AD45" s="305">
        <f t="shared" si="266"/>
        <v>0</v>
      </c>
      <c r="AE45" s="305">
        <f t="shared" si="267"/>
        <v>0</v>
      </c>
      <c r="AF45" s="305">
        <f t="shared" si="268"/>
        <v>50000</v>
      </c>
      <c r="AG45" s="305">
        <f t="shared" si="269"/>
        <v>0</v>
      </c>
      <c r="AH45" s="305">
        <f t="shared" si="270"/>
        <v>0</v>
      </c>
      <c r="AI45" s="305">
        <f t="shared" si="271"/>
        <v>0</v>
      </c>
      <c r="AJ45" s="305">
        <f t="shared" si="272"/>
        <v>0</v>
      </c>
      <c r="AK45" s="305">
        <f t="shared" si="273"/>
        <v>0</v>
      </c>
      <c r="AL45" s="305">
        <f t="shared" si="274"/>
        <v>0</v>
      </c>
      <c r="AM45" s="305">
        <f t="shared" si="275"/>
        <v>0</v>
      </c>
      <c r="AN45" s="305">
        <f t="shared" si="275"/>
        <v>0</v>
      </c>
      <c r="AO45" s="305">
        <f t="shared" si="276"/>
        <v>0</v>
      </c>
      <c r="AP45" s="305">
        <f t="shared" si="276"/>
        <v>0</v>
      </c>
      <c r="AQ45" s="305">
        <f t="shared" si="276"/>
        <v>0</v>
      </c>
      <c r="AR45" s="305">
        <f t="shared" si="276"/>
        <v>0</v>
      </c>
      <c r="AS45" s="305">
        <f t="shared" si="276"/>
        <v>0</v>
      </c>
      <c r="AT45" s="305">
        <f t="shared" si="276"/>
        <v>0</v>
      </c>
      <c r="AU45" s="305">
        <f t="shared" si="276"/>
        <v>0</v>
      </c>
      <c r="AV45" s="305">
        <f t="shared" si="276"/>
        <v>50000</v>
      </c>
      <c r="AW45" s="305">
        <f t="shared" si="276"/>
        <v>0</v>
      </c>
      <c r="AX45" s="305">
        <f t="shared" si="276"/>
        <v>0</v>
      </c>
      <c r="AY45" s="305">
        <f t="shared" si="276"/>
        <v>0</v>
      </c>
      <c r="AZ45" s="305">
        <f t="shared" si="276"/>
        <v>0</v>
      </c>
      <c r="BA45" s="305">
        <f t="shared" si="276"/>
        <v>0</v>
      </c>
      <c r="BB45" s="305">
        <f t="shared" si="276"/>
        <v>0</v>
      </c>
      <c r="BC45" s="305">
        <f t="shared" si="276"/>
        <v>0</v>
      </c>
      <c r="BD45" s="305">
        <f t="shared" si="276"/>
        <v>0</v>
      </c>
      <c r="BE45" s="304">
        <f t="shared" si="17"/>
        <v>0</v>
      </c>
    </row>
    <row r="46" spans="1:57" s="300" customFormat="1" ht="14.45" customHeight="1" x14ac:dyDescent="0.25">
      <c r="A46" s="300" t="s">
        <v>156</v>
      </c>
      <c r="B46" s="259"/>
      <c r="C46" s="250"/>
      <c r="D46" s="326">
        <v>40000</v>
      </c>
      <c r="E46" s="250" t="s">
        <v>238</v>
      </c>
      <c r="F46" s="355"/>
      <c r="G46" s="355"/>
      <c r="H46" s="355"/>
      <c r="I46" s="337"/>
      <c r="J46" s="337"/>
      <c r="K46" s="337"/>
      <c r="L46" s="347">
        <v>0</v>
      </c>
      <c r="M46" s="338">
        <v>1</v>
      </c>
      <c r="N46" s="347">
        <v>0</v>
      </c>
      <c r="O46" s="347">
        <v>0</v>
      </c>
      <c r="P46" s="347">
        <v>0</v>
      </c>
      <c r="Q46" s="338"/>
      <c r="R46" s="338"/>
      <c r="S46" s="338"/>
      <c r="T46" s="338"/>
      <c r="U46" s="338"/>
      <c r="V46" s="351">
        <f t="shared" si="14"/>
        <v>1</v>
      </c>
      <c r="Y46" s="305">
        <f t="shared" si="261"/>
        <v>0</v>
      </c>
      <c r="Z46" s="305">
        <f t="shared" si="262"/>
        <v>0</v>
      </c>
      <c r="AA46" s="305">
        <f t="shared" si="263"/>
        <v>0</v>
      </c>
      <c r="AB46" s="305">
        <f t="shared" si="264"/>
        <v>0</v>
      </c>
      <c r="AC46" s="305">
        <f t="shared" si="265"/>
        <v>0</v>
      </c>
      <c r="AD46" s="305">
        <f t="shared" si="266"/>
        <v>0</v>
      </c>
      <c r="AE46" s="305">
        <f t="shared" si="267"/>
        <v>0</v>
      </c>
      <c r="AF46" s="305">
        <f t="shared" si="268"/>
        <v>40000</v>
      </c>
      <c r="AG46" s="305">
        <f t="shared" si="269"/>
        <v>0</v>
      </c>
      <c r="AH46" s="305">
        <f t="shared" si="270"/>
        <v>0</v>
      </c>
      <c r="AI46" s="305">
        <f t="shared" si="271"/>
        <v>0</v>
      </c>
      <c r="AJ46" s="305">
        <f t="shared" si="272"/>
        <v>0</v>
      </c>
      <c r="AK46" s="305">
        <f t="shared" si="273"/>
        <v>0</v>
      </c>
      <c r="AL46" s="305">
        <f t="shared" si="274"/>
        <v>0</v>
      </c>
      <c r="AM46" s="305">
        <f t="shared" si="275"/>
        <v>0</v>
      </c>
      <c r="AN46" s="305">
        <f t="shared" si="275"/>
        <v>0</v>
      </c>
      <c r="AO46" s="305">
        <f t="shared" si="276"/>
        <v>0</v>
      </c>
      <c r="AP46" s="305">
        <f t="shared" si="276"/>
        <v>0</v>
      </c>
      <c r="AQ46" s="305">
        <f t="shared" si="276"/>
        <v>0</v>
      </c>
      <c r="AR46" s="305">
        <f t="shared" si="276"/>
        <v>0</v>
      </c>
      <c r="AS46" s="305">
        <f t="shared" si="276"/>
        <v>0</v>
      </c>
      <c r="AT46" s="305">
        <f t="shared" si="276"/>
        <v>0</v>
      </c>
      <c r="AU46" s="305">
        <f t="shared" si="276"/>
        <v>0</v>
      </c>
      <c r="AV46" s="305">
        <f t="shared" si="276"/>
        <v>40000</v>
      </c>
      <c r="AW46" s="305">
        <f t="shared" si="276"/>
        <v>0</v>
      </c>
      <c r="AX46" s="305">
        <f t="shared" si="276"/>
        <v>0</v>
      </c>
      <c r="AY46" s="305">
        <f t="shared" si="276"/>
        <v>0</v>
      </c>
      <c r="AZ46" s="305">
        <f t="shared" si="276"/>
        <v>0</v>
      </c>
      <c r="BA46" s="305">
        <f t="shared" si="276"/>
        <v>0</v>
      </c>
      <c r="BB46" s="305">
        <f t="shared" si="276"/>
        <v>0</v>
      </c>
      <c r="BC46" s="305">
        <f t="shared" si="276"/>
        <v>0</v>
      </c>
      <c r="BD46" s="305">
        <f t="shared" si="276"/>
        <v>0</v>
      </c>
      <c r="BE46" s="304">
        <f t="shared" si="17"/>
        <v>0</v>
      </c>
    </row>
    <row r="47" spans="1:57" ht="14.45" customHeight="1" x14ac:dyDescent="0.25">
      <c r="A47" t="s">
        <v>156</v>
      </c>
      <c r="B47" s="259"/>
      <c r="C47" s="300"/>
      <c r="D47" s="342">
        <v>8100</v>
      </c>
      <c r="E47" s="250" t="s">
        <v>216</v>
      </c>
      <c r="F47" s="356"/>
      <c r="G47" s="356"/>
      <c r="H47" s="356"/>
      <c r="I47" s="338">
        <v>0</v>
      </c>
      <c r="J47" s="338">
        <v>0.41666666667000002</v>
      </c>
      <c r="K47" s="338">
        <v>0.58333333333333004</v>
      </c>
      <c r="L47" s="337"/>
      <c r="M47" s="337"/>
      <c r="N47" s="337"/>
      <c r="O47" s="337"/>
      <c r="P47" s="337"/>
      <c r="Q47" s="338"/>
      <c r="R47" s="338"/>
      <c r="S47" s="338"/>
      <c r="T47" s="338"/>
      <c r="U47" s="338"/>
      <c r="V47" s="351">
        <f t="shared" si="14"/>
        <v>1.00000000000333</v>
      </c>
      <c r="W47" s="300"/>
      <c r="X47" s="300"/>
      <c r="Y47" s="305">
        <f t="shared" si="0"/>
        <v>0</v>
      </c>
      <c r="Z47" s="305">
        <f t="shared" si="1"/>
        <v>0</v>
      </c>
      <c r="AA47" s="305">
        <f t="shared" si="2"/>
        <v>0</v>
      </c>
      <c r="AB47" s="305">
        <f t="shared" si="3"/>
        <v>0</v>
      </c>
      <c r="AC47" s="305">
        <f t="shared" ref="AC47:AC53" si="277">J47*$D47</f>
        <v>3375.0000000270002</v>
      </c>
      <c r="AD47" s="305">
        <f t="shared" si="34"/>
        <v>4724.9999999999736</v>
      </c>
      <c r="AE47" s="305">
        <f t="shared" si="35"/>
        <v>0</v>
      </c>
      <c r="AF47" s="305">
        <f t="shared" si="36"/>
        <v>0</v>
      </c>
      <c r="AG47" s="305">
        <f t="shared" si="15"/>
        <v>0</v>
      </c>
      <c r="AH47" s="305">
        <f t="shared" si="16"/>
        <v>0</v>
      </c>
      <c r="AI47" s="305">
        <f t="shared" si="8"/>
        <v>0</v>
      </c>
      <c r="AJ47" s="305">
        <f t="shared" si="9"/>
        <v>0</v>
      </c>
      <c r="AK47" s="305">
        <f t="shared" si="10"/>
        <v>0</v>
      </c>
      <c r="AL47" s="305">
        <f t="shared" si="11"/>
        <v>0</v>
      </c>
      <c r="AM47" s="305">
        <f t="shared" si="12"/>
        <v>0</v>
      </c>
      <c r="AN47" s="305">
        <f t="shared" si="12"/>
        <v>0</v>
      </c>
      <c r="AO47" s="244">
        <f t="shared" si="230"/>
        <v>0</v>
      </c>
      <c r="AP47" s="244">
        <f t="shared" si="230"/>
        <v>0</v>
      </c>
      <c r="AQ47" s="244">
        <f t="shared" si="230"/>
        <v>0</v>
      </c>
      <c r="AR47" s="244">
        <f t="shared" si="230"/>
        <v>8100</v>
      </c>
      <c r="AS47" s="244">
        <f t="shared" si="230"/>
        <v>0</v>
      </c>
      <c r="AT47" s="244">
        <f t="shared" si="230"/>
        <v>0</v>
      </c>
      <c r="AU47" s="244">
        <f t="shared" si="230"/>
        <v>0</v>
      </c>
      <c r="AV47" s="244">
        <f t="shared" si="230"/>
        <v>0</v>
      </c>
      <c r="AW47" s="244">
        <f t="shared" si="230"/>
        <v>0</v>
      </c>
      <c r="AX47" s="244">
        <f t="shared" si="230"/>
        <v>0</v>
      </c>
      <c r="AY47" s="244">
        <f t="shared" si="230"/>
        <v>0</v>
      </c>
      <c r="AZ47" s="244">
        <f t="shared" si="230"/>
        <v>0</v>
      </c>
      <c r="BA47" s="244">
        <f t="shared" si="230"/>
        <v>0</v>
      </c>
      <c r="BB47" s="244">
        <f t="shared" si="230"/>
        <v>0</v>
      </c>
      <c r="BC47" s="305">
        <f t="shared" ref="BC47:BD66" si="278">IF(BC$3=$E47,$D47,0)</f>
        <v>0</v>
      </c>
      <c r="BD47" s="305">
        <f t="shared" si="278"/>
        <v>0</v>
      </c>
      <c r="BE47" s="304">
        <f t="shared" si="17"/>
        <v>2.6973793865181506E-8</v>
      </c>
    </row>
    <row r="48" spans="1:57" ht="14.45" customHeight="1" x14ac:dyDescent="0.25">
      <c r="A48" t="s">
        <v>156</v>
      </c>
      <c r="B48" s="259"/>
      <c r="C48" s="300"/>
      <c r="D48" s="342">
        <v>18700</v>
      </c>
      <c r="E48" s="250" t="s">
        <v>216</v>
      </c>
      <c r="F48" s="356"/>
      <c r="G48" s="356"/>
      <c r="H48" s="356"/>
      <c r="I48" s="338">
        <v>0</v>
      </c>
      <c r="J48" s="338">
        <v>0.36363636363599999</v>
      </c>
      <c r="K48" s="338">
        <v>0.63636363636299997</v>
      </c>
      <c r="L48" s="337"/>
      <c r="M48" s="337"/>
      <c r="N48" s="337"/>
      <c r="O48" s="337"/>
      <c r="P48" s="337"/>
      <c r="Q48" s="338"/>
      <c r="R48" s="338"/>
      <c r="S48" s="338"/>
      <c r="T48" s="338"/>
      <c r="U48" s="338"/>
      <c r="V48" s="351">
        <f t="shared" si="14"/>
        <v>0.99999999999899991</v>
      </c>
      <c r="W48" s="300"/>
      <c r="X48" s="300"/>
      <c r="Y48" s="305">
        <f t="shared" si="0"/>
        <v>0</v>
      </c>
      <c r="Z48" s="305">
        <f t="shared" si="1"/>
        <v>0</v>
      </c>
      <c r="AA48" s="305">
        <f t="shared" si="2"/>
        <v>0</v>
      </c>
      <c r="AB48" s="305">
        <f t="shared" si="3"/>
        <v>0</v>
      </c>
      <c r="AC48" s="305">
        <f t="shared" si="277"/>
        <v>6799.9999999931997</v>
      </c>
      <c r="AD48" s="305">
        <f t="shared" si="34"/>
        <v>11899.9999999881</v>
      </c>
      <c r="AE48" s="305">
        <f t="shared" si="35"/>
        <v>0</v>
      </c>
      <c r="AF48" s="305">
        <f t="shared" si="36"/>
        <v>0</v>
      </c>
      <c r="AG48" s="305">
        <f t="shared" si="15"/>
        <v>0</v>
      </c>
      <c r="AH48" s="305">
        <f t="shared" si="16"/>
        <v>0</v>
      </c>
      <c r="AI48" s="305">
        <f t="shared" si="8"/>
        <v>0</v>
      </c>
      <c r="AJ48" s="305">
        <f t="shared" si="9"/>
        <v>0</v>
      </c>
      <c r="AK48" s="305">
        <f t="shared" si="10"/>
        <v>0</v>
      </c>
      <c r="AL48" s="305">
        <f t="shared" si="11"/>
        <v>0</v>
      </c>
      <c r="AM48" s="305">
        <f t="shared" si="12"/>
        <v>0</v>
      </c>
      <c r="AN48" s="305">
        <f t="shared" si="12"/>
        <v>0</v>
      </c>
      <c r="AO48" s="244">
        <f t="shared" si="230"/>
        <v>0</v>
      </c>
      <c r="AP48" s="244">
        <f t="shared" si="230"/>
        <v>0</v>
      </c>
      <c r="AQ48" s="244">
        <f t="shared" si="230"/>
        <v>0</v>
      </c>
      <c r="AR48" s="244">
        <f t="shared" si="230"/>
        <v>18700</v>
      </c>
      <c r="AS48" s="244">
        <f t="shared" si="230"/>
        <v>0</v>
      </c>
      <c r="AT48" s="244">
        <f t="shared" si="230"/>
        <v>0</v>
      </c>
      <c r="AU48" s="244">
        <f t="shared" si="230"/>
        <v>0</v>
      </c>
      <c r="AV48" s="244">
        <f t="shared" si="230"/>
        <v>0</v>
      </c>
      <c r="AW48" s="244">
        <f t="shared" si="230"/>
        <v>0</v>
      </c>
      <c r="AX48" s="244">
        <f t="shared" si="230"/>
        <v>0</v>
      </c>
      <c r="AY48" s="244">
        <f t="shared" si="230"/>
        <v>0</v>
      </c>
      <c r="AZ48" s="244">
        <f t="shared" si="230"/>
        <v>0</v>
      </c>
      <c r="BA48" s="244">
        <f t="shared" si="230"/>
        <v>0</v>
      </c>
      <c r="BB48" s="244">
        <f t="shared" si="230"/>
        <v>0</v>
      </c>
      <c r="BC48" s="305">
        <f t="shared" si="278"/>
        <v>0</v>
      </c>
      <c r="BD48" s="305">
        <f t="shared" si="278"/>
        <v>0</v>
      </c>
      <c r="BE48" s="304">
        <f t="shared" si="17"/>
        <v>-1.8699211068451405E-8</v>
      </c>
    </row>
    <row r="49" spans="1:57" ht="14.45" customHeight="1" x14ac:dyDescent="0.25">
      <c r="A49" t="s">
        <v>156</v>
      </c>
      <c r="B49" s="259"/>
      <c r="C49" s="300"/>
      <c r="D49" s="342">
        <v>8000</v>
      </c>
      <c r="E49" s="250" t="s">
        <v>184</v>
      </c>
      <c r="F49" s="356"/>
      <c r="G49" s="356"/>
      <c r="H49" s="356"/>
      <c r="I49" s="338">
        <v>0.5</v>
      </c>
      <c r="J49" s="338">
        <v>0.5</v>
      </c>
      <c r="K49" s="337"/>
      <c r="L49" s="337"/>
      <c r="M49" s="337"/>
      <c r="N49" s="337"/>
      <c r="O49" s="337"/>
      <c r="P49" s="337"/>
      <c r="Q49" s="338"/>
      <c r="R49" s="338"/>
      <c r="S49" s="338"/>
      <c r="T49" s="338"/>
      <c r="U49" s="338"/>
      <c r="V49" s="351">
        <f t="shared" si="14"/>
        <v>1</v>
      </c>
      <c r="W49" s="300"/>
      <c r="X49" s="300"/>
      <c r="Y49" s="305">
        <f t="shared" si="0"/>
        <v>0</v>
      </c>
      <c r="Z49" s="305">
        <f t="shared" si="1"/>
        <v>0</v>
      </c>
      <c r="AA49" s="305">
        <f t="shared" si="2"/>
        <v>0</v>
      </c>
      <c r="AB49" s="305">
        <f t="shared" si="3"/>
        <v>4000</v>
      </c>
      <c r="AC49" s="305">
        <f t="shared" si="277"/>
        <v>4000</v>
      </c>
      <c r="AD49" s="305">
        <f t="shared" si="34"/>
        <v>0</v>
      </c>
      <c r="AE49" s="305">
        <f t="shared" si="35"/>
        <v>0</v>
      </c>
      <c r="AF49" s="305">
        <f t="shared" si="36"/>
        <v>0</v>
      </c>
      <c r="AG49" s="305">
        <f t="shared" si="15"/>
        <v>0</v>
      </c>
      <c r="AH49" s="305">
        <f t="shared" si="16"/>
        <v>0</v>
      </c>
      <c r="AI49" s="305">
        <f t="shared" si="8"/>
        <v>0</v>
      </c>
      <c r="AJ49" s="305">
        <f t="shared" si="9"/>
        <v>0</v>
      </c>
      <c r="AK49" s="305">
        <f t="shared" si="10"/>
        <v>0</v>
      </c>
      <c r="AL49" s="305">
        <f t="shared" si="11"/>
        <v>0</v>
      </c>
      <c r="AM49" s="305">
        <f t="shared" si="12"/>
        <v>0</v>
      </c>
      <c r="AN49" s="305">
        <f t="shared" si="12"/>
        <v>0</v>
      </c>
      <c r="AO49" s="305">
        <f t="shared" si="230"/>
        <v>0</v>
      </c>
      <c r="AP49" s="305">
        <f t="shared" si="230"/>
        <v>0</v>
      </c>
      <c r="AQ49" s="305">
        <f t="shared" si="230"/>
        <v>8000</v>
      </c>
      <c r="AR49" s="305">
        <f t="shared" si="230"/>
        <v>0</v>
      </c>
      <c r="AS49" s="305">
        <f t="shared" si="230"/>
        <v>0</v>
      </c>
      <c r="AT49" s="305">
        <f t="shared" si="230"/>
        <v>0</v>
      </c>
      <c r="AU49" s="305">
        <f t="shared" si="230"/>
        <v>0</v>
      </c>
      <c r="AV49" s="305">
        <f t="shared" si="230"/>
        <v>0</v>
      </c>
      <c r="AW49" s="244">
        <f t="shared" si="230"/>
        <v>0</v>
      </c>
      <c r="AX49" s="244">
        <f t="shared" si="230"/>
        <v>0</v>
      </c>
      <c r="AY49" s="244">
        <f t="shared" si="230"/>
        <v>0</v>
      </c>
      <c r="AZ49" s="244">
        <f t="shared" si="230"/>
        <v>0</v>
      </c>
      <c r="BA49" s="244">
        <f t="shared" si="230"/>
        <v>0</v>
      </c>
      <c r="BB49" s="244">
        <f t="shared" si="230"/>
        <v>0</v>
      </c>
      <c r="BC49" s="305">
        <f t="shared" si="278"/>
        <v>0</v>
      </c>
      <c r="BD49" s="305">
        <f t="shared" si="278"/>
        <v>0</v>
      </c>
      <c r="BE49" s="304">
        <f t="shared" si="17"/>
        <v>0</v>
      </c>
    </row>
    <row r="50" spans="1:57" ht="14.45" customHeight="1" x14ac:dyDescent="0.25">
      <c r="A50" t="s">
        <v>156</v>
      </c>
      <c r="B50" s="259"/>
      <c r="C50" s="300"/>
      <c r="D50" s="342">
        <v>52000</v>
      </c>
      <c r="E50" s="250" t="s">
        <v>184</v>
      </c>
      <c r="F50" s="371"/>
      <c r="G50" s="371"/>
      <c r="H50" s="371"/>
      <c r="I50" s="340">
        <v>0.115384615384615</v>
      </c>
      <c r="J50" s="340">
        <v>0.115384615384615</v>
      </c>
      <c r="K50" s="340">
        <v>0.115384615384615</v>
      </c>
      <c r="L50" s="340">
        <v>0.115384615384615</v>
      </c>
      <c r="M50" s="340">
        <v>0.115384615384615</v>
      </c>
      <c r="N50" s="340">
        <v>0.115384615384615</v>
      </c>
      <c r="O50" s="340">
        <v>0.115384615384615</v>
      </c>
      <c r="P50" s="340">
        <v>0.115384615384615</v>
      </c>
      <c r="Q50" s="340">
        <v>7.69230769230769E-2</v>
      </c>
      <c r="R50" s="340">
        <v>0</v>
      </c>
      <c r="S50" s="340">
        <v>0</v>
      </c>
      <c r="T50" s="340">
        <v>0</v>
      </c>
      <c r="U50" s="340"/>
      <c r="V50" s="351">
        <f t="shared" si="14"/>
        <v>0.99999999999999678</v>
      </c>
      <c r="W50" s="300"/>
      <c r="X50" s="300"/>
      <c r="Y50" s="305">
        <f t="shared" si="0"/>
        <v>0</v>
      </c>
      <c r="Z50" s="305">
        <f t="shared" si="1"/>
        <v>0</v>
      </c>
      <c r="AA50" s="305">
        <f t="shared" si="2"/>
        <v>0</v>
      </c>
      <c r="AB50" s="305">
        <f t="shared" si="3"/>
        <v>5999.99999999998</v>
      </c>
      <c r="AC50" s="305">
        <f t="shared" si="277"/>
        <v>5999.99999999998</v>
      </c>
      <c r="AD50" s="305">
        <f t="shared" si="34"/>
        <v>5999.99999999998</v>
      </c>
      <c r="AE50" s="305">
        <f t="shared" si="35"/>
        <v>5999.99999999998</v>
      </c>
      <c r="AF50" s="305">
        <f t="shared" si="36"/>
        <v>5999.99999999998</v>
      </c>
      <c r="AG50" s="305">
        <f t="shared" si="15"/>
        <v>5999.99999999998</v>
      </c>
      <c r="AH50" s="305">
        <f t="shared" si="16"/>
        <v>5999.99999999998</v>
      </c>
      <c r="AI50" s="305">
        <f t="shared" si="8"/>
        <v>5999.99999999998</v>
      </c>
      <c r="AJ50" s="305">
        <f t="shared" si="9"/>
        <v>3999.9999999999986</v>
      </c>
      <c r="AK50" s="305">
        <f t="shared" si="10"/>
        <v>0</v>
      </c>
      <c r="AL50" s="305">
        <f t="shared" si="11"/>
        <v>0</v>
      </c>
      <c r="AM50" s="305">
        <f t="shared" si="12"/>
        <v>0</v>
      </c>
      <c r="AN50" s="305">
        <f t="shared" si="12"/>
        <v>0</v>
      </c>
      <c r="AO50" s="305">
        <f t="shared" si="230"/>
        <v>0</v>
      </c>
      <c r="AP50" s="305">
        <f t="shared" si="230"/>
        <v>0</v>
      </c>
      <c r="AQ50" s="305">
        <f t="shared" si="230"/>
        <v>52000</v>
      </c>
      <c r="AR50" s="305">
        <f t="shared" si="230"/>
        <v>0</v>
      </c>
      <c r="AS50" s="305">
        <f t="shared" si="230"/>
        <v>0</v>
      </c>
      <c r="AT50" s="305">
        <f t="shared" si="230"/>
        <v>0</v>
      </c>
      <c r="AU50" s="305">
        <f t="shared" si="230"/>
        <v>0</v>
      </c>
      <c r="AV50" s="305">
        <f t="shared" si="230"/>
        <v>0</v>
      </c>
      <c r="AW50" s="244">
        <f t="shared" si="230"/>
        <v>0</v>
      </c>
      <c r="AX50" s="244">
        <f t="shared" si="230"/>
        <v>0</v>
      </c>
      <c r="AY50" s="244">
        <f t="shared" si="230"/>
        <v>0</v>
      </c>
      <c r="AZ50" s="244">
        <f t="shared" si="230"/>
        <v>0</v>
      </c>
      <c r="BA50" s="244">
        <f t="shared" si="230"/>
        <v>0</v>
      </c>
      <c r="BB50" s="244">
        <f t="shared" si="230"/>
        <v>0</v>
      </c>
      <c r="BC50" s="305">
        <f t="shared" si="278"/>
        <v>0</v>
      </c>
      <c r="BD50" s="305">
        <f t="shared" si="278"/>
        <v>0</v>
      </c>
      <c r="BE50" s="304">
        <f t="shared" si="17"/>
        <v>-1.673470251262188E-10</v>
      </c>
    </row>
    <row r="51" spans="1:57" ht="14.45" customHeight="1" x14ac:dyDescent="0.25">
      <c r="A51" t="s">
        <v>156</v>
      </c>
      <c r="B51" s="259"/>
      <c r="C51" s="250"/>
      <c r="D51" s="342">
        <v>30000</v>
      </c>
      <c r="E51" s="250" t="s">
        <v>198</v>
      </c>
      <c r="F51" s="355"/>
      <c r="G51" s="355"/>
      <c r="H51" s="355"/>
      <c r="I51" s="337"/>
      <c r="J51" s="337"/>
      <c r="K51" s="337"/>
      <c r="L51" s="338">
        <v>0</v>
      </c>
      <c r="M51" s="338">
        <v>0.7</v>
      </c>
      <c r="N51" s="338">
        <v>0.3</v>
      </c>
      <c r="O51" s="338">
        <v>0</v>
      </c>
      <c r="P51" s="337"/>
      <c r="Q51" s="337"/>
      <c r="R51" s="337"/>
      <c r="S51" s="337"/>
      <c r="T51" s="337"/>
      <c r="U51" s="337"/>
      <c r="V51" s="351">
        <f t="shared" si="14"/>
        <v>1</v>
      </c>
      <c r="W51" s="300"/>
      <c r="X51" s="300"/>
      <c r="Y51" s="244">
        <f t="shared" si="0"/>
        <v>0</v>
      </c>
      <c r="Z51" s="244">
        <f t="shared" si="1"/>
        <v>0</v>
      </c>
      <c r="AA51" s="305">
        <f t="shared" si="2"/>
        <v>0</v>
      </c>
      <c r="AB51" s="305">
        <f t="shared" si="3"/>
        <v>0</v>
      </c>
      <c r="AC51" s="305">
        <f t="shared" si="277"/>
        <v>0</v>
      </c>
      <c r="AD51" s="305">
        <f t="shared" si="34"/>
        <v>0</v>
      </c>
      <c r="AE51" s="305">
        <f t="shared" si="35"/>
        <v>0</v>
      </c>
      <c r="AF51" s="305">
        <f t="shared" si="36"/>
        <v>21000</v>
      </c>
      <c r="AG51" s="305">
        <f t="shared" si="15"/>
        <v>9000</v>
      </c>
      <c r="AH51" s="305">
        <f t="shared" si="16"/>
        <v>0</v>
      </c>
      <c r="AI51" s="305">
        <f t="shared" si="8"/>
        <v>0</v>
      </c>
      <c r="AJ51" s="305">
        <f t="shared" si="9"/>
        <v>0</v>
      </c>
      <c r="AK51" s="305">
        <f t="shared" si="10"/>
        <v>0</v>
      </c>
      <c r="AL51" s="305">
        <f t="shared" si="11"/>
        <v>0</v>
      </c>
      <c r="AM51" s="244">
        <f t="shared" si="12"/>
        <v>0</v>
      </c>
      <c r="AN51" s="305">
        <f t="shared" si="12"/>
        <v>0</v>
      </c>
      <c r="AO51" s="305">
        <f t="shared" si="230"/>
        <v>0</v>
      </c>
      <c r="AP51" s="305">
        <f t="shared" si="230"/>
        <v>0</v>
      </c>
      <c r="AQ51" s="305">
        <f t="shared" si="230"/>
        <v>0</v>
      </c>
      <c r="AR51" s="305">
        <f t="shared" si="230"/>
        <v>0</v>
      </c>
      <c r="AS51" s="305">
        <f t="shared" si="230"/>
        <v>0</v>
      </c>
      <c r="AT51" s="305">
        <f t="shared" si="230"/>
        <v>0</v>
      </c>
      <c r="AU51" s="305">
        <f t="shared" si="230"/>
        <v>30000</v>
      </c>
      <c r="AV51" s="305">
        <f t="shared" si="230"/>
        <v>0</v>
      </c>
      <c r="AW51" s="244">
        <f t="shared" si="230"/>
        <v>0</v>
      </c>
      <c r="AX51" s="244">
        <f t="shared" si="230"/>
        <v>0</v>
      </c>
      <c r="AY51" s="244">
        <f t="shared" si="230"/>
        <v>0</v>
      </c>
      <c r="AZ51" s="244">
        <f t="shared" si="230"/>
        <v>0</v>
      </c>
      <c r="BA51" s="244">
        <f t="shared" si="230"/>
        <v>0</v>
      </c>
      <c r="BB51" s="244">
        <f t="shared" si="230"/>
        <v>0</v>
      </c>
      <c r="BC51" s="305">
        <f t="shared" si="278"/>
        <v>0</v>
      </c>
      <c r="BD51" s="305">
        <f t="shared" si="278"/>
        <v>0</v>
      </c>
      <c r="BE51" s="304">
        <f t="shared" si="17"/>
        <v>0</v>
      </c>
    </row>
    <row r="52" spans="1:57" s="300" customFormat="1" ht="14.45" customHeight="1" x14ac:dyDescent="0.25">
      <c r="A52" s="300" t="s">
        <v>158</v>
      </c>
      <c r="B52" s="259"/>
      <c r="C52" s="250"/>
      <c r="D52" s="342">
        <v>170000</v>
      </c>
      <c r="E52" s="250" t="s">
        <v>230</v>
      </c>
      <c r="F52" s="355"/>
      <c r="G52" s="355"/>
      <c r="H52" s="355"/>
      <c r="I52" s="337"/>
      <c r="J52" s="337"/>
      <c r="K52" s="337"/>
      <c r="L52" s="337"/>
      <c r="M52" s="337"/>
      <c r="N52" s="337"/>
      <c r="O52" s="337"/>
      <c r="P52" s="337"/>
      <c r="Q52" s="338">
        <v>0</v>
      </c>
      <c r="R52" s="338">
        <v>0</v>
      </c>
      <c r="S52" s="338">
        <v>0</v>
      </c>
      <c r="T52" s="338">
        <v>1</v>
      </c>
      <c r="U52" s="338"/>
      <c r="V52" s="351">
        <f t="shared" si="14"/>
        <v>1</v>
      </c>
      <c r="Y52" s="305">
        <f t="shared" si="0"/>
        <v>0</v>
      </c>
      <c r="Z52" s="305">
        <f t="shared" si="1"/>
        <v>0</v>
      </c>
      <c r="AA52" s="305">
        <f t="shared" si="2"/>
        <v>0</v>
      </c>
      <c r="AB52" s="305">
        <f t="shared" si="3"/>
        <v>0</v>
      </c>
      <c r="AC52" s="305">
        <f t="shared" si="277"/>
        <v>0</v>
      </c>
      <c r="AD52" s="305">
        <f t="shared" si="34"/>
        <v>0</v>
      </c>
      <c r="AE52" s="305">
        <f t="shared" si="35"/>
        <v>0</v>
      </c>
      <c r="AF52" s="305">
        <f t="shared" si="36"/>
        <v>0</v>
      </c>
      <c r="AG52" s="305">
        <f t="shared" si="15"/>
        <v>0</v>
      </c>
      <c r="AH52" s="305">
        <f t="shared" si="16"/>
        <v>0</v>
      </c>
      <c r="AI52" s="305">
        <f t="shared" si="8"/>
        <v>0</v>
      </c>
      <c r="AJ52" s="305">
        <f t="shared" si="9"/>
        <v>0</v>
      </c>
      <c r="AK52" s="305">
        <f t="shared" si="10"/>
        <v>0</v>
      </c>
      <c r="AL52" s="305">
        <f t="shared" si="11"/>
        <v>0</v>
      </c>
      <c r="AM52" s="305">
        <f t="shared" si="12"/>
        <v>170000</v>
      </c>
      <c r="AN52" s="305">
        <f t="shared" si="12"/>
        <v>0</v>
      </c>
      <c r="AO52" s="305">
        <f t="shared" si="230"/>
        <v>0</v>
      </c>
      <c r="AP52" s="305">
        <f t="shared" si="230"/>
        <v>0</v>
      </c>
      <c r="AQ52" s="305">
        <f t="shared" si="230"/>
        <v>0</v>
      </c>
      <c r="AR52" s="305">
        <f t="shared" si="230"/>
        <v>0</v>
      </c>
      <c r="AS52" s="305">
        <f t="shared" si="230"/>
        <v>0</v>
      </c>
      <c r="AT52" s="305">
        <f t="shared" si="230"/>
        <v>0</v>
      </c>
      <c r="AU52" s="305">
        <f t="shared" si="230"/>
        <v>0</v>
      </c>
      <c r="AV52" s="305">
        <f t="shared" si="230"/>
        <v>0</v>
      </c>
      <c r="AW52" s="305">
        <f t="shared" si="230"/>
        <v>0</v>
      </c>
      <c r="AX52" s="305">
        <f t="shared" si="230"/>
        <v>0</v>
      </c>
      <c r="AY52" s="305">
        <f t="shared" si="230"/>
        <v>0</v>
      </c>
      <c r="AZ52" s="305">
        <f t="shared" si="230"/>
        <v>0</v>
      </c>
      <c r="BA52" s="305">
        <f t="shared" si="230"/>
        <v>0</v>
      </c>
      <c r="BB52" s="305">
        <f t="shared" si="230"/>
        <v>0</v>
      </c>
      <c r="BC52" s="305">
        <f t="shared" si="230"/>
        <v>170000</v>
      </c>
      <c r="BD52" s="305">
        <f t="shared" si="278"/>
        <v>0</v>
      </c>
      <c r="BE52" s="304">
        <f t="shared" si="17"/>
        <v>0</v>
      </c>
    </row>
    <row r="53" spans="1:57" s="300" customFormat="1" ht="14.45" customHeight="1" x14ac:dyDescent="0.25">
      <c r="A53" s="300" t="s">
        <v>159</v>
      </c>
      <c r="B53" s="259"/>
      <c r="C53" s="250"/>
      <c r="D53" s="342">
        <v>14504.91</v>
      </c>
      <c r="E53" s="250" t="s">
        <v>186</v>
      </c>
      <c r="F53" s="355"/>
      <c r="G53" s="355"/>
      <c r="H53" s="355"/>
      <c r="I53" s="337"/>
      <c r="J53" s="337"/>
      <c r="K53" s="347">
        <v>1</v>
      </c>
      <c r="L53" s="347"/>
      <c r="M53" s="337"/>
      <c r="N53" s="337"/>
      <c r="O53" s="337"/>
      <c r="P53" s="337"/>
      <c r="Q53" s="338">
        <v>0</v>
      </c>
      <c r="R53" s="338">
        <v>0</v>
      </c>
      <c r="S53" s="338">
        <v>0</v>
      </c>
      <c r="T53" s="338">
        <v>0</v>
      </c>
      <c r="U53" s="338"/>
      <c r="V53" s="351">
        <f t="shared" si="14"/>
        <v>1</v>
      </c>
      <c r="Y53" s="305">
        <f t="shared" si="0"/>
        <v>0</v>
      </c>
      <c r="Z53" s="305">
        <f t="shared" si="1"/>
        <v>0</v>
      </c>
      <c r="AA53" s="305">
        <f t="shared" si="2"/>
        <v>0</v>
      </c>
      <c r="AB53" s="305">
        <f t="shared" si="3"/>
        <v>0</v>
      </c>
      <c r="AC53" s="305">
        <f t="shared" si="277"/>
        <v>0</v>
      </c>
      <c r="AD53" s="305">
        <f t="shared" si="34"/>
        <v>14504.91</v>
      </c>
      <c r="AE53" s="305">
        <f t="shared" si="35"/>
        <v>0</v>
      </c>
      <c r="AF53" s="305">
        <f t="shared" si="36"/>
        <v>0</v>
      </c>
      <c r="AG53" s="305">
        <f t="shared" si="15"/>
        <v>0</v>
      </c>
      <c r="AH53" s="305">
        <f t="shared" si="16"/>
        <v>0</v>
      </c>
      <c r="AI53" s="305">
        <f t="shared" si="8"/>
        <v>0</v>
      </c>
      <c r="AJ53" s="305">
        <f t="shared" si="9"/>
        <v>0</v>
      </c>
      <c r="AK53" s="305">
        <f t="shared" si="10"/>
        <v>0</v>
      </c>
      <c r="AL53" s="305">
        <f t="shared" si="11"/>
        <v>0</v>
      </c>
      <c r="AM53" s="305">
        <f t="shared" si="12"/>
        <v>0</v>
      </c>
      <c r="AN53" s="305">
        <f t="shared" si="12"/>
        <v>0</v>
      </c>
      <c r="AO53" s="305">
        <f t="shared" si="230"/>
        <v>0</v>
      </c>
      <c r="AP53" s="305">
        <f t="shared" si="230"/>
        <v>0</v>
      </c>
      <c r="AQ53" s="305">
        <f t="shared" si="230"/>
        <v>0</v>
      </c>
      <c r="AR53" s="305">
        <f t="shared" si="230"/>
        <v>0</v>
      </c>
      <c r="AS53" s="305">
        <f t="shared" si="230"/>
        <v>0</v>
      </c>
      <c r="AT53" s="305">
        <f t="shared" si="230"/>
        <v>14504.91</v>
      </c>
      <c r="AU53" s="305">
        <f t="shared" si="230"/>
        <v>0</v>
      </c>
      <c r="AV53" s="305">
        <f t="shared" si="230"/>
        <v>0</v>
      </c>
      <c r="AW53" s="305">
        <f t="shared" si="230"/>
        <v>0</v>
      </c>
      <c r="AX53" s="305">
        <f t="shared" si="230"/>
        <v>0</v>
      </c>
      <c r="AY53" s="305">
        <f t="shared" si="230"/>
        <v>0</v>
      </c>
      <c r="AZ53" s="305">
        <f t="shared" si="230"/>
        <v>0</v>
      </c>
      <c r="BA53" s="305">
        <f t="shared" si="230"/>
        <v>0</v>
      </c>
      <c r="BB53" s="305">
        <f t="shared" si="230"/>
        <v>0</v>
      </c>
      <c r="BC53" s="305">
        <f t="shared" si="230"/>
        <v>0</v>
      </c>
      <c r="BD53" s="305">
        <f t="shared" si="278"/>
        <v>0</v>
      </c>
      <c r="BE53" s="304">
        <f t="shared" si="17"/>
        <v>0</v>
      </c>
    </row>
    <row r="54" spans="1:57" s="300" customFormat="1" ht="14.45" customHeight="1" x14ac:dyDescent="0.25">
      <c r="A54" s="300" t="s">
        <v>159</v>
      </c>
      <c r="B54" s="259"/>
      <c r="C54" s="250"/>
      <c r="D54" s="342">
        <v>6000</v>
      </c>
      <c r="E54" s="250" t="s">
        <v>198</v>
      </c>
      <c r="F54" s="355"/>
      <c r="G54" s="355"/>
      <c r="H54" s="355"/>
      <c r="I54" s="337"/>
      <c r="J54" s="337"/>
      <c r="K54" s="347"/>
      <c r="L54" s="347">
        <v>1</v>
      </c>
      <c r="M54" s="337"/>
      <c r="N54" s="337"/>
      <c r="O54" s="337"/>
      <c r="P54" s="337"/>
      <c r="Q54" s="338">
        <v>0</v>
      </c>
      <c r="R54" s="338">
        <v>0</v>
      </c>
      <c r="S54" s="338">
        <v>0</v>
      </c>
      <c r="T54" s="338">
        <v>0</v>
      </c>
      <c r="U54" s="338"/>
      <c r="V54" s="351">
        <f t="shared" si="14"/>
        <v>1</v>
      </c>
      <c r="Y54" s="305">
        <f t="shared" ref="Y54" si="279">F54*$D54</f>
        <v>0</v>
      </c>
      <c r="Z54" s="305">
        <f t="shared" ref="Z54" si="280">G54*$D54</f>
        <v>0</v>
      </c>
      <c r="AA54" s="305">
        <f t="shared" ref="AA54" si="281">H54*$D54</f>
        <v>0</v>
      </c>
      <c r="AB54" s="305">
        <f t="shared" ref="AB54" si="282">I54*$D54</f>
        <v>0</v>
      </c>
      <c r="AC54" s="305">
        <f t="shared" ref="AC54" si="283">J54*$D54</f>
        <v>0</v>
      </c>
      <c r="AD54" s="305">
        <f t="shared" ref="AD54" si="284">K54*$D54</f>
        <v>0</v>
      </c>
      <c r="AE54" s="305">
        <f t="shared" ref="AE54" si="285">L54*$D54</f>
        <v>6000</v>
      </c>
      <c r="AF54" s="305">
        <f t="shared" ref="AF54" si="286">M54*$D54</f>
        <v>0</v>
      </c>
      <c r="AG54" s="305">
        <f t="shared" ref="AG54" si="287">N54*$D54</f>
        <v>0</v>
      </c>
      <c r="AH54" s="305">
        <f t="shared" ref="AH54" si="288">O54*$D54</f>
        <v>0</v>
      </c>
      <c r="AI54" s="305">
        <f t="shared" ref="AI54" si="289">P54*$D54</f>
        <v>0</v>
      </c>
      <c r="AJ54" s="305">
        <f t="shared" ref="AJ54" si="290">Q54*$D54</f>
        <v>0</v>
      </c>
      <c r="AK54" s="305">
        <f t="shared" ref="AK54" si="291">R54*$D54</f>
        <v>0</v>
      </c>
      <c r="AL54" s="305">
        <f t="shared" ref="AL54" si="292">S54*$D54</f>
        <v>0</v>
      </c>
      <c r="AM54" s="305">
        <f t="shared" ref="AM54:AN54" si="293">T54*$D54</f>
        <v>0</v>
      </c>
      <c r="AN54" s="305">
        <f t="shared" si="293"/>
        <v>0</v>
      </c>
      <c r="AO54" s="305">
        <f t="shared" si="230"/>
        <v>0</v>
      </c>
      <c r="AP54" s="305">
        <f t="shared" si="230"/>
        <v>0</v>
      </c>
      <c r="AQ54" s="305">
        <f t="shared" si="230"/>
        <v>0</v>
      </c>
      <c r="AR54" s="305">
        <f t="shared" si="230"/>
        <v>0</v>
      </c>
      <c r="AS54" s="305">
        <f t="shared" si="230"/>
        <v>0</v>
      </c>
      <c r="AT54" s="305">
        <f t="shared" si="230"/>
        <v>0</v>
      </c>
      <c r="AU54" s="305">
        <f t="shared" si="230"/>
        <v>6000</v>
      </c>
      <c r="AV54" s="305">
        <f t="shared" si="230"/>
        <v>0</v>
      </c>
      <c r="AW54" s="305">
        <f t="shared" si="230"/>
        <v>0</v>
      </c>
      <c r="AX54" s="305">
        <f t="shared" si="230"/>
        <v>0</v>
      </c>
      <c r="AY54" s="305">
        <f t="shared" si="230"/>
        <v>0</v>
      </c>
      <c r="AZ54" s="305">
        <f t="shared" si="230"/>
        <v>0</v>
      </c>
      <c r="BA54" s="305">
        <f t="shared" si="230"/>
        <v>0</v>
      </c>
      <c r="BB54" s="305">
        <f t="shared" si="230"/>
        <v>0</v>
      </c>
      <c r="BC54" s="305">
        <f t="shared" si="230"/>
        <v>0</v>
      </c>
      <c r="BD54" s="305">
        <f t="shared" si="278"/>
        <v>0</v>
      </c>
      <c r="BE54" s="304">
        <f t="shared" si="17"/>
        <v>0</v>
      </c>
    </row>
    <row r="55" spans="1:57" s="300" customFormat="1" ht="14.45" customHeight="1" x14ac:dyDescent="0.25">
      <c r="A55" s="300" t="s">
        <v>159</v>
      </c>
      <c r="B55" s="259"/>
      <c r="C55" s="250"/>
      <c r="D55" s="342">
        <v>6000</v>
      </c>
      <c r="E55" s="250" t="s">
        <v>238</v>
      </c>
      <c r="F55" s="355"/>
      <c r="G55" s="355"/>
      <c r="H55" s="355"/>
      <c r="I55" s="337"/>
      <c r="J55" s="337"/>
      <c r="K55" s="347"/>
      <c r="L55" s="347">
        <v>0</v>
      </c>
      <c r="M55" s="347">
        <v>1</v>
      </c>
      <c r="N55" s="337"/>
      <c r="O55" s="337"/>
      <c r="P55" s="337"/>
      <c r="Q55" s="338">
        <v>0</v>
      </c>
      <c r="R55" s="338">
        <v>0</v>
      </c>
      <c r="S55" s="338">
        <v>0</v>
      </c>
      <c r="T55" s="338">
        <v>0</v>
      </c>
      <c r="U55" s="338"/>
      <c r="V55" s="351">
        <f t="shared" si="14"/>
        <v>1</v>
      </c>
      <c r="Y55" s="305">
        <f t="shared" ref="Y55" si="294">F55*$D55</f>
        <v>0</v>
      </c>
      <c r="Z55" s="305">
        <f t="shared" ref="Z55" si="295">G55*$D55</f>
        <v>0</v>
      </c>
      <c r="AA55" s="305">
        <f t="shared" ref="AA55" si="296">H55*$D55</f>
        <v>0</v>
      </c>
      <c r="AB55" s="305">
        <f t="shared" ref="AB55" si="297">I55*$D55</f>
        <v>0</v>
      </c>
      <c r="AC55" s="305">
        <f t="shared" ref="AC55" si="298">J55*$D55</f>
        <v>0</v>
      </c>
      <c r="AD55" s="305">
        <f t="shared" ref="AD55" si="299">K55*$D55</f>
        <v>0</v>
      </c>
      <c r="AE55" s="305">
        <f t="shared" ref="AE55" si="300">L55*$D55</f>
        <v>0</v>
      </c>
      <c r="AF55" s="305">
        <f t="shared" ref="AF55" si="301">M55*$D55</f>
        <v>6000</v>
      </c>
      <c r="AG55" s="305">
        <f t="shared" ref="AG55" si="302">N55*$D55</f>
        <v>0</v>
      </c>
      <c r="AH55" s="305">
        <f t="shared" ref="AH55" si="303">O55*$D55</f>
        <v>0</v>
      </c>
      <c r="AI55" s="305">
        <f t="shared" ref="AI55" si="304">P55*$D55</f>
        <v>0</v>
      </c>
      <c r="AJ55" s="305">
        <f t="shared" ref="AJ55" si="305">Q55*$D55</f>
        <v>0</v>
      </c>
      <c r="AK55" s="305">
        <f t="shared" ref="AK55" si="306">R55*$D55</f>
        <v>0</v>
      </c>
      <c r="AL55" s="305">
        <f t="shared" ref="AL55" si="307">S55*$D55</f>
        <v>0</v>
      </c>
      <c r="AM55" s="305">
        <f t="shared" ref="AM55:AN55" si="308">T55*$D55</f>
        <v>0</v>
      </c>
      <c r="AN55" s="305">
        <f t="shared" si="308"/>
        <v>0</v>
      </c>
      <c r="AO55" s="305">
        <f t="shared" ref="AO55:BD55" si="309">IF(AO$3=$E55,$D55,0)</f>
        <v>0</v>
      </c>
      <c r="AP55" s="305">
        <f t="shared" si="309"/>
        <v>0</v>
      </c>
      <c r="AQ55" s="305">
        <f t="shared" si="309"/>
        <v>0</v>
      </c>
      <c r="AR55" s="305">
        <f t="shared" si="309"/>
        <v>0</v>
      </c>
      <c r="AS55" s="305">
        <f t="shared" si="309"/>
        <v>0</v>
      </c>
      <c r="AT55" s="305">
        <f t="shared" si="309"/>
        <v>0</v>
      </c>
      <c r="AU55" s="305">
        <f t="shared" si="309"/>
        <v>0</v>
      </c>
      <c r="AV55" s="305">
        <f t="shared" si="309"/>
        <v>6000</v>
      </c>
      <c r="AW55" s="305">
        <f t="shared" si="309"/>
        <v>0</v>
      </c>
      <c r="AX55" s="305">
        <f t="shared" si="309"/>
        <v>0</v>
      </c>
      <c r="AY55" s="305">
        <f t="shared" si="309"/>
        <v>0</v>
      </c>
      <c r="AZ55" s="305">
        <f t="shared" si="309"/>
        <v>0</v>
      </c>
      <c r="BA55" s="305">
        <f t="shared" si="309"/>
        <v>0</v>
      </c>
      <c r="BB55" s="305">
        <f t="shared" si="309"/>
        <v>0</v>
      </c>
      <c r="BC55" s="305">
        <f t="shared" si="309"/>
        <v>0</v>
      </c>
      <c r="BD55" s="305">
        <f t="shared" si="309"/>
        <v>0</v>
      </c>
      <c r="BE55" s="304">
        <f t="shared" si="17"/>
        <v>0</v>
      </c>
    </row>
    <row r="56" spans="1:57" s="300" customFormat="1" ht="14.45" customHeight="1" x14ac:dyDescent="0.25">
      <c r="A56" s="300" t="s">
        <v>162</v>
      </c>
      <c r="B56" s="259"/>
      <c r="C56" s="250"/>
      <c r="D56" s="326">
        <v>120000</v>
      </c>
      <c r="E56" s="250" t="s">
        <v>198</v>
      </c>
      <c r="F56" s="355"/>
      <c r="G56" s="355"/>
      <c r="H56" s="355"/>
      <c r="I56" s="337"/>
      <c r="J56" s="337"/>
      <c r="K56" s="339">
        <v>0</v>
      </c>
      <c r="L56" s="339">
        <v>0</v>
      </c>
      <c r="M56" s="339">
        <v>0.16666666666666666</v>
      </c>
      <c r="N56" s="339">
        <v>0</v>
      </c>
      <c r="O56" s="337"/>
      <c r="P56" s="339">
        <f>1/6</f>
        <v>0.16666666666666666</v>
      </c>
      <c r="Q56" s="339">
        <f>1/6</f>
        <v>0.16666666666666666</v>
      </c>
      <c r="R56" s="337"/>
      <c r="S56" s="347">
        <v>0.16666666666666666</v>
      </c>
      <c r="T56" s="339">
        <f>1/3</f>
        <v>0.33333333333333331</v>
      </c>
      <c r="U56" s="339"/>
      <c r="V56" s="351">
        <f t="shared" si="14"/>
        <v>1</v>
      </c>
      <c r="Y56" s="305">
        <f t="shared" si="0"/>
        <v>0</v>
      </c>
      <c r="Z56" s="305">
        <f t="shared" si="1"/>
        <v>0</v>
      </c>
      <c r="AA56" s="305">
        <f t="shared" si="2"/>
        <v>0</v>
      </c>
      <c r="AB56" s="305">
        <f t="shared" si="3"/>
        <v>0</v>
      </c>
      <c r="AC56" s="305">
        <f t="shared" ref="AC56:AC63" si="310">J56*$D56</f>
        <v>0</v>
      </c>
      <c r="AD56" s="305">
        <f t="shared" si="34"/>
        <v>0</v>
      </c>
      <c r="AE56" s="305">
        <f t="shared" si="35"/>
        <v>0</v>
      </c>
      <c r="AF56" s="305">
        <f t="shared" si="36"/>
        <v>20000</v>
      </c>
      <c r="AG56" s="305">
        <f t="shared" si="15"/>
        <v>0</v>
      </c>
      <c r="AH56" s="305">
        <f t="shared" si="16"/>
        <v>0</v>
      </c>
      <c r="AI56" s="305">
        <f t="shared" si="8"/>
        <v>20000</v>
      </c>
      <c r="AJ56" s="305">
        <f t="shared" si="9"/>
        <v>20000</v>
      </c>
      <c r="AK56" s="305">
        <f t="shared" si="10"/>
        <v>0</v>
      </c>
      <c r="AL56" s="305">
        <f t="shared" si="11"/>
        <v>20000</v>
      </c>
      <c r="AM56" s="305">
        <f t="shared" si="12"/>
        <v>40000</v>
      </c>
      <c r="AN56" s="305">
        <f t="shared" si="12"/>
        <v>0</v>
      </c>
      <c r="AO56" s="305">
        <f t="shared" si="230"/>
        <v>0</v>
      </c>
      <c r="AP56" s="305">
        <f t="shared" si="230"/>
        <v>0</v>
      </c>
      <c r="AQ56" s="305">
        <f t="shared" si="230"/>
        <v>0</v>
      </c>
      <c r="AR56" s="305">
        <f t="shared" si="230"/>
        <v>0</v>
      </c>
      <c r="AS56" s="305">
        <f t="shared" si="230"/>
        <v>0</v>
      </c>
      <c r="AT56" s="305">
        <f t="shared" si="230"/>
        <v>0</v>
      </c>
      <c r="AU56" s="305">
        <f t="shared" si="230"/>
        <v>120000</v>
      </c>
      <c r="AV56" s="305">
        <f t="shared" si="230"/>
        <v>0</v>
      </c>
      <c r="AW56" s="305">
        <f t="shared" si="230"/>
        <v>0</v>
      </c>
      <c r="AX56" s="305">
        <f t="shared" si="230"/>
        <v>0</v>
      </c>
      <c r="AY56" s="305">
        <f t="shared" si="230"/>
        <v>0</v>
      </c>
      <c r="AZ56" s="305">
        <f t="shared" si="230"/>
        <v>0</v>
      </c>
      <c r="BA56" s="305">
        <f t="shared" si="230"/>
        <v>0</v>
      </c>
      <c r="BB56" s="305">
        <f t="shared" si="230"/>
        <v>0</v>
      </c>
      <c r="BC56" s="305">
        <f t="shared" si="230"/>
        <v>0</v>
      </c>
      <c r="BD56" s="305">
        <f t="shared" si="278"/>
        <v>0</v>
      </c>
      <c r="BE56" s="304">
        <f t="shared" si="17"/>
        <v>0</v>
      </c>
    </row>
    <row r="57" spans="1:57" s="300" customFormat="1" ht="14.45" customHeight="1" x14ac:dyDescent="0.25">
      <c r="A57" s="300" t="s">
        <v>163</v>
      </c>
      <c r="B57" s="259"/>
      <c r="C57" s="250"/>
      <c r="D57" s="374">
        <v>7666.96</v>
      </c>
      <c r="E57" s="250" t="s">
        <v>212</v>
      </c>
      <c r="F57" s="357"/>
      <c r="G57" s="357">
        <v>1</v>
      </c>
      <c r="H57" s="357">
        <v>0</v>
      </c>
      <c r="I57" s="347">
        <v>0</v>
      </c>
      <c r="J57" s="337"/>
      <c r="K57" s="337"/>
      <c r="L57" s="337"/>
      <c r="M57" s="337"/>
      <c r="N57" s="337"/>
      <c r="O57" s="337"/>
      <c r="P57" s="337"/>
      <c r="Q57" s="337"/>
      <c r="R57" s="337"/>
      <c r="S57" s="337"/>
      <c r="T57" s="337"/>
      <c r="U57" s="337"/>
      <c r="V57" s="351">
        <f t="shared" si="14"/>
        <v>1</v>
      </c>
      <c r="Y57" s="305">
        <f t="shared" si="0"/>
        <v>0</v>
      </c>
      <c r="Z57" s="305">
        <f t="shared" si="1"/>
        <v>7666.96</v>
      </c>
      <c r="AA57" s="305">
        <f t="shared" si="2"/>
        <v>0</v>
      </c>
      <c r="AB57" s="305">
        <f t="shared" si="3"/>
        <v>0</v>
      </c>
      <c r="AC57" s="305">
        <f t="shared" si="310"/>
        <v>0</v>
      </c>
      <c r="AD57" s="305">
        <f t="shared" si="34"/>
        <v>0</v>
      </c>
      <c r="AE57" s="305">
        <f t="shared" si="35"/>
        <v>0</v>
      </c>
      <c r="AF57" s="305">
        <f t="shared" si="36"/>
        <v>0</v>
      </c>
      <c r="AG57" s="305">
        <f t="shared" si="15"/>
        <v>0</v>
      </c>
      <c r="AH57" s="305">
        <f t="shared" si="16"/>
        <v>0</v>
      </c>
      <c r="AI57" s="305">
        <f t="shared" si="8"/>
        <v>0</v>
      </c>
      <c r="AJ57" s="305">
        <f t="shared" si="9"/>
        <v>0</v>
      </c>
      <c r="AK57" s="305">
        <f t="shared" si="10"/>
        <v>0</v>
      </c>
      <c r="AL57" s="305">
        <f t="shared" si="11"/>
        <v>0</v>
      </c>
      <c r="AM57" s="305">
        <f t="shared" si="12"/>
        <v>0</v>
      </c>
      <c r="AN57" s="305">
        <f t="shared" si="12"/>
        <v>0</v>
      </c>
      <c r="AO57" s="305">
        <f t="shared" si="230"/>
        <v>0</v>
      </c>
      <c r="AP57" s="305">
        <f t="shared" si="230"/>
        <v>7666.96</v>
      </c>
      <c r="AQ57" s="305">
        <f t="shared" si="230"/>
        <v>0</v>
      </c>
      <c r="AR57" s="305">
        <f t="shared" si="230"/>
        <v>0</v>
      </c>
      <c r="AS57" s="305">
        <f t="shared" si="230"/>
        <v>0</v>
      </c>
      <c r="AT57" s="305">
        <f t="shared" si="230"/>
        <v>0</v>
      </c>
      <c r="AU57" s="305">
        <f t="shared" si="230"/>
        <v>0</v>
      </c>
      <c r="AV57" s="305">
        <f t="shared" si="230"/>
        <v>0</v>
      </c>
      <c r="AW57" s="305">
        <f t="shared" si="230"/>
        <v>0</v>
      </c>
      <c r="AX57" s="305">
        <f t="shared" si="230"/>
        <v>0</v>
      </c>
      <c r="AY57" s="305">
        <f t="shared" si="230"/>
        <v>0</v>
      </c>
      <c r="AZ57" s="305">
        <f t="shared" si="230"/>
        <v>0</v>
      </c>
      <c r="BA57" s="305">
        <f t="shared" si="230"/>
        <v>0</v>
      </c>
      <c r="BB57" s="305">
        <f t="shared" si="230"/>
        <v>0</v>
      </c>
      <c r="BC57" s="305">
        <f t="shared" si="230"/>
        <v>0</v>
      </c>
      <c r="BD57" s="305">
        <f t="shared" si="278"/>
        <v>0</v>
      </c>
      <c r="BE57" s="304">
        <f t="shared" si="17"/>
        <v>0</v>
      </c>
    </row>
    <row r="58" spans="1:57" s="300" customFormat="1" ht="14.45" customHeight="1" x14ac:dyDescent="0.25">
      <c r="A58" s="300" t="s">
        <v>163</v>
      </c>
      <c r="B58" s="259"/>
      <c r="C58" s="250"/>
      <c r="D58" s="374">
        <v>1124.3800000000001</v>
      </c>
      <c r="E58" s="250" t="s">
        <v>184</v>
      </c>
      <c r="F58" s="357"/>
      <c r="G58" s="357">
        <v>0</v>
      </c>
      <c r="H58" s="357">
        <v>0</v>
      </c>
      <c r="I58" s="347">
        <v>1</v>
      </c>
      <c r="J58" s="337"/>
      <c r="K58" s="337"/>
      <c r="L58" s="337"/>
      <c r="M58" s="337"/>
      <c r="N58" s="337"/>
      <c r="O58" s="337"/>
      <c r="P58" s="337"/>
      <c r="Q58" s="337"/>
      <c r="R58" s="337"/>
      <c r="S58" s="337"/>
      <c r="T58" s="337"/>
      <c r="U58" s="337"/>
      <c r="V58" s="351">
        <f t="shared" ref="V58" si="311">SUM(F58:U58)</f>
        <v>1</v>
      </c>
      <c r="Y58" s="305">
        <f t="shared" ref="Y58" si="312">F58*$D58</f>
        <v>0</v>
      </c>
      <c r="Z58" s="305">
        <f t="shared" ref="Z58" si="313">G58*$D58</f>
        <v>0</v>
      </c>
      <c r="AA58" s="305">
        <f t="shared" ref="AA58" si="314">H58*$D58</f>
        <v>0</v>
      </c>
      <c r="AB58" s="305">
        <f t="shared" ref="AB58" si="315">I58*$D58</f>
        <v>1124.3800000000001</v>
      </c>
      <c r="AC58" s="305">
        <f t="shared" si="310"/>
        <v>0</v>
      </c>
      <c r="AD58" s="305">
        <f t="shared" ref="AD58" si="316">K58*$D58</f>
        <v>0</v>
      </c>
      <c r="AE58" s="305">
        <f t="shared" ref="AE58" si="317">L58*$D58</f>
        <v>0</v>
      </c>
      <c r="AF58" s="305">
        <f t="shared" ref="AF58" si="318">M58*$D58</f>
        <v>0</v>
      </c>
      <c r="AG58" s="305">
        <f t="shared" ref="AG58" si="319">N58*$D58</f>
        <v>0</v>
      </c>
      <c r="AH58" s="305">
        <f t="shared" ref="AH58" si="320">O58*$D58</f>
        <v>0</v>
      </c>
      <c r="AI58" s="305">
        <f t="shared" ref="AI58" si="321">P58*$D58</f>
        <v>0</v>
      </c>
      <c r="AJ58" s="305">
        <f t="shared" ref="AJ58" si="322">Q58*$D58</f>
        <v>0</v>
      </c>
      <c r="AK58" s="305">
        <f t="shared" ref="AK58" si="323">R58*$D58</f>
        <v>0</v>
      </c>
      <c r="AL58" s="305">
        <f t="shared" ref="AL58" si="324">S58*$D58</f>
        <v>0</v>
      </c>
      <c r="AM58" s="305">
        <f t="shared" ref="AM58" si="325">T58*$D58</f>
        <v>0</v>
      </c>
      <c r="AN58" s="305">
        <f t="shared" ref="AN58" si="326">U58*$D58</f>
        <v>0</v>
      </c>
      <c r="AO58" s="305">
        <f t="shared" ref="AO58:BC62" si="327">IF(AO$3=$E58,$D58,0)</f>
        <v>0</v>
      </c>
      <c r="AP58" s="305">
        <f t="shared" si="327"/>
        <v>0</v>
      </c>
      <c r="AQ58" s="305">
        <f t="shared" si="327"/>
        <v>1124.3800000000001</v>
      </c>
      <c r="AR58" s="305">
        <f t="shared" si="327"/>
        <v>0</v>
      </c>
      <c r="AS58" s="305">
        <f t="shared" si="327"/>
        <v>0</v>
      </c>
      <c r="AT58" s="305">
        <f t="shared" si="327"/>
        <v>0</v>
      </c>
      <c r="AU58" s="305">
        <f t="shared" si="327"/>
        <v>0</v>
      </c>
      <c r="AV58" s="305">
        <f t="shared" si="327"/>
        <v>0</v>
      </c>
      <c r="AW58" s="305">
        <f t="shared" si="327"/>
        <v>0</v>
      </c>
      <c r="AX58" s="305">
        <f t="shared" si="327"/>
        <v>0</v>
      </c>
      <c r="AY58" s="305">
        <f t="shared" si="327"/>
        <v>0</v>
      </c>
      <c r="AZ58" s="305">
        <f t="shared" si="327"/>
        <v>0</v>
      </c>
      <c r="BA58" s="305">
        <f t="shared" si="327"/>
        <v>0</v>
      </c>
      <c r="BB58" s="305">
        <f t="shared" si="327"/>
        <v>0</v>
      </c>
      <c r="BC58" s="305">
        <f t="shared" si="327"/>
        <v>0</v>
      </c>
      <c r="BD58" s="305">
        <f t="shared" si="278"/>
        <v>0</v>
      </c>
      <c r="BE58" s="304">
        <f t="shared" ref="BE58" si="328">SUM(Y58:AN58)-SUM(AO58:BD58)</f>
        <v>0</v>
      </c>
    </row>
    <row r="59" spans="1:57" s="300" customFormat="1" ht="14.45" customHeight="1" x14ac:dyDescent="0.25">
      <c r="A59" s="300" t="s">
        <v>163</v>
      </c>
      <c r="B59" s="259"/>
      <c r="C59" s="250"/>
      <c r="D59" s="374">
        <v>1630</v>
      </c>
      <c r="E59" s="250" t="s">
        <v>213</v>
      </c>
      <c r="F59" s="357"/>
      <c r="G59" s="357">
        <v>0</v>
      </c>
      <c r="H59" s="357">
        <v>0</v>
      </c>
      <c r="I59" s="347">
        <v>0</v>
      </c>
      <c r="J59" s="347">
        <v>1</v>
      </c>
      <c r="K59" s="337"/>
      <c r="L59" s="337"/>
      <c r="M59" s="337"/>
      <c r="N59" s="337"/>
      <c r="O59" s="337"/>
      <c r="P59" s="337"/>
      <c r="Q59" s="337"/>
      <c r="R59" s="337"/>
      <c r="S59" s="337"/>
      <c r="T59" s="337"/>
      <c r="U59" s="337"/>
      <c r="V59" s="351">
        <f t="shared" ref="V59" si="329">SUM(F59:U59)</f>
        <v>1</v>
      </c>
      <c r="Y59" s="305">
        <f t="shared" ref="Y59" si="330">F59*$D59</f>
        <v>0</v>
      </c>
      <c r="Z59" s="305">
        <f t="shared" ref="Z59" si="331">G59*$D59</f>
        <v>0</v>
      </c>
      <c r="AA59" s="305">
        <f t="shared" ref="AA59" si="332">H59*$D59</f>
        <v>0</v>
      </c>
      <c r="AB59" s="305">
        <f t="shared" ref="AB59" si="333">I59*$D59</f>
        <v>0</v>
      </c>
      <c r="AC59" s="305">
        <f t="shared" si="310"/>
        <v>1630</v>
      </c>
      <c r="AD59" s="305">
        <f t="shared" ref="AD59" si="334">K59*$D59</f>
        <v>0</v>
      </c>
      <c r="AE59" s="305">
        <f t="shared" ref="AE59" si="335">L59*$D59</f>
        <v>0</v>
      </c>
      <c r="AF59" s="305">
        <f t="shared" ref="AF59" si="336">M59*$D59</f>
        <v>0</v>
      </c>
      <c r="AG59" s="305">
        <f t="shared" ref="AG59" si="337">N59*$D59</f>
        <v>0</v>
      </c>
      <c r="AH59" s="305">
        <f t="shared" ref="AH59" si="338">O59*$D59</f>
        <v>0</v>
      </c>
      <c r="AI59" s="305">
        <f t="shared" ref="AI59" si="339">P59*$D59</f>
        <v>0</v>
      </c>
      <c r="AJ59" s="305">
        <f t="shared" ref="AJ59" si="340">Q59*$D59</f>
        <v>0</v>
      </c>
      <c r="AK59" s="305">
        <f t="shared" ref="AK59" si="341">R59*$D59</f>
        <v>0</v>
      </c>
      <c r="AL59" s="305">
        <f t="shared" ref="AL59" si="342">S59*$D59</f>
        <v>0</v>
      </c>
      <c r="AM59" s="305">
        <f t="shared" ref="AM59" si="343">T59*$D59</f>
        <v>0</v>
      </c>
      <c r="AN59" s="305">
        <f t="shared" ref="AN59" si="344">U59*$D59</f>
        <v>0</v>
      </c>
      <c r="AO59" s="305">
        <f t="shared" si="327"/>
        <v>0</v>
      </c>
      <c r="AP59" s="305">
        <f t="shared" si="327"/>
        <v>0</v>
      </c>
      <c r="AQ59" s="305">
        <f t="shared" si="327"/>
        <v>0</v>
      </c>
      <c r="AR59" s="305">
        <f t="shared" si="327"/>
        <v>0</v>
      </c>
      <c r="AS59" s="305">
        <f t="shared" si="327"/>
        <v>1630</v>
      </c>
      <c r="AT59" s="305">
        <f t="shared" si="327"/>
        <v>0</v>
      </c>
      <c r="AU59" s="305">
        <f t="shared" si="327"/>
        <v>0</v>
      </c>
      <c r="AV59" s="305">
        <f t="shared" si="327"/>
        <v>0</v>
      </c>
      <c r="AW59" s="305">
        <f t="shared" si="327"/>
        <v>0</v>
      </c>
      <c r="AX59" s="305">
        <f t="shared" si="327"/>
        <v>0</v>
      </c>
      <c r="AY59" s="305">
        <f t="shared" si="327"/>
        <v>0</v>
      </c>
      <c r="AZ59" s="305">
        <f t="shared" si="327"/>
        <v>0</v>
      </c>
      <c r="BA59" s="305">
        <f t="shared" si="327"/>
        <v>0</v>
      </c>
      <c r="BB59" s="305">
        <f t="shared" si="327"/>
        <v>0</v>
      </c>
      <c r="BC59" s="305">
        <f t="shared" si="327"/>
        <v>0</v>
      </c>
      <c r="BD59" s="305">
        <f t="shared" si="278"/>
        <v>0</v>
      </c>
      <c r="BE59" s="304">
        <f t="shared" ref="BE59" si="345">SUM(Y59:AN59)-SUM(AO59:BD59)</f>
        <v>0</v>
      </c>
    </row>
    <row r="60" spans="1:57" s="300" customFormat="1" ht="14.45" customHeight="1" x14ac:dyDescent="0.25">
      <c r="A60" s="300" t="s">
        <v>163</v>
      </c>
      <c r="B60" s="259"/>
      <c r="C60" s="250"/>
      <c r="D60" s="374">
        <v>739.99</v>
      </c>
      <c r="E60" s="250" t="s">
        <v>186</v>
      </c>
      <c r="F60" s="357"/>
      <c r="G60" s="357">
        <v>0</v>
      </c>
      <c r="H60" s="357">
        <v>0</v>
      </c>
      <c r="I60" s="347">
        <v>0</v>
      </c>
      <c r="J60" s="337">
        <v>0</v>
      </c>
      <c r="K60" s="347">
        <v>1</v>
      </c>
      <c r="L60" s="347">
        <v>0</v>
      </c>
      <c r="M60" s="337"/>
      <c r="N60" s="337"/>
      <c r="O60" s="337"/>
      <c r="P60" s="337"/>
      <c r="Q60" s="337"/>
      <c r="R60" s="337"/>
      <c r="S60" s="337"/>
      <c r="T60" s="337"/>
      <c r="U60" s="337"/>
      <c r="V60" s="351">
        <f t="shared" ref="V60" si="346">SUM(F60:U60)</f>
        <v>1</v>
      </c>
      <c r="Y60" s="305">
        <f t="shared" ref="Y60" si="347">F60*$D60</f>
        <v>0</v>
      </c>
      <c r="Z60" s="305">
        <f t="shared" ref="Z60" si="348">G60*$D60</f>
        <v>0</v>
      </c>
      <c r="AA60" s="305">
        <f t="shared" ref="AA60" si="349">H60*$D60</f>
        <v>0</v>
      </c>
      <c r="AB60" s="305">
        <v>0</v>
      </c>
      <c r="AC60" s="305">
        <f t="shared" si="310"/>
        <v>0</v>
      </c>
      <c r="AD60" s="305">
        <f t="shared" ref="AD60" si="350">K60*$D60</f>
        <v>739.99</v>
      </c>
      <c r="AE60" s="305">
        <f t="shared" ref="AE60" si="351">L60*$D60</f>
        <v>0</v>
      </c>
      <c r="AF60" s="305">
        <f t="shared" ref="AF60" si="352">M60*$D60</f>
        <v>0</v>
      </c>
      <c r="AG60" s="305">
        <f t="shared" ref="AG60" si="353">N60*$D60</f>
        <v>0</v>
      </c>
      <c r="AH60" s="305">
        <f t="shared" ref="AH60" si="354">O60*$D60</f>
        <v>0</v>
      </c>
      <c r="AI60" s="305">
        <f t="shared" ref="AI60" si="355">P60*$D60</f>
        <v>0</v>
      </c>
      <c r="AJ60" s="305">
        <f t="shared" ref="AJ60" si="356">Q60*$D60</f>
        <v>0</v>
      </c>
      <c r="AK60" s="305">
        <f t="shared" ref="AK60" si="357">R60*$D60</f>
        <v>0</v>
      </c>
      <c r="AL60" s="305">
        <f t="shared" ref="AL60" si="358">S60*$D60</f>
        <v>0</v>
      </c>
      <c r="AM60" s="305">
        <f t="shared" ref="AM60" si="359">T60*$D60</f>
        <v>0</v>
      </c>
      <c r="AN60" s="305">
        <f t="shared" ref="AN60" si="360">U60*$D60</f>
        <v>0</v>
      </c>
      <c r="AO60" s="305">
        <f t="shared" si="327"/>
        <v>0</v>
      </c>
      <c r="AP60" s="305">
        <f t="shared" si="327"/>
        <v>0</v>
      </c>
      <c r="AQ60" s="305">
        <f t="shared" si="327"/>
        <v>0</v>
      </c>
      <c r="AR60" s="305">
        <f t="shared" si="327"/>
        <v>0</v>
      </c>
      <c r="AS60" s="305">
        <f t="shared" si="327"/>
        <v>0</v>
      </c>
      <c r="AT60" s="305">
        <f t="shared" si="327"/>
        <v>739.99</v>
      </c>
      <c r="AU60" s="305">
        <f t="shared" si="327"/>
        <v>0</v>
      </c>
      <c r="AV60" s="305">
        <f t="shared" si="327"/>
        <v>0</v>
      </c>
      <c r="AW60" s="305">
        <f t="shared" si="327"/>
        <v>0</v>
      </c>
      <c r="AX60" s="305">
        <f t="shared" si="327"/>
        <v>0</v>
      </c>
      <c r="AY60" s="305">
        <f t="shared" si="327"/>
        <v>0</v>
      </c>
      <c r="AZ60" s="305">
        <f t="shared" si="327"/>
        <v>0</v>
      </c>
      <c r="BA60" s="305">
        <f t="shared" si="327"/>
        <v>0</v>
      </c>
      <c r="BB60" s="305">
        <f t="shared" si="327"/>
        <v>0</v>
      </c>
      <c r="BC60" s="305">
        <f t="shared" si="327"/>
        <v>0</v>
      </c>
      <c r="BD60" s="305">
        <f t="shared" si="278"/>
        <v>0</v>
      </c>
      <c r="BE60" s="304">
        <f t="shared" ref="BE60" si="361">SUM(Y60:AN60)-SUM(AO60:BD60)</f>
        <v>0</v>
      </c>
    </row>
    <row r="61" spans="1:57" s="300" customFormat="1" ht="14.45" customHeight="1" x14ac:dyDescent="0.25">
      <c r="A61" s="300" t="s">
        <v>163</v>
      </c>
      <c r="B61" s="259"/>
      <c r="C61" s="250"/>
      <c r="D61" s="374">
        <v>505.16</v>
      </c>
      <c r="E61" s="250" t="s">
        <v>216</v>
      </c>
      <c r="F61" s="357"/>
      <c r="G61" s="357">
        <v>0</v>
      </c>
      <c r="H61" s="357">
        <v>0</v>
      </c>
      <c r="I61" s="347">
        <v>1</v>
      </c>
      <c r="J61" s="338">
        <v>0</v>
      </c>
      <c r="K61" s="347">
        <v>0</v>
      </c>
      <c r="L61" s="347">
        <v>0</v>
      </c>
      <c r="M61" s="337"/>
      <c r="N61" s="337"/>
      <c r="O61" s="337"/>
      <c r="P61" s="337"/>
      <c r="Q61" s="337"/>
      <c r="R61" s="337"/>
      <c r="S61" s="337"/>
      <c r="T61" s="337"/>
      <c r="U61" s="337"/>
      <c r="V61" s="351">
        <f t="shared" ref="V61" si="362">SUM(F61:U61)</f>
        <v>1</v>
      </c>
      <c r="Y61" s="305">
        <f t="shared" ref="Y61" si="363">F61*$D61</f>
        <v>0</v>
      </c>
      <c r="Z61" s="305">
        <f t="shared" ref="Z61" si="364">G61*$D61</f>
        <v>0</v>
      </c>
      <c r="AA61" s="305">
        <f t="shared" ref="AA61" si="365">H61*$D61</f>
        <v>0</v>
      </c>
      <c r="AB61" s="305">
        <f t="shared" ref="AB61" si="366">I61*$D61</f>
        <v>505.16</v>
      </c>
      <c r="AC61" s="305">
        <f t="shared" si="310"/>
        <v>0</v>
      </c>
      <c r="AD61" s="305">
        <f t="shared" ref="AD61" si="367">K61*$D61</f>
        <v>0</v>
      </c>
      <c r="AE61" s="305">
        <f t="shared" ref="AE61" si="368">L61*$D61</f>
        <v>0</v>
      </c>
      <c r="AF61" s="305">
        <f t="shared" ref="AF61" si="369">M61*$D61</f>
        <v>0</v>
      </c>
      <c r="AG61" s="305">
        <f t="shared" ref="AG61" si="370">N61*$D61</f>
        <v>0</v>
      </c>
      <c r="AH61" s="305">
        <f t="shared" ref="AH61" si="371">O61*$D61</f>
        <v>0</v>
      </c>
      <c r="AI61" s="305">
        <f t="shared" ref="AI61" si="372">P61*$D61</f>
        <v>0</v>
      </c>
      <c r="AJ61" s="305">
        <f t="shared" ref="AJ61" si="373">Q61*$D61</f>
        <v>0</v>
      </c>
      <c r="AK61" s="305">
        <f t="shared" ref="AK61" si="374">R61*$D61</f>
        <v>0</v>
      </c>
      <c r="AL61" s="305">
        <f t="shared" ref="AL61" si="375">S61*$D61</f>
        <v>0</v>
      </c>
      <c r="AM61" s="305">
        <f t="shared" ref="AM61" si="376">T61*$D61</f>
        <v>0</v>
      </c>
      <c r="AN61" s="305">
        <f t="shared" ref="AN61" si="377">U61*$D61</f>
        <v>0</v>
      </c>
      <c r="AO61" s="305">
        <f t="shared" si="327"/>
        <v>0</v>
      </c>
      <c r="AP61" s="305">
        <f t="shared" si="327"/>
        <v>0</v>
      </c>
      <c r="AQ61" s="305">
        <f t="shared" si="327"/>
        <v>0</v>
      </c>
      <c r="AR61" s="305">
        <f t="shared" si="327"/>
        <v>505.16</v>
      </c>
      <c r="AS61" s="305">
        <f t="shared" si="327"/>
        <v>0</v>
      </c>
      <c r="AT61" s="305">
        <f t="shared" si="327"/>
        <v>0</v>
      </c>
      <c r="AU61" s="305">
        <f t="shared" si="327"/>
        <v>0</v>
      </c>
      <c r="AV61" s="305">
        <f t="shared" si="327"/>
        <v>0</v>
      </c>
      <c r="AW61" s="305">
        <f t="shared" si="327"/>
        <v>0</v>
      </c>
      <c r="AX61" s="305">
        <f t="shared" si="327"/>
        <v>0</v>
      </c>
      <c r="AY61" s="305">
        <f t="shared" si="327"/>
        <v>0</v>
      </c>
      <c r="AZ61" s="305">
        <f t="shared" si="327"/>
        <v>0</v>
      </c>
      <c r="BA61" s="305">
        <f t="shared" si="327"/>
        <v>0</v>
      </c>
      <c r="BB61" s="305">
        <f t="shared" si="327"/>
        <v>0</v>
      </c>
      <c r="BC61" s="305">
        <f t="shared" si="327"/>
        <v>0</v>
      </c>
      <c r="BD61" s="305">
        <f t="shared" si="278"/>
        <v>0</v>
      </c>
      <c r="BE61" s="304">
        <f t="shared" ref="BE61" si="378">SUM(Y61:AN61)-SUM(AO61:BD61)</f>
        <v>0</v>
      </c>
    </row>
    <row r="62" spans="1:57" s="300" customFormat="1" ht="14.45" customHeight="1" x14ac:dyDescent="0.25">
      <c r="A62" s="300" t="s">
        <v>163</v>
      </c>
      <c r="B62" s="259"/>
      <c r="C62" s="250"/>
      <c r="D62" s="374">
        <v>1232.1400000000001</v>
      </c>
      <c r="E62" s="250" t="s">
        <v>186</v>
      </c>
      <c r="F62" s="357"/>
      <c r="G62" s="357">
        <v>0</v>
      </c>
      <c r="H62" s="357">
        <v>0</v>
      </c>
      <c r="I62" s="347">
        <v>0</v>
      </c>
      <c r="J62" s="338">
        <v>0</v>
      </c>
      <c r="K62" s="347">
        <v>1</v>
      </c>
      <c r="L62" s="347">
        <v>0</v>
      </c>
      <c r="M62" s="337"/>
      <c r="N62" s="337"/>
      <c r="O62" s="337"/>
      <c r="P62" s="337"/>
      <c r="Q62" s="337"/>
      <c r="R62" s="337"/>
      <c r="S62" s="337"/>
      <c r="T62" s="337"/>
      <c r="U62" s="337"/>
      <c r="V62" s="351">
        <f t="shared" ref="V62" si="379">SUM(F62:U62)</f>
        <v>1</v>
      </c>
      <c r="Y62" s="305">
        <f t="shared" ref="Y62" si="380">F62*$D62</f>
        <v>0</v>
      </c>
      <c r="Z62" s="305">
        <f t="shared" ref="Z62" si="381">G62*$D62</f>
        <v>0</v>
      </c>
      <c r="AA62" s="305">
        <f t="shared" ref="AA62" si="382">H62*$D62</f>
        <v>0</v>
      </c>
      <c r="AB62" s="305">
        <f t="shared" ref="AB62" si="383">I62*$D62</f>
        <v>0</v>
      </c>
      <c r="AC62" s="305">
        <f t="shared" si="310"/>
        <v>0</v>
      </c>
      <c r="AD62" s="305">
        <f t="shared" ref="AD62" si="384">K62*$D62</f>
        <v>1232.1400000000001</v>
      </c>
      <c r="AE62" s="305">
        <f t="shared" ref="AE62" si="385">L62*$D62</f>
        <v>0</v>
      </c>
      <c r="AF62" s="305">
        <f t="shared" ref="AF62" si="386">M62*$D62</f>
        <v>0</v>
      </c>
      <c r="AG62" s="305">
        <f t="shared" ref="AG62" si="387">N62*$D62</f>
        <v>0</v>
      </c>
      <c r="AH62" s="305">
        <f t="shared" ref="AH62" si="388">O62*$D62</f>
        <v>0</v>
      </c>
      <c r="AI62" s="305">
        <f t="shared" ref="AI62" si="389">P62*$D62</f>
        <v>0</v>
      </c>
      <c r="AJ62" s="305">
        <f t="shared" ref="AJ62" si="390">Q62*$D62</f>
        <v>0</v>
      </c>
      <c r="AK62" s="305">
        <f t="shared" ref="AK62" si="391">R62*$D62</f>
        <v>0</v>
      </c>
      <c r="AL62" s="305">
        <f t="shared" ref="AL62" si="392">S62*$D62</f>
        <v>0</v>
      </c>
      <c r="AM62" s="305">
        <f t="shared" ref="AM62" si="393">T62*$D62</f>
        <v>0</v>
      </c>
      <c r="AN62" s="305">
        <f t="shared" ref="AN62" si="394">U62*$D62</f>
        <v>0</v>
      </c>
      <c r="AO62" s="305">
        <f t="shared" si="327"/>
        <v>0</v>
      </c>
      <c r="AP62" s="305">
        <f t="shared" si="327"/>
        <v>0</v>
      </c>
      <c r="AQ62" s="305">
        <f t="shared" si="327"/>
        <v>0</v>
      </c>
      <c r="AR62" s="305">
        <f t="shared" si="327"/>
        <v>0</v>
      </c>
      <c r="AS62" s="305">
        <f t="shared" si="327"/>
        <v>0</v>
      </c>
      <c r="AT62" s="305">
        <f t="shared" si="327"/>
        <v>1232.1400000000001</v>
      </c>
      <c r="AU62" s="305">
        <f t="shared" si="327"/>
        <v>0</v>
      </c>
      <c r="AV62" s="305">
        <f t="shared" si="327"/>
        <v>0</v>
      </c>
      <c r="AW62" s="305">
        <f t="shared" si="327"/>
        <v>0</v>
      </c>
      <c r="AX62" s="305">
        <f t="shared" si="327"/>
        <v>0</v>
      </c>
      <c r="AY62" s="305">
        <f t="shared" si="327"/>
        <v>0</v>
      </c>
      <c r="AZ62" s="305">
        <f t="shared" si="327"/>
        <v>0</v>
      </c>
      <c r="BA62" s="305">
        <f t="shared" si="327"/>
        <v>0</v>
      </c>
      <c r="BB62" s="305">
        <f t="shared" si="327"/>
        <v>0</v>
      </c>
      <c r="BC62" s="305">
        <f t="shared" si="327"/>
        <v>0</v>
      </c>
      <c r="BD62" s="305">
        <f t="shared" si="278"/>
        <v>0</v>
      </c>
      <c r="BE62" s="304">
        <f t="shared" ref="BE62" si="395">SUM(Y62:AN62)-SUM(AO62:BD62)</f>
        <v>0</v>
      </c>
    </row>
    <row r="63" spans="1:57" s="300" customFormat="1" ht="14.45" customHeight="1" x14ac:dyDescent="0.25">
      <c r="A63" s="300" t="s">
        <v>163</v>
      </c>
      <c r="B63" s="259"/>
      <c r="C63" s="250"/>
      <c r="D63" s="374">
        <v>1071.43</v>
      </c>
      <c r="E63" s="250" t="s">
        <v>212</v>
      </c>
      <c r="F63" s="357"/>
      <c r="G63" s="357">
        <v>0.25</v>
      </c>
      <c r="H63" s="357">
        <v>0.25</v>
      </c>
      <c r="I63" s="347">
        <v>0.25</v>
      </c>
      <c r="J63" s="347">
        <v>0.25</v>
      </c>
      <c r="K63" s="347">
        <v>0</v>
      </c>
      <c r="L63" s="337"/>
      <c r="M63" s="337"/>
      <c r="N63" s="337"/>
      <c r="O63" s="337"/>
      <c r="P63" s="337"/>
      <c r="Q63" s="337"/>
      <c r="R63" s="337"/>
      <c r="S63" s="337"/>
      <c r="T63" s="337"/>
      <c r="U63" s="337"/>
      <c r="V63" s="351">
        <f t="shared" ref="V63" si="396">SUM(F63:U63)</f>
        <v>1</v>
      </c>
      <c r="Y63" s="305">
        <f t="shared" ref="Y63" si="397">F63*$D63</f>
        <v>0</v>
      </c>
      <c r="Z63" s="305">
        <f t="shared" ref="Z63" si="398">G63*$D63</f>
        <v>267.85750000000002</v>
      </c>
      <c r="AA63" s="305">
        <f t="shared" ref="AA63" si="399">H63*$D63</f>
        <v>267.85750000000002</v>
      </c>
      <c r="AB63" s="305">
        <f t="shared" ref="AB63" si="400">I63*$D63</f>
        <v>267.85750000000002</v>
      </c>
      <c r="AC63" s="305">
        <f t="shared" si="310"/>
        <v>267.85750000000002</v>
      </c>
      <c r="AD63" s="305">
        <f t="shared" ref="AD63" si="401">K63*$D63</f>
        <v>0</v>
      </c>
      <c r="AE63" s="305">
        <f t="shared" ref="AE63" si="402">L63*$D63</f>
        <v>0</v>
      </c>
      <c r="AF63" s="305">
        <f t="shared" ref="AF63" si="403">M63*$D63</f>
        <v>0</v>
      </c>
      <c r="AG63" s="305">
        <f t="shared" ref="AG63" si="404">N63*$D63</f>
        <v>0</v>
      </c>
      <c r="AH63" s="305">
        <f t="shared" ref="AH63" si="405">O63*$D63</f>
        <v>0</v>
      </c>
      <c r="AI63" s="305">
        <f t="shared" ref="AI63" si="406">P63*$D63</f>
        <v>0</v>
      </c>
      <c r="AJ63" s="305">
        <f t="shared" ref="AJ63" si="407">Q63*$D63</f>
        <v>0</v>
      </c>
      <c r="AK63" s="305">
        <f t="shared" ref="AK63" si="408">R63*$D63</f>
        <v>0</v>
      </c>
      <c r="AL63" s="305">
        <f t="shared" ref="AL63" si="409">S63*$D63</f>
        <v>0</v>
      </c>
      <c r="AM63" s="305">
        <f t="shared" ref="AM63" si="410">T63*$D63</f>
        <v>0</v>
      </c>
      <c r="AN63" s="305">
        <f t="shared" ref="AN63" si="411">U63*$D63</f>
        <v>0</v>
      </c>
      <c r="AO63" s="305">
        <f t="shared" ref="AO63:BC66" si="412">IF(AO$3=$E63,$D63,0)</f>
        <v>0</v>
      </c>
      <c r="AP63" s="305">
        <f t="shared" si="412"/>
        <v>1071.43</v>
      </c>
      <c r="AQ63" s="305">
        <f t="shared" si="412"/>
        <v>0</v>
      </c>
      <c r="AR63" s="305">
        <f t="shared" si="412"/>
        <v>0</v>
      </c>
      <c r="AS63" s="305">
        <f t="shared" si="412"/>
        <v>0</v>
      </c>
      <c r="AT63" s="305">
        <f t="shared" si="412"/>
        <v>0</v>
      </c>
      <c r="AU63" s="305">
        <f t="shared" si="412"/>
        <v>0</v>
      </c>
      <c r="AV63" s="305">
        <f t="shared" si="412"/>
        <v>0</v>
      </c>
      <c r="AW63" s="305">
        <f t="shared" si="412"/>
        <v>0</v>
      </c>
      <c r="AX63" s="305">
        <f t="shared" si="412"/>
        <v>0</v>
      </c>
      <c r="AY63" s="305">
        <f t="shared" si="412"/>
        <v>0</v>
      </c>
      <c r="AZ63" s="305">
        <f t="shared" si="412"/>
        <v>0</v>
      </c>
      <c r="BA63" s="305">
        <f t="shared" si="412"/>
        <v>0</v>
      </c>
      <c r="BB63" s="305">
        <f t="shared" si="412"/>
        <v>0</v>
      </c>
      <c r="BC63" s="305">
        <f t="shared" si="412"/>
        <v>0</v>
      </c>
      <c r="BD63" s="305">
        <f t="shared" si="278"/>
        <v>0</v>
      </c>
      <c r="BE63" s="304">
        <f t="shared" ref="BE63" si="413">SUM(Y63:AN63)-SUM(AO63:BD63)</f>
        <v>0</v>
      </c>
    </row>
    <row r="64" spans="1:57" s="300" customFormat="1" ht="14.45" customHeight="1" x14ac:dyDescent="0.25">
      <c r="A64" s="300" t="s">
        <v>163</v>
      </c>
      <c r="B64" s="259"/>
      <c r="C64" s="250"/>
      <c r="D64" s="374">
        <v>982.1</v>
      </c>
      <c r="E64" s="250" t="s">
        <v>184</v>
      </c>
      <c r="F64" s="357"/>
      <c r="G64" s="357">
        <v>0</v>
      </c>
      <c r="H64" s="357">
        <v>0.18181818181818182</v>
      </c>
      <c r="I64" s="347">
        <v>0.27272727272727271</v>
      </c>
      <c r="J64" s="240">
        <v>0.27272727272727271</v>
      </c>
      <c r="K64" s="240">
        <v>0.27272727272727271</v>
      </c>
      <c r="L64" s="337"/>
      <c r="M64" s="337"/>
      <c r="N64" s="337"/>
      <c r="O64" s="337"/>
      <c r="P64" s="337"/>
      <c r="Q64" s="337"/>
      <c r="R64" s="337"/>
      <c r="S64" s="337"/>
      <c r="T64" s="337"/>
      <c r="U64" s="337"/>
      <c r="V64" s="351">
        <f t="shared" ref="V64:V66" si="414">SUM(F64:U64)</f>
        <v>1</v>
      </c>
      <c r="Y64" s="305">
        <f t="shared" ref="Y64:Y66" si="415">F64*$D64</f>
        <v>0</v>
      </c>
      <c r="Z64" s="305">
        <f t="shared" ref="Z64:Z66" si="416">G64*$D64</f>
        <v>0</v>
      </c>
      <c r="AA64" s="305">
        <f t="shared" ref="AA64:AA66" si="417">H64*$D64</f>
        <v>178.56363636363636</v>
      </c>
      <c r="AB64" s="305">
        <f t="shared" ref="AB64:AB66" si="418">I64*$D64</f>
        <v>267.84545454545452</v>
      </c>
      <c r="AC64" s="305">
        <f t="shared" ref="AC64:AC66" si="419">J64*$D64</f>
        <v>267.84545454545452</v>
      </c>
      <c r="AD64" s="305">
        <f t="shared" ref="AD64:AD66" si="420">K64*$D64</f>
        <v>267.84545454545452</v>
      </c>
      <c r="AE64" s="305">
        <f t="shared" ref="AE64:AE66" si="421">L64*$D64</f>
        <v>0</v>
      </c>
      <c r="AF64" s="305">
        <f t="shared" ref="AF64:AF66" si="422">M64*$D64</f>
        <v>0</v>
      </c>
      <c r="AG64" s="305">
        <f t="shared" ref="AG64:AG66" si="423">N64*$D64</f>
        <v>0</v>
      </c>
      <c r="AH64" s="305">
        <f t="shared" ref="AH64:AH66" si="424">O64*$D64</f>
        <v>0</v>
      </c>
      <c r="AI64" s="305">
        <f t="shared" ref="AI64:AI66" si="425">P64*$D64</f>
        <v>0</v>
      </c>
      <c r="AJ64" s="305">
        <f t="shared" ref="AJ64:AJ66" si="426">Q64*$D64</f>
        <v>0</v>
      </c>
      <c r="AK64" s="305">
        <f t="shared" ref="AK64:AK66" si="427">R64*$D64</f>
        <v>0</v>
      </c>
      <c r="AL64" s="305">
        <f t="shared" ref="AL64:AL66" si="428">S64*$D64</f>
        <v>0</v>
      </c>
      <c r="AM64" s="305">
        <f t="shared" ref="AM64:AM66" si="429">T64*$D64</f>
        <v>0</v>
      </c>
      <c r="AN64" s="305">
        <f t="shared" ref="AN64:AN66" si="430">U64*$D64</f>
        <v>0</v>
      </c>
      <c r="AO64" s="305">
        <f t="shared" si="412"/>
        <v>0</v>
      </c>
      <c r="AP64" s="305">
        <f t="shared" si="412"/>
        <v>0</v>
      </c>
      <c r="AQ64" s="305">
        <f t="shared" si="412"/>
        <v>982.1</v>
      </c>
      <c r="AR64" s="305">
        <f t="shared" si="412"/>
        <v>0</v>
      </c>
      <c r="AS64" s="305">
        <f t="shared" si="412"/>
        <v>0</v>
      </c>
      <c r="AT64" s="305">
        <f t="shared" si="412"/>
        <v>0</v>
      </c>
      <c r="AU64" s="305">
        <f t="shared" si="412"/>
        <v>0</v>
      </c>
      <c r="AV64" s="305">
        <f t="shared" si="412"/>
        <v>0</v>
      </c>
      <c r="AW64" s="305">
        <f t="shared" si="412"/>
        <v>0</v>
      </c>
      <c r="AX64" s="305">
        <f t="shared" si="412"/>
        <v>0</v>
      </c>
      <c r="AY64" s="305">
        <f t="shared" si="412"/>
        <v>0</v>
      </c>
      <c r="AZ64" s="305">
        <f t="shared" si="412"/>
        <v>0</v>
      </c>
      <c r="BA64" s="305">
        <f t="shared" si="412"/>
        <v>0</v>
      </c>
      <c r="BB64" s="305">
        <f t="shared" si="412"/>
        <v>0</v>
      </c>
      <c r="BC64" s="305">
        <f t="shared" si="412"/>
        <v>0</v>
      </c>
      <c r="BD64" s="305">
        <f t="shared" si="278"/>
        <v>0</v>
      </c>
      <c r="BE64" s="304">
        <f t="shared" ref="BE64:BE66" si="431">SUM(Y64:AN64)-SUM(AO64:BD64)</f>
        <v>0</v>
      </c>
    </row>
    <row r="65" spans="1:57" s="300" customFormat="1" ht="14.45" customHeight="1" x14ac:dyDescent="0.25">
      <c r="A65" s="300" t="s">
        <v>163</v>
      </c>
      <c r="B65" s="259"/>
      <c r="C65" s="250"/>
      <c r="D65" s="374">
        <v>1200</v>
      </c>
      <c r="E65" s="250" t="s">
        <v>186</v>
      </c>
      <c r="F65" s="357"/>
      <c r="G65" s="357">
        <v>0</v>
      </c>
      <c r="H65" s="357">
        <v>0</v>
      </c>
      <c r="I65" s="337"/>
      <c r="J65" s="337"/>
      <c r="K65" s="240">
        <v>0.22320833000000001</v>
      </c>
      <c r="L65" s="240">
        <v>0.22320833000000001</v>
      </c>
      <c r="M65" s="240">
        <v>0.22320833000000001</v>
      </c>
      <c r="N65" s="240">
        <f>1-(M65+L65+K65)</f>
        <v>0.33037501000000002</v>
      </c>
      <c r="O65" s="337"/>
      <c r="P65" s="337"/>
      <c r="Q65" s="337"/>
      <c r="R65" s="337"/>
      <c r="S65" s="337"/>
      <c r="T65" s="337"/>
      <c r="U65" s="337"/>
      <c r="V65" s="351">
        <f t="shared" si="414"/>
        <v>1</v>
      </c>
      <c r="Y65" s="305">
        <f t="shared" si="415"/>
        <v>0</v>
      </c>
      <c r="Z65" s="305">
        <f t="shared" si="416"/>
        <v>0</v>
      </c>
      <c r="AA65" s="305">
        <f t="shared" si="417"/>
        <v>0</v>
      </c>
      <c r="AB65" s="305">
        <f t="shared" si="418"/>
        <v>0</v>
      </c>
      <c r="AC65" s="305">
        <f t="shared" si="419"/>
        <v>0</v>
      </c>
      <c r="AD65" s="305">
        <f t="shared" si="420"/>
        <v>267.84999600000003</v>
      </c>
      <c r="AE65" s="305">
        <f t="shared" si="421"/>
        <v>267.84999600000003</v>
      </c>
      <c r="AF65" s="305">
        <f t="shared" si="422"/>
        <v>267.84999600000003</v>
      </c>
      <c r="AG65" s="305">
        <f t="shared" si="423"/>
        <v>396.45001200000002</v>
      </c>
      <c r="AH65" s="305">
        <f t="shared" si="424"/>
        <v>0</v>
      </c>
      <c r="AI65" s="305">
        <f t="shared" si="425"/>
        <v>0</v>
      </c>
      <c r="AJ65" s="305">
        <f t="shared" si="426"/>
        <v>0</v>
      </c>
      <c r="AK65" s="305">
        <f t="shared" si="427"/>
        <v>0</v>
      </c>
      <c r="AL65" s="305">
        <f t="shared" si="428"/>
        <v>0</v>
      </c>
      <c r="AM65" s="305">
        <f t="shared" si="429"/>
        <v>0</v>
      </c>
      <c r="AN65" s="305">
        <f t="shared" si="430"/>
        <v>0</v>
      </c>
      <c r="AO65" s="305">
        <f t="shared" si="412"/>
        <v>0</v>
      </c>
      <c r="AP65" s="305">
        <f t="shared" si="412"/>
        <v>0</v>
      </c>
      <c r="AQ65" s="305">
        <f t="shared" si="412"/>
        <v>0</v>
      </c>
      <c r="AR65" s="305">
        <f t="shared" si="412"/>
        <v>0</v>
      </c>
      <c r="AS65" s="305">
        <f t="shared" si="412"/>
        <v>0</v>
      </c>
      <c r="AT65" s="305">
        <f t="shared" si="412"/>
        <v>1200</v>
      </c>
      <c r="AU65" s="305">
        <f t="shared" si="412"/>
        <v>0</v>
      </c>
      <c r="AV65" s="305">
        <f t="shared" si="412"/>
        <v>0</v>
      </c>
      <c r="AW65" s="305">
        <f t="shared" si="412"/>
        <v>0</v>
      </c>
      <c r="AX65" s="305">
        <f t="shared" si="412"/>
        <v>0</v>
      </c>
      <c r="AY65" s="305">
        <f t="shared" si="412"/>
        <v>0</v>
      </c>
      <c r="AZ65" s="305">
        <f t="shared" si="412"/>
        <v>0</v>
      </c>
      <c r="BA65" s="305">
        <f t="shared" si="412"/>
        <v>0</v>
      </c>
      <c r="BB65" s="305">
        <f t="shared" si="412"/>
        <v>0</v>
      </c>
      <c r="BC65" s="305">
        <f t="shared" si="412"/>
        <v>0</v>
      </c>
      <c r="BD65" s="305">
        <f t="shared" si="278"/>
        <v>0</v>
      </c>
      <c r="BE65" s="304">
        <f t="shared" si="431"/>
        <v>0</v>
      </c>
    </row>
    <row r="66" spans="1:57" s="300" customFormat="1" ht="14.45" customHeight="1" x14ac:dyDescent="0.25">
      <c r="A66" s="300" t="s">
        <v>163</v>
      </c>
      <c r="B66" s="259"/>
      <c r="C66" s="250"/>
      <c r="D66" s="374">
        <v>1071.3599999999999</v>
      </c>
      <c r="E66" s="250" t="s">
        <v>198</v>
      </c>
      <c r="F66" s="357"/>
      <c r="G66" s="357">
        <v>0</v>
      </c>
      <c r="H66" s="357">
        <v>0</v>
      </c>
      <c r="I66" s="337"/>
      <c r="J66" s="337"/>
      <c r="K66" s="337"/>
      <c r="L66" s="347">
        <v>0.25</v>
      </c>
      <c r="M66" s="347">
        <v>0.25</v>
      </c>
      <c r="N66" s="347">
        <v>0.25</v>
      </c>
      <c r="O66" s="347">
        <v>0.25</v>
      </c>
      <c r="P66" s="337"/>
      <c r="Q66" s="337"/>
      <c r="R66" s="337"/>
      <c r="S66" s="337"/>
      <c r="T66" s="337"/>
      <c r="U66" s="337"/>
      <c r="V66" s="351">
        <f t="shared" si="414"/>
        <v>1</v>
      </c>
      <c r="Y66" s="305">
        <f t="shared" si="415"/>
        <v>0</v>
      </c>
      <c r="Z66" s="305">
        <f t="shared" si="416"/>
        <v>0</v>
      </c>
      <c r="AA66" s="305">
        <f t="shared" si="417"/>
        <v>0</v>
      </c>
      <c r="AB66" s="305">
        <f t="shared" si="418"/>
        <v>0</v>
      </c>
      <c r="AC66" s="305">
        <f t="shared" si="419"/>
        <v>0</v>
      </c>
      <c r="AD66" s="305">
        <f t="shared" si="420"/>
        <v>0</v>
      </c>
      <c r="AE66" s="305">
        <f t="shared" si="421"/>
        <v>267.83999999999997</v>
      </c>
      <c r="AF66" s="305">
        <f t="shared" si="422"/>
        <v>267.83999999999997</v>
      </c>
      <c r="AG66" s="305">
        <f t="shared" si="423"/>
        <v>267.83999999999997</v>
      </c>
      <c r="AH66" s="305">
        <f t="shared" si="424"/>
        <v>267.83999999999997</v>
      </c>
      <c r="AI66" s="305">
        <f t="shared" si="425"/>
        <v>0</v>
      </c>
      <c r="AJ66" s="305">
        <f t="shared" si="426"/>
        <v>0</v>
      </c>
      <c r="AK66" s="305">
        <f t="shared" si="427"/>
        <v>0</v>
      </c>
      <c r="AL66" s="305">
        <f t="shared" si="428"/>
        <v>0</v>
      </c>
      <c r="AM66" s="305">
        <f t="shared" si="429"/>
        <v>0</v>
      </c>
      <c r="AN66" s="305">
        <f t="shared" si="430"/>
        <v>0</v>
      </c>
      <c r="AO66" s="305">
        <f t="shared" si="412"/>
        <v>0</v>
      </c>
      <c r="AP66" s="305">
        <f t="shared" si="412"/>
        <v>0</v>
      </c>
      <c r="AQ66" s="305">
        <f t="shared" si="412"/>
        <v>0</v>
      </c>
      <c r="AR66" s="305">
        <f t="shared" si="412"/>
        <v>0</v>
      </c>
      <c r="AS66" s="305">
        <f t="shared" si="412"/>
        <v>0</v>
      </c>
      <c r="AT66" s="305">
        <f t="shared" si="412"/>
        <v>0</v>
      </c>
      <c r="AU66" s="305">
        <f t="shared" si="412"/>
        <v>1071.3599999999999</v>
      </c>
      <c r="AV66" s="305">
        <f t="shared" si="412"/>
        <v>0</v>
      </c>
      <c r="AW66" s="305">
        <f t="shared" si="412"/>
        <v>0</v>
      </c>
      <c r="AX66" s="305">
        <f t="shared" si="412"/>
        <v>0</v>
      </c>
      <c r="AY66" s="305">
        <f t="shared" si="412"/>
        <v>0</v>
      </c>
      <c r="AZ66" s="305">
        <f t="shared" si="412"/>
        <v>0</v>
      </c>
      <c r="BA66" s="305">
        <f t="shared" si="412"/>
        <v>0</v>
      </c>
      <c r="BB66" s="305">
        <f t="shared" si="412"/>
        <v>0</v>
      </c>
      <c r="BC66" s="305">
        <f t="shared" si="412"/>
        <v>0</v>
      </c>
      <c r="BD66" s="305">
        <f t="shared" si="278"/>
        <v>0</v>
      </c>
      <c r="BE66" s="304">
        <f t="shared" si="431"/>
        <v>0</v>
      </c>
    </row>
    <row r="67" spans="1:57" ht="14.45" customHeight="1" x14ac:dyDescent="0.25">
      <c r="B67" s="239"/>
      <c r="D67" s="342"/>
      <c r="E67" s="250"/>
      <c r="F67" s="250"/>
      <c r="G67" s="250"/>
      <c r="H67" s="323"/>
      <c r="I67" s="250"/>
      <c r="J67" s="250"/>
      <c r="K67" s="250"/>
      <c r="L67" s="250"/>
      <c r="M67" s="250"/>
      <c r="N67" s="250"/>
      <c r="O67" s="250"/>
      <c r="P67" s="250"/>
      <c r="Q67" s="250"/>
      <c r="R67" s="250"/>
      <c r="S67" s="250"/>
      <c r="T67" s="250"/>
      <c r="U67" s="250"/>
      <c r="V67" s="250"/>
      <c r="W67" s="300"/>
      <c r="X67" s="300"/>
      <c r="Y67" s="305">
        <f t="shared" ref="Y67" si="432">F67*$D67</f>
        <v>0</v>
      </c>
      <c r="Z67" s="305">
        <f t="shared" ref="Z67" si="433">G67*$D67</f>
        <v>0</v>
      </c>
      <c r="AA67" s="305">
        <f t="shared" ref="AA67" si="434">H67*$D67</f>
        <v>0</v>
      </c>
      <c r="AB67" s="305">
        <f t="shared" ref="AB67" si="435">I67*$D67</f>
        <v>0</v>
      </c>
      <c r="AC67" s="305">
        <f t="shared" ref="AC67" si="436">J67*$D67</f>
        <v>0</v>
      </c>
      <c r="AD67" s="305">
        <f t="shared" ref="AD67" si="437">K67*$D67</f>
        <v>0</v>
      </c>
      <c r="AE67" s="305">
        <f t="shared" ref="AE67" si="438">L67*$D67</f>
        <v>0</v>
      </c>
      <c r="AF67" s="305">
        <f t="shared" ref="AF67" si="439">M67*$D67</f>
        <v>0</v>
      </c>
      <c r="AG67" s="305">
        <f t="shared" ref="AG67" si="440">N67*$D67</f>
        <v>0</v>
      </c>
      <c r="AH67" s="305">
        <f t="shared" ref="AH67" si="441">O67*$D67</f>
        <v>0</v>
      </c>
      <c r="AI67" s="305">
        <f t="shared" ref="AI67" si="442">P67*$D67</f>
        <v>0</v>
      </c>
      <c r="AJ67" s="305">
        <f t="shared" ref="AJ67" si="443">Q67*$D67</f>
        <v>0</v>
      </c>
      <c r="AK67" s="305">
        <f t="shared" ref="AK67" si="444">R67*$D67</f>
        <v>0</v>
      </c>
      <c r="AL67" s="305">
        <f t="shared" ref="AL67" si="445">S67*$D67</f>
        <v>0</v>
      </c>
      <c r="AM67" s="244">
        <f t="shared" ref="AM67:AN67" si="446">T67*$D67</f>
        <v>0</v>
      </c>
      <c r="AN67" s="305">
        <f t="shared" si="446"/>
        <v>0</v>
      </c>
      <c r="AO67" s="305">
        <f t="shared" ref="AO67:BD67" si="447">IF(AO$3=$E67,$D67,0)</f>
        <v>0</v>
      </c>
      <c r="AP67" s="305">
        <f t="shared" si="447"/>
        <v>0</v>
      </c>
      <c r="AQ67" s="305">
        <f t="shared" si="447"/>
        <v>0</v>
      </c>
      <c r="AR67" s="305">
        <f t="shared" si="447"/>
        <v>0</v>
      </c>
      <c r="AS67" s="305">
        <f t="shared" si="447"/>
        <v>0</v>
      </c>
      <c r="AT67" s="305">
        <f t="shared" si="447"/>
        <v>0</v>
      </c>
      <c r="AU67" s="305">
        <f t="shared" si="447"/>
        <v>0</v>
      </c>
      <c r="AV67" s="305">
        <f t="shared" si="447"/>
        <v>0</v>
      </c>
      <c r="AW67" s="244">
        <f t="shared" si="447"/>
        <v>0</v>
      </c>
      <c r="AX67" s="244">
        <f t="shared" si="447"/>
        <v>0</v>
      </c>
      <c r="AY67" s="244">
        <f t="shared" si="447"/>
        <v>0</v>
      </c>
      <c r="AZ67" s="244">
        <f t="shared" si="447"/>
        <v>0</v>
      </c>
      <c r="BA67" s="244">
        <f t="shared" si="447"/>
        <v>0</v>
      </c>
      <c r="BB67" s="244">
        <f t="shared" si="447"/>
        <v>0</v>
      </c>
      <c r="BC67" s="244">
        <f t="shared" si="447"/>
        <v>0</v>
      </c>
      <c r="BD67" s="305">
        <f t="shared" si="447"/>
        <v>0</v>
      </c>
      <c r="BE67" s="304">
        <f t="shared" si="17"/>
        <v>0</v>
      </c>
    </row>
    <row r="68" spans="1:57" ht="14.45" customHeight="1" x14ac:dyDescent="0.25">
      <c r="D68" s="250" t="s">
        <v>182</v>
      </c>
      <c r="E68" s="250"/>
      <c r="F68" s="250" t="s">
        <v>165</v>
      </c>
      <c r="G68" s="250" t="s">
        <v>169</v>
      </c>
      <c r="H68" s="323" t="s">
        <v>170</v>
      </c>
      <c r="I68" s="250" t="s">
        <v>171</v>
      </c>
      <c r="J68" s="250" t="s">
        <v>172</v>
      </c>
      <c r="K68" s="250" t="s">
        <v>173</v>
      </c>
      <c r="L68" s="250" t="s">
        <v>174</v>
      </c>
      <c r="M68" s="250" t="s">
        <v>175</v>
      </c>
      <c r="N68" s="250" t="s">
        <v>176</v>
      </c>
      <c r="O68" s="250" t="s">
        <v>177</v>
      </c>
      <c r="P68" s="250" t="s">
        <v>178</v>
      </c>
      <c r="Q68" s="250" t="s">
        <v>179</v>
      </c>
      <c r="R68" s="250" t="s">
        <v>180</v>
      </c>
      <c r="S68" s="250" t="s">
        <v>181</v>
      </c>
      <c r="T68" s="250" t="s">
        <v>183</v>
      </c>
      <c r="U68" s="364" t="s">
        <v>276</v>
      </c>
      <c r="V68" s="250" t="s">
        <v>182</v>
      </c>
      <c r="W68" s="300"/>
      <c r="X68" s="300"/>
      <c r="Y68" s="305"/>
      <c r="Z68" s="305"/>
      <c r="AA68" s="305"/>
      <c r="AB68" s="305"/>
      <c r="AC68" s="305"/>
      <c r="AD68" s="305"/>
      <c r="AE68" s="305"/>
      <c r="AF68" s="305"/>
      <c r="AG68" s="305"/>
      <c r="AH68" s="305"/>
      <c r="AI68" s="305"/>
      <c r="AJ68" s="305"/>
      <c r="AK68" s="305"/>
      <c r="AL68" s="305"/>
      <c r="AM68" s="244"/>
      <c r="AN68" s="305"/>
      <c r="AO68" s="305"/>
      <c r="AP68" s="305"/>
      <c r="AQ68" s="305"/>
      <c r="AR68" s="305"/>
      <c r="AS68" s="305"/>
      <c r="AT68" s="305"/>
      <c r="AU68" s="305"/>
      <c r="AV68" s="305"/>
      <c r="AW68" s="242"/>
      <c r="AX68" s="242"/>
      <c r="AY68" s="242"/>
      <c r="AZ68" s="242"/>
      <c r="BA68" s="242"/>
      <c r="BB68" s="242"/>
      <c r="BC68" s="242"/>
      <c r="BD68" s="242"/>
      <c r="BE68" s="304">
        <f t="shared" si="17"/>
        <v>0</v>
      </c>
    </row>
    <row r="69" spans="1:57" ht="14.45" customHeight="1" x14ac:dyDescent="0.25">
      <c r="A69" s="238" t="s">
        <v>209</v>
      </c>
      <c r="B69" s="238"/>
      <c r="D69" s="342"/>
      <c r="E69" s="250"/>
      <c r="F69" s="250"/>
      <c r="G69" s="250"/>
      <c r="H69" s="323"/>
      <c r="I69" s="250"/>
      <c r="J69" s="250"/>
      <c r="K69" s="250"/>
      <c r="L69" s="250"/>
      <c r="M69" s="250"/>
      <c r="N69" s="250"/>
      <c r="O69" s="250"/>
      <c r="P69" s="250"/>
      <c r="Q69" s="250"/>
      <c r="R69" s="250"/>
      <c r="S69" s="250"/>
      <c r="T69" s="250"/>
      <c r="U69" s="250"/>
      <c r="V69" s="250"/>
      <c r="W69" s="300"/>
      <c r="X69" s="300"/>
      <c r="Y69" s="305"/>
      <c r="Z69" s="305"/>
      <c r="AA69" s="305"/>
      <c r="AB69" s="305"/>
      <c r="AC69" s="305"/>
      <c r="AD69" s="305"/>
      <c r="AE69" s="305"/>
      <c r="AF69" s="305"/>
      <c r="AG69" s="305"/>
      <c r="AH69" s="305"/>
      <c r="AI69" s="305"/>
      <c r="AJ69" s="305"/>
      <c r="AK69" s="305"/>
      <c r="AL69" s="305"/>
      <c r="AM69" s="244"/>
      <c r="AN69" s="305"/>
      <c r="AO69" s="305" t="s">
        <v>165</v>
      </c>
      <c r="AP69" s="305" t="s">
        <v>169</v>
      </c>
      <c r="AQ69" s="305" t="s">
        <v>170</v>
      </c>
      <c r="AR69" s="305" t="s">
        <v>171</v>
      </c>
      <c r="AS69" s="305" t="s">
        <v>165</v>
      </c>
      <c r="AT69" s="305" t="s">
        <v>169</v>
      </c>
      <c r="AU69" s="305" t="s">
        <v>170</v>
      </c>
      <c r="AV69" s="305" t="s">
        <v>171</v>
      </c>
      <c r="AW69" s="241" t="s">
        <v>165</v>
      </c>
      <c r="AX69" s="241" t="s">
        <v>169</v>
      </c>
      <c r="AY69" s="241" t="s">
        <v>170</v>
      </c>
      <c r="AZ69" s="241" t="s">
        <v>171</v>
      </c>
      <c r="BA69" s="241" t="s">
        <v>165</v>
      </c>
      <c r="BB69" s="241" t="s">
        <v>169</v>
      </c>
      <c r="BC69" s="241" t="s">
        <v>170</v>
      </c>
      <c r="BD69" s="241" t="s">
        <v>171</v>
      </c>
      <c r="BE69" s="304">
        <f t="shared" si="17"/>
        <v>0</v>
      </c>
    </row>
    <row r="70" spans="1:57" ht="14.45" customHeight="1" x14ac:dyDescent="0.25">
      <c r="A70" t="s">
        <v>150</v>
      </c>
      <c r="B70" s="248"/>
      <c r="D70" s="342">
        <f>SUM(F70:U70)</f>
        <v>147034.08000000002</v>
      </c>
      <c r="E70" s="337" t="s">
        <v>212</v>
      </c>
      <c r="F70" s="337"/>
      <c r="G70" s="341">
        <v>1400</v>
      </c>
      <c r="H70" s="372">
        <v>9000</v>
      </c>
      <c r="I70" s="341">
        <v>9000</v>
      </c>
      <c r="J70" s="341">
        <v>10232.64</v>
      </c>
      <c r="K70" s="341">
        <v>11130.24</v>
      </c>
      <c r="L70" s="341">
        <v>10771.2</v>
      </c>
      <c r="M70" s="341">
        <v>11500</v>
      </c>
      <c r="N70" s="341">
        <v>10500</v>
      </c>
      <c r="O70" s="341">
        <v>10500</v>
      </c>
      <c r="P70" s="341">
        <v>10500</v>
      </c>
      <c r="Q70" s="341">
        <v>10500</v>
      </c>
      <c r="R70" s="341">
        <v>10500</v>
      </c>
      <c r="S70" s="341">
        <v>10500</v>
      </c>
      <c r="T70" s="341">
        <v>10500</v>
      </c>
      <c r="U70" s="341">
        <v>10500</v>
      </c>
      <c r="V70" s="349">
        <f>SUM(F70:U70)</f>
        <v>147034.08000000002</v>
      </c>
      <c r="W70" s="300"/>
      <c r="X70" s="300"/>
      <c r="Y70" s="305">
        <f t="shared" ref="Y70:Y81" si="448">F70</f>
        <v>0</v>
      </c>
      <c r="Z70" s="305">
        <f t="shared" ref="Z70:AN72" si="449">G70</f>
        <v>1400</v>
      </c>
      <c r="AA70" s="305">
        <f t="shared" si="449"/>
        <v>9000</v>
      </c>
      <c r="AB70" s="305">
        <f t="shared" si="449"/>
        <v>9000</v>
      </c>
      <c r="AC70" s="305">
        <f t="shared" si="449"/>
        <v>10232.64</v>
      </c>
      <c r="AD70" s="305">
        <f t="shared" si="449"/>
        <v>11130.24</v>
      </c>
      <c r="AE70" s="305">
        <f t="shared" si="449"/>
        <v>10771.2</v>
      </c>
      <c r="AF70" s="305">
        <f t="shared" si="449"/>
        <v>11500</v>
      </c>
      <c r="AG70" s="305">
        <f t="shared" si="449"/>
        <v>10500</v>
      </c>
      <c r="AH70" s="305">
        <f t="shared" si="449"/>
        <v>10500</v>
      </c>
      <c r="AI70" s="305">
        <f t="shared" si="449"/>
        <v>10500</v>
      </c>
      <c r="AJ70" s="305">
        <f t="shared" si="449"/>
        <v>10500</v>
      </c>
      <c r="AK70" s="305">
        <f t="shared" si="449"/>
        <v>10500</v>
      </c>
      <c r="AL70" s="305">
        <f t="shared" si="449"/>
        <v>10500</v>
      </c>
      <c r="AM70" s="244">
        <f t="shared" si="449"/>
        <v>10500</v>
      </c>
      <c r="AN70" s="305">
        <f t="shared" si="449"/>
        <v>10500</v>
      </c>
      <c r="AO70" s="305">
        <f>IF(AO$69=$E70,SUM(Y70:AB70),0)</f>
        <v>0</v>
      </c>
      <c r="AP70" s="305">
        <v>43635.199999999997</v>
      </c>
      <c r="AQ70" s="305">
        <f>IF(AQ$69=$E70,SUM(AA70:AD70),0)</f>
        <v>0</v>
      </c>
      <c r="AR70" s="305">
        <f>IF(AR$69=$E70,SUM(AB70:AE70),0)</f>
        <v>0</v>
      </c>
      <c r="AS70" s="305">
        <f>IF(AS$69=$E70,SUM(AC70:AF70),0)</f>
        <v>0</v>
      </c>
      <c r="AT70" s="305">
        <v>0</v>
      </c>
      <c r="AU70" s="305">
        <v>43758</v>
      </c>
      <c r="AV70" s="305">
        <f t="shared" ref="AU70:AZ73" si="450">IF(AV$69=$E70,SUM(AF70:AI70),0)</f>
        <v>0</v>
      </c>
      <c r="AW70" s="244">
        <f t="shared" si="450"/>
        <v>0</v>
      </c>
      <c r="AX70" s="244">
        <v>0</v>
      </c>
      <c r="AY70" s="244">
        <v>42000</v>
      </c>
      <c r="AZ70" s="244">
        <f t="shared" si="450"/>
        <v>0</v>
      </c>
      <c r="BA70" s="244">
        <f>IF(BA$69=$E70,SUM(AK70:$AM70),0)</f>
        <v>0</v>
      </c>
      <c r="BB70" s="244">
        <v>0</v>
      </c>
      <c r="BC70" s="244">
        <f>17755.2-114.32</f>
        <v>17640.88</v>
      </c>
      <c r="BD70" s="305">
        <v>0</v>
      </c>
      <c r="BE70" s="367">
        <f t="shared" si="17"/>
        <v>0</v>
      </c>
    </row>
    <row r="71" spans="1:57" ht="14.45" customHeight="1" x14ac:dyDescent="0.25">
      <c r="A71" t="s">
        <v>150</v>
      </c>
      <c r="B71" s="248"/>
      <c r="D71" s="342">
        <f>SUM(F71:U71)</f>
        <v>63320.160000000003</v>
      </c>
      <c r="E71" s="337" t="s">
        <v>186</v>
      </c>
      <c r="F71" s="337"/>
      <c r="G71" s="337"/>
      <c r="H71" s="372"/>
      <c r="I71" s="341" t="s">
        <v>121</v>
      </c>
      <c r="J71" s="341">
        <v>0</v>
      </c>
      <c r="K71" s="341">
        <v>2358.88</v>
      </c>
      <c r="L71" s="341">
        <v>6461.28</v>
      </c>
      <c r="M71" s="341">
        <v>6500</v>
      </c>
      <c r="N71" s="341">
        <v>6000</v>
      </c>
      <c r="O71" s="341">
        <v>6000</v>
      </c>
      <c r="P71" s="341">
        <v>6000</v>
      </c>
      <c r="Q71" s="341">
        <v>6000</v>
      </c>
      <c r="R71" s="341">
        <v>6000</v>
      </c>
      <c r="S71" s="341">
        <v>6000</v>
      </c>
      <c r="T71" s="341">
        <v>6000</v>
      </c>
      <c r="U71" s="341">
        <v>6000</v>
      </c>
      <c r="V71" s="349">
        <f t="shared" ref="V71:V80" si="451">SUM(F71:U71)</f>
        <v>63320.160000000003</v>
      </c>
      <c r="W71" s="300"/>
      <c r="X71" s="300"/>
      <c r="Y71" s="305">
        <f t="shared" si="448"/>
        <v>0</v>
      </c>
      <c r="Z71" s="305">
        <f t="shared" si="449"/>
        <v>0</v>
      </c>
      <c r="AA71" s="305">
        <f t="shared" si="449"/>
        <v>0</v>
      </c>
      <c r="AB71" s="305" t="str">
        <f t="shared" si="449"/>
        <v xml:space="preserve"> </v>
      </c>
      <c r="AC71" s="305">
        <f t="shared" si="449"/>
        <v>0</v>
      </c>
      <c r="AD71" s="305">
        <f t="shared" si="449"/>
        <v>2358.88</v>
      </c>
      <c r="AE71" s="305">
        <f t="shared" si="449"/>
        <v>6461.28</v>
      </c>
      <c r="AF71" s="305">
        <f t="shared" si="449"/>
        <v>6500</v>
      </c>
      <c r="AG71" s="305">
        <f t="shared" si="449"/>
        <v>6000</v>
      </c>
      <c r="AH71" s="305">
        <f t="shared" si="449"/>
        <v>6000</v>
      </c>
      <c r="AI71" s="305">
        <f t="shared" si="449"/>
        <v>6000</v>
      </c>
      <c r="AJ71" s="305">
        <f t="shared" si="449"/>
        <v>6000</v>
      </c>
      <c r="AK71" s="305">
        <f t="shared" si="449"/>
        <v>6000</v>
      </c>
      <c r="AL71" s="305">
        <f t="shared" si="449"/>
        <v>6000</v>
      </c>
      <c r="AM71" s="244">
        <f t="shared" si="449"/>
        <v>6000</v>
      </c>
      <c r="AN71" s="305">
        <f t="shared" si="449"/>
        <v>6000</v>
      </c>
      <c r="AO71" s="305">
        <f t="shared" ref="AO71:AO81" si="452">IF(AO$69=$E71,SUM(Y71:AB71),0)</f>
        <v>0</v>
      </c>
      <c r="AP71" s="305">
        <f t="shared" ref="AP71:AR77" si="453">IF(AP$69=$E71,SUM(Z71:AC71),0)</f>
        <v>0</v>
      </c>
      <c r="AQ71" s="305">
        <f t="shared" si="453"/>
        <v>0</v>
      </c>
      <c r="AR71" s="305">
        <f t="shared" si="453"/>
        <v>0</v>
      </c>
      <c r="AS71" s="305">
        <f t="shared" ref="AS71" si="454">IF(AS$3=$E71,$D71,0)</f>
        <v>0</v>
      </c>
      <c r="AT71" s="305">
        <v>25000</v>
      </c>
      <c r="AU71" s="305">
        <f t="shared" si="450"/>
        <v>0</v>
      </c>
      <c r="AV71" s="305">
        <f t="shared" si="450"/>
        <v>0</v>
      </c>
      <c r="AW71" s="244">
        <f t="shared" si="450"/>
        <v>0</v>
      </c>
      <c r="AX71" s="244">
        <v>24000</v>
      </c>
      <c r="AY71" s="244">
        <f t="shared" si="450"/>
        <v>0</v>
      </c>
      <c r="AZ71" s="244">
        <f t="shared" si="450"/>
        <v>0</v>
      </c>
      <c r="BA71" s="244">
        <f>IF(BA$69=$E71,SUM(AK71:$AM71),0)</f>
        <v>0</v>
      </c>
      <c r="BB71" s="305">
        <v>14320.16</v>
      </c>
      <c r="BC71" s="244">
        <f>IF(BC$69=$E71,SUM(AM71:$AM71),0)</f>
        <v>0</v>
      </c>
      <c r="BD71" s="305">
        <v>0</v>
      </c>
      <c r="BE71" s="367">
        <f t="shared" si="17"/>
        <v>0</v>
      </c>
    </row>
    <row r="72" spans="1:57" ht="14.45" customHeight="1" x14ac:dyDescent="0.25">
      <c r="A72" t="s">
        <v>160</v>
      </c>
      <c r="B72" s="259"/>
      <c r="D72" s="342">
        <f>SUM(F72:U72)</f>
        <v>49000</v>
      </c>
      <c r="E72" s="337" t="s">
        <v>214</v>
      </c>
      <c r="F72" s="341">
        <v>10000</v>
      </c>
      <c r="G72" s="341">
        <v>12000</v>
      </c>
      <c r="H72" s="372">
        <v>11000</v>
      </c>
      <c r="I72" s="341">
        <v>12000</v>
      </c>
      <c r="J72" s="341">
        <v>4000</v>
      </c>
      <c r="K72" s="341">
        <v>0</v>
      </c>
      <c r="L72" s="341">
        <v>0</v>
      </c>
      <c r="M72" s="341">
        <v>0</v>
      </c>
      <c r="N72" s="341">
        <v>0</v>
      </c>
      <c r="O72" s="341">
        <v>0</v>
      </c>
      <c r="P72" s="341">
        <v>0</v>
      </c>
      <c r="Q72" s="341">
        <v>0</v>
      </c>
      <c r="R72" s="341">
        <v>0</v>
      </c>
      <c r="S72" s="341">
        <v>0</v>
      </c>
      <c r="T72" s="341">
        <v>0</v>
      </c>
      <c r="U72" s="341"/>
      <c r="V72" s="349">
        <f t="shared" si="451"/>
        <v>49000</v>
      </c>
      <c r="W72" s="300"/>
      <c r="X72" s="300"/>
      <c r="Y72" s="305">
        <f t="shared" si="448"/>
        <v>10000</v>
      </c>
      <c r="Z72" s="305">
        <f t="shared" si="449"/>
        <v>12000</v>
      </c>
      <c r="AA72" s="305">
        <f t="shared" si="449"/>
        <v>11000</v>
      </c>
      <c r="AB72" s="305">
        <f t="shared" si="449"/>
        <v>12000</v>
      </c>
      <c r="AC72" s="305">
        <f>J72</f>
        <v>4000</v>
      </c>
      <c r="AD72" s="305">
        <f t="shared" si="449"/>
        <v>0</v>
      </c>
      <c r="AE72" s="305">
        <f t="shared" si="449"/>
        <v>0</v>
      </c>
      <c r="AF72" s="305">
        <f t="shared" si="449"/>
        <v>0</v>
      </c>
      <c r="AG72" s="305">
        <f t="shared" si="449"/>
        <v>0</v>
      </c>
      <c r="AH72" s="305">
        <f t="shared" si="449"/>
        <v>0</v>
      </c>
      <c r="AI72" s="305">
        <f t="shared" si="449"/>
        <v>0</v>
      </c>
      <c r="AJ72" s="305">
        <f t="shared" si="449"/>
        <v>0</v>
      </c>
      <c r="AK72" s="305">
        <f t="shared" si="449"/>
        <v>0</v>
      </c>
      <c r="AL72" s="305">
        <f t="shared" si="449"/>
        <v>0</v>
      </c>
      <c r="AM72" s="244">
        <f t="shared" si="449"/>
        <v>0</v>
      </c>
      <c r="AN72" s="305">
        <f t="shared" si="449"/>
        <v>0</v>
      </c>
      <c r="AO72" s="305">
        <v>49000</v>
      </c>
      <c r="AP72" s="305">
        <f t="shared" si="453"/>
        <v>0</v>
      </c>
      <c r="AQ72" s="305">
        <f t="shared" si="453"/>
        <v>0</v>
      </c>
      <c r="AR72" s="305">
        <f t="shared" si="453"/>
        <v>0</v>
      </c>
      <c r="AS72" s="305">
        <v>0</v>
      </c>
      <c r="AT72" s="305">
        <f>IF(AT$69=$E72,SUM(AD72:AG72),0)</f>
        <v>0</v>
      </c>
      <c r="AU72" s="305">
        <f t="shared" si="450"/>
        <v>0</v>
      </c>
      <c r="AV72" s="305">
        <f t="shared" si="450"/>
        <v>0</v>
      </c>
      <c r="AW72" s="244">
        <f t="shared" si="450"/>
        <v>0</v>
      </c>
      <c r="AX72" s="244">
        <f t="shared" si="450"/>
        <v>0</v>
      </c>
      <c r="AY72" s="244">
        <f t="shared" si="450"/>
        <v>0</v>
      </c>
      <c r="AZ72" s="244">
        <f t="shared" si="450"/>
        <v>0</v>
      </c>
      <c r="BA72" s="244">
        <f>IF(BA$69=$E72,SUM(AK72:$AM72),0)</f>
        <v>0</v>
      </c>
      <c r="BB72" s="244">
        <f>IF(BB$69=$E72,SUM(AL72:$AM72),0)</f>
        <v>0</v>
      </c>
      <c r="BC72" s="244">
        <f>IF(BC$69=$E72,SUM(AM72:$AM72),0)</f>
        <v>0</v>
      </c>
      <c r="BD72" s="305">
        <v>0</v>
      </c>
      <c r="BE72" s="367">
        <f t="shared" si="17"/>
        <v>0</v>
      </c>
    </row>
    <row r="73" spans="1:57" s="300" customFormat="1" ht="14.45" customHeight="1" x14ac:dyDescent="0.25">
      <c r="A73" s="300" t="s">
        <v>160</v>
      </c>
      <c r="B73" s="259"/>
      <c r="D73" s="342">
        <f t="shared" ref="D73:D81" si="455">SUM(F73:U73)</f>
        <v>75135.360000000001</v>
      </c>
      <c r="E73" s="337" t="s">
        <v>186</v>
      </c>
      <c r="F73" s="341">
        <v>0</v>
      </c>
      <c r="G73" s="341">
        <v>0</v>
      </c>
      <c r="H73" s="372">
        <v>0</v>
      </c>
      <c r="I73" s="341">
        <v>0</v>
      </c>
      <c r="J73" s="341">
        <v>0</v>
      </c>
      <c r="K73" s="341">
        <v>2706.88</v>
      </c>
      <c r="L73" s="341">
        <v>7628.48</v>
      </c>
      <c r="M73" s="341">
        <v>7200</v>
      </c>
      <c r="N73" s="341">
        <v>7200</v>
      </c>
      <c r="O73" s="341">
        <v>7200</v>
      </c>
      <c r="P73" s="341">
        <v>7200</v>
      </c>
      <c r="Q73" s="341">
        <v>7200</v>
      </c>
      <c r="R73" s="341">
        <v>7200</v>
      </c>
      <c r="S73" s="341">
        <v>7200</v>
      </c>
      <c r="T73" s="341">
        <v>7200</v>
      </c>
      <c r="U73" s="341">
        <v>7200</v>
      </c>
      <c r="V73" s="349">
        <f t="shared" si="451"/>
        <v>75135.360000000001</v>
      </c>
      <c r="Y73" s="305">
        <f t="shared" ref="Y73" si="456">F73</f>
        <v>0</v>
      </c>
      <c r="Z73" s="305">
        <f t="shared" ref="Z73" si="457">G73</f>
        <v>0</v>
      </c>
      <c r="AA73" s="305">
        <f t="shared" ref="AA73" si="458">H73</f>
        <v>0</v>
      </c>
      <c r="AB73" s="305">
        <f t="shared" ref="AB73" si="459">I73</f>
        <v>0</v>
      </c>
      <c r="AC73" s="305">
        <f t="shared" ref="AC73" si="460">J73</f>
        <v>0</v>
      </c>
      <c r="AD73" s="305">
        <f t="shared" ref="AD73" si="461">K73</f>
        <v>2706.88</v>
      </c>
      <c r="AE73" s="305">
        <f t="shared" ref="AE73" si="462">L73</f>
        <v>7628.48</v>
      </c>
      <c r="AF73" s="305">
        <f t="shared" ref="AF73" si="463">M73</f>
        <v>7200</v>
      </c>
      <c r="AG73" s="305">
        <f t="shared" ref="AG73" si="464">N73</f>
        <v>7200</v>
      </c>
      <c r="AH73" s="305">
        <f t="shared" ref="AH73" si="465">O73</f>
        <v>7200</v>
      </c>
      <c r="AI73" s="305">
        <f t="shared" ref="AI73" si="466">P73</f>
        <v>7200</v>
      </c>
      <c r="AJ73" s="305">
        <f t="shared" ref="AJ73" si="467">Q73</f>
        <v>7200</v>
      </c>
      <c r="AK73" s="305">
        <f t="shared" ref="AK73" si="468">R73</f>
        <v>7200</v>
      </c>
      <c r="AL73" s="305">
        <f t="shared" ref="AL73" si="469">S73</f>
        <v>7200</v>
      </c>
      <c r="AM73" s="305">
        <f t="shared" ref="AM73:AN73" si="470">T73</f>
        <v>7200</v>
      </c>
      <c r="AN73" s="305">
        <f t="shared" si="470"/>
        <v>7200</v>
      </c>
      <c r="AO73" s="305">
        <f t="shared" ref="AO73" si="471">IF(AO$69=$E73,SUM(Y73:AB73),0)</f>
        <v>0</v>
      </c>
      <c r="AP73" s="305">
        <f t="shared" si="453"/>
        <v>0</v>
      </c>
      <c r="AQ73" s="305">
        <f t="shared" si="453"/>
        <v>0</v>
      </c>
      <c r="AR73" s="305">
        <f t="shared" si="453"/>
        <v>0</v>
      </c>
      <c r="AS73" s="305">
        <f>IF(AS$69=$E73,SUM(AC73:AF73),0)</f>
        <v>0</v>
      </c>
      <c r="AT73" s="305">
        <v>29991</v>
      </c>
      <c r="AU73" s="305">
        <f t="shared" si="450"/>
        <v>0</v>
      </c>
      <c r="AV73" s="305">
        <f t="shared" si="450"/>
        <v>0</v>
      </c>
      <c r="AW73" s="305">
        <f t="shared" si="450"/>
        <v>0</v>
      </c>
      <c r="AX73" s="305">
        <v>28800</v>
      </c>
      <c r="AY73" s="305">
        <f t="shared" si="450"/>
        <v>0</v>
      </c>
      <c r="AZ73" s="305">
        <f t="shared" si="450"/>
        <v>0</v>
      </c>
      <c r="BA73" s="305">
        <f>IF(BA$69=$E73,SUM(AK73:$AM73),0)</f>
        <v>0</v>
      </c>
      <c r="BB73" s="305">
        <v>16344.36</v>
      </c>
      <c r="BC73" s="305">
        <f>IF(BC$69=$E73,SUM(AM73:$AM73),0)</f>
        <v>0</v>
      </c>
      <c r="BD73" s="305">
        <v>0</v>
      </c>
      <c r="BE73" s="367">
        <f t="shared" si="17"/>
        <v>0</v>
      </c>
    </row>
    <row r="74" spans="1:57" ht="14.45" customHeight="1" x14ac:dyDescent="0.25">
      <c r="A74" t="s">
        <v>160</v>
      </c>
      <c r="B74" s="259"/>
      <c r="D74" s="342">
        <f t="shared" si="455"/>
        <v>15389.66</v>
      </c>
      <c r="E74" s="337" t="s">
        <v>184</v>
      </c>
      <c r="F74" s="337"/>
      <c r="G74" s="341">
        <v>0</v>
      </c>
      <c r="H74" s="372">
        <v>375</v>
      </c>
      <c r="I74" s="341">
        <v>4500</v>
      </c>
      <c r="J74" s="341">
        <v>4848.4799999999996</v>
      </c>
      <c r="K74" s="341">
        <v>4771.5200000000004</v>
      </c>
      <c r="L74" s="341">
        <v>894.66</v>
      </c>
      <c r="M74" s="341">
        <v>0</v>
      </c>
      <c r="N74" s="341">
        <v>0</v>
      </c>
      <c r="O74" s="341">
        <v>0</v>
      </c>
      <c r="P74" s="341">
        <v>0</v>
      </c>
      <c r="Q74" s="341">
        <v>0</v>
      </c>
      <c r="R74" s="341">
        <v>0</v>
      </c>
      <c r="S74" s="341">
        <v>0</v>
      </c>
      <c r="T74" s="341">
        <v>0</v>
      </c>
      <c r="U74" s="341"/>
      <c r="V74" s="349">
        <f t="shared" si="451"/>
        <v>15389.66</v>
      </c>
      <c r="W74" s="300"/>
      <c r="X74" s="300"/>
      <c r="Y74" s="305">
        <f t="shared" si="448"/>
        <v>0</v>
      </c>
      <c r="Z74" s="305">
        <f t="shared" ref="Z74:AN77" si="472">G74</f>
        <v>0</v>
      </c>
      <c r="AA74" s="305">
        <f t="shared" si="472"/>
        <v>375</v>
      </c>
      <c r="AB74" s="305">
        <f t="shared" si="472"/>
        <v>4500</v>
      </c>
      <c r="AC74" s="305">
        <f t="shared" si="472"/>
        <v>4848.4799999999996</v>
      </c>
      <c r="AD74" s="305">
        <f t="shared" si="472"/>
        <v>4771.5200000000004</v>
      </c>
      <c r="AE74" s="305">
        <f t="shared" si="472"/>
        <v>894.66</v>
      </c>
      <c r="AF74" s="305">
        <f t="shared" si="472"/>
        <v>0</v>
      </c>
      <c r="AG74" s="305">
        <f t="shared" si="472"/>
        <v>0</v>
      </c>
      <c r="AH74" s="305">
        <f t="shared" si="472"/>
        <v>0</v>
      </c>
      <c r="AI74" s="305">
        <f t="shared" si="472"/>
        <v>0</v>
      </c>
      <c r="AJ74" s="305">
        <f t="shared" si="472"/>
        <v>0</v>
      </c>
      <c r="AK74" s="305">
        <f t="shared" si="472"/>
        <v>0</v>
      </c>
      <c r="AL74" s="305">
        <f t="shared" si="472"/>
        <v>0</v>
      </c>
      <c r="AM74" s="244">
        <f t="shared" si="472"/>
        <v>0</v>
      </c>
      <c r="AN74" s="305">
        <f t="shared" si="472"/>
        <v>0</v>
      </c>
      <c r="AO74" s="305">
        <f t="shared" si="452"/>
        <v>0</v>
      </c>
      <c r="AP74" s="305">
        <f t="shared" si="453"/>
        <v>0</v>
      </c>
      <c r="AQ74" s="305">
        <f t="shared" si="453"/>
        <v>14495</v>
      </c>
      <c r="AR74" s="305">
        <v>894.66</v>
      </c>
      <c r="AS74" s="305">
        <v>0</v>
      </c>
      <c r="AT74" s="305">
        <f>IF(AT$69=$E74,SUM(AD74:AG74),0)</f>
        <v>0</v>
      </c>
      <c r="AU74" s="305">
        <v>0</v>
      </c>
      <c r="AV74" s="305">
        <f>IF(AV$69=$E74,SUM(AF74:AI74),0)</f>
        <v>0</v>
      </c>
      <c r="AW74" s="244">
        <f>IF(AW$69=$E74,SUM(AG74:AJ74),0)</f>
        <v>0</v>
      </c>
      <c r="AX74" s="244">
        <f>IF(AX$69=$E74,SUM(AH74:AK74),0)</f>
        <v>0</v>
      </c>
      <c r="AY74" s="244">
        <v>0</v>
      </c>
      <c r="AZ74" s="244">
        <f>IF(AZ$69=$E74,SUM(AJ74:AM74),0)</f>
        <v>0</v>
      </c>
      <c r="BA74" s="244">
        <f>IF(BA$69=$E74,SUM(AK74:$AM74),0)</f>
        <v>0</v>
      </c>
      <c r="BB74" s="244">
        <f>IF(BB$69=$E74,SUM(AL74:$AM74),0)</f>
        <v>0</v>
      </c>
      <c r="BC74" s="244">
        <v>0</v>
      </c>
      <c r="BD74" s="305">
        <v>0</v>
      </c>
      <c r="BE74" s="367">
        <f t="shared" si="17"/>
        <v>0</v>
      </c>
    </row>
    <row r="75" spans="1:57" ht="14.45" customHeight="1" x14ac:dyDescent="0.25">
      <c r="A75" t="s">
        <v>160</v>
      </c>
      <c r="B75" s="259"/>
      <c r="D75" s="342">
        <f t="shared" si="455"/>
        <v>146940.43</v>
      </c>
      <c r="E75" s="337" t="s">
        <v>212</v>
      </c>
      <c r="F75" s="337"/>
      <c r="G75" s="341">
        <v>6666.67</v>
      </c>
      <c r="H75" s="372">
        <v>10500</v>
      </c>
      <c r="I75" s="341">
        <v>10500</v>
      </c>
      <c r="J75" s="341">
        <v>11489.28</v>
      </c>
      <c r="K75" s="341">
        <v>11130.24</v>
      </c>
      <c r="L75" s="341">
        <v>6103.68</v>
      </c>
      <c r="M75" s="341">
        <f>10500-3949.44</f>
        <v>6550.5599999999995</v>
      </c>
      <c r="N75" s="341">
        <v>10500</v>
      </c>
      <c r="O75" s="341">
        <v>10500</v>
      </c>
      <c r="P75" s="341">
        <v>10500</v>
      </c>
      <c r="Q75" s="341">
        <v>10500</v>
      </c>
      <c r="R75" s="341">
        <v>10500</v>
      </c>
      <c r="S75" s="341">
        <v>10500</v>
      </c>
      <c r="T75" s="341">
        <v>10500</v>
      </c>
      <c r="U75" s="341">
        <v>10500</v>
      </c>
      <c r="V75" s="349">
        <f t="shared" si="451"/>
        <v>146940.43</v>
      </c>
      <c r="W75" s="300"/>
      <c r="X75" s="300"/>
      <c r="Y75" s="305">
        <f t="shared" si="448"/>
        <v>0</v>
      </c>
      <c r="Z75" s="305">
        <f t="shared" si="472"/>
        <v>6666.67</v>
      </c>
      <c r="AA75" s="305">
        <f t="shared" si="472"/>
        <v>10500</v>
      </c>
      <c r="AB75" s="305">
        <f t="shared" si="472"/>
        <v>10500</v>
      </c>
      <c r="AC75" s="305">
        <f t="shared" si="472"/>
        <v>11489.28</v>
      </c>
      <c r="AD75" s="305">
        <f t="shared" si="472"/>
        <v>11130.24</v>
      </c>
      <c r="AE75" s="305">
        <f t="shared" si="472"/>
        <v>6103.68</v>
      </c>
      <c r="AF75" s="305">
        <f t="shared" si="472"/>
        <v>6550.5599999999995</v>
      </c>
      <c r="AG75" s="305">
        <f t="shared" si="472"/>
        <v>10500</v>
      </c>
      <c r="AH75" s="305">
        <f t="shared" si="472"/>
        <v>10500</v>
      </c>
      <c r="AI75" s="305">
        <f t="shared" si="472"/>
        <v>10500</v>
      </c>
      <c r="AJ75" s="305">
        <f t="shared" si="472"/>
        <v>10500</v>
      </c>
      <c r="AK75" s="305">
        <f t="shared" si="472"/>
        <v>10500</v>
      </c>
      <c r="AL75" s="305">
        <f t="shared" si="472"/>
        <v>10500</v>
      </c>
      <c r="AM75" s="244">
        <f t="shared" si="472"/>
        <v>10500</v>
      </c>
      <c r="AN75" s="305">
        <f t="shared" si="472"/>
        <v>10500</v>
      </c>
      <c r="AO75" s="305">
        <f t="shared" si="452"/>
        <v>0</v>
      </c>
      <c r="AP75" s="305">
        <v>42000</v>
      </c>
      <c r="AQ75" s="305">
        <f t="shared" si="453"/>
        <v>0</v>
      </c>
      <c r="AR75" s="305">
        <v>7000</v>
      </c>
      <c r="AS75" s="305">
        <f>IF(AS$69=$E75,SUM(AC75:AF75),0)</f>
        <v>0</v>
      </c>
      <c r="AT75" s="305">
        <v>3440.43</v>
      </c>
      <c r="AU75" s="305">
        <v>3949.44</v>
      </c>
      <c r="AV75" s="305">
        <v>42000</v>
      </c>
      <c r="AW75" s="244">
        <f>IF(AW$69=$E75,SUM(AG75:AJ75),0)</f>
        <v>0</v>
      </c>
      <c r="AX75" s="244">
        <v>0</v>
      </c>
      <c r="AY75" s="244">
        <v>0</v>
      </c>
      <c r="AZ75" s="244">
        <v>42000</v>
      </c>
      <c r="BA75" s="244">
        <f>IF(BA$69=$E75,SUM(AK75:$AM75),0)</f>
        <v>0</v>
      </c>
      <c r="BB75" s="244">
        <v>0</v>
      </c>
      <c r="BC75" s="244">
        <v>0</v>
      </c>
      <c r="BD75" s="305">
        <v>6550.56</v>
      </c>
      <c r="BE75" s="367">
        <f>SUM(Y75:AN75)-SUM(AO75:BD75)</f>
        <v>0</v>
      </c>
    </row>
    <row r="76" spans="1:57" ht="14.45" customHeight="1" x14ac:dyDescent="0.25">
      <c r="A76" t="s">
        <v>160</v>
      </c>
      <c r="B76" s="259"/>
      <c r="D76" s="342">
        <f t="shared" si="455"/>
        <v>94645.92</v>
      </c>
      <c r="E76" s="337" t="s">
        <v>212</v>
      </c>
      <c r="F76" s="337"/>
      <c r="G76" s="341">
        <v>1760</v>
      </c>
      <c r="H76" s="372">
        <v>4400</v>
      </c>
      <c r="I76" s="341">
        <v>0</v>
      </c>
      <c r="J76" s="341">
        <v>8981.92</v>
      </c>
      <c r="K76" s="341">
        <v>7628.48</v>
      </c>
      <c r="L76" s="341">
        <v>7075.52</v>
      </c>
      <c r="M76" s="341">
        <v>7200</v>
      </c>
      <c r="N76" s="341">
        <v>7200</v>
      </c>
      <c r="O76" s="341">
        <v>7200</v>
      </c>
      <c r="P76" s="341">
        <v>7200</v>
      </c>
      <c r="Q76" s="341">
        <v>7200</v>
      </c>
      <c r="R76" s="341">
        <v>7200</v>
      </c>
      <c r="S76" s="341">
        <v>7200</v>
      </c>
      <c r="T76" s="341">
        <v>7200</v>
      </c>
      <c r="U76" s="341">
        <v>7200</v>
      </c>
      <c r="V76" s="349">
        <f t="shared" si="451"/>
        <v>94645.92</v>
      </c>
      <c r="W76" s="300"/>
      <c r="X76" s="300"/>
      <c r="Y76" s="305">
        <f t="shared" si="448"/>
        <v>0</v>
      </c>
      <c r="Z76" s="305">
        <f t="shared" si="472"/>
        <v>1760</v>
      </c>
      <c r="AA76" s="305">
        <f t="shared" si="472"/>
        <v>4400</v>
      </c>
      <c r="AB76" s="305">
        <f t="shared" si="472"/>
        <v>0</v>
      </c>
      <c r="AC76" s="305">
        <f t="shared" si="472"/>
        <v>8981.92</v>
      </c>
      <c r="AD76" s="305">
        <f t="shared" si="472"/>
        <v>7628.48</v>
      </c>
      <c r="AE76" s="305">
        <f t="shared" si="472"/>
        <v>7075.52</v>
      </c>
      <c r="AF76" s="305">
        <f t="shared" si="472"/>
        <v>7200</v>
      </c>
      <c r="AG76" s="305">
        <f t="shared" si="472"/>
        <v>7200</v>
      </c>
      <c r="AH76" s="305">
        <f t="shared" si="472"/>
        <v>7200</v>
      </c>
      <c r="AI76" s="305">
        <f t="shared" si="472"/>
        <v>7200</v>
      </c>
      <c r="AJ76" s="305">
        <f t="shared" si="472"/>
        <v>7200</v>
      </c>
      <c r="AK76" s="305">
        <f t="shared" si="472"/>
        <v>7200</v>
      </c>
      <c r="AL76" s="305">
        <f t="shared" si="472"/>
        <v>7200</v>
      </c>
      <c r="AM76" s="244">
        <f t="shared" si="472"/>
        <v>7200</v>
      </c>
      <c r="AN76" s="305">
        <f t="shared" si="472"/>
        <v>7200</v>
      </c>
      <c r="AO76" s="305">
        <f t="shared" si="452"/>
        <v>0</v>
      </c>
      <c r="AP76" s="305">
        <v>6160</v>
      </c>
      <c r="AQ76" s="305">
        <f t="shared" si="453"/>
        <v>0</v>
      </c>
      <c r="AR76" s="305">
        <v>29991</v>
      </c>
      <c r="AS76" s="305">
        <f>IF(AS$69=$E76,SUM(AC76:AF76),0)</f>
        <v>0</v>
      </c>
      <c r="AT76" s="305">
        <v>0</v>
      </c>
      <c r="AU76" s="305">
        <f>IF(AU$69=$E76,SUM(AE76:AH76),0)</f>
        <v>0</v>
      </c>
      <c r="AV76" s="305">
        <v>28800</v>
      </c>
      <c r="AW76" s="244">
        <f>IF(AW$69=$E76,SUM(AG76:AJ76),0)</f>
        <v>0</v>
      </c>
      <c r="AX76" s="244">
        <v>0</v>
      </c>
      <c r="AY76" s="244">
        <f>IF(AY$69=$E76,SUM(AI76:AL76),0)</f>
        <v>0</v>
      </c>
      <c r="AZ76" s="244">
        <v>28800</v>
      </c>
      <c r="BA76" s="244">
        <v>0</v>
      </c>
      <c r="BB76" s="244">
        <v>0</v>
      </c>
      <c r="BC76" s="244">
        <v>0</v>
      </c>
      <c r="BD76" s="305">
        <v>894.92</v>
      </c>
      <c r="BE76" s="366">
        <f t="shared" si="17"/>
        <v>0</v>
      </c>
    </row>
    <row r="77" spans="1:57" ht="14.45" customHeight="1" x14ac:dyDescent="0.25">
      <c r="A77" t="s">
        <v>160</v>
      </c>
      <c r="B77" s="259"/>
      <c r="D77" s="342">
        <f t="shared" si="455"/>
        <v>101969.44</v>
      </c>
      <c r="E77" s="337" t="s">
        <v>212</v>
      </c>
      <c r="F77" s="337"/>
      <c r="G77" s="341">
        <v>1760</v>
      </c>
      <c r="H77" s="372">
        <f>2200*3</f>
        <v>6600</v>
      </c>
      <c r="I77" s="341">
        <f t="shared" ref="I77" si="473">2200*3</f>
        <v>6600</v>
      </c>
      <c r="J77" s="341">
        <v>7874.56</v>
      </c>
      <c r="K77" s="341">
        <v>7628.48</v>
      </c>
      <c r="L77" s="341">
        <v>6706.4</v>
      </c>
      <c r="M77" s="341">
        <v>7200</v>
      </c>
      <c r="N77" s="341">
        <v>7200</v>
      </c>
      <c r="O77" s="341">
        <v>7200</v>
      </c>
      <c r="P77" s="341">
        <v>7200</v>
      </c>
      <c r="Q77" s="341">
        <v>7200</v>
      </c>
      <c r="R77" s="341">
        <v>7200</v>
      </c>
      <c r="S77" s="341">
        <v>7200</v>
      </c>
      <c r="T77" s="341">
        <v>7200</v>
      </c>
      <c r="U77" s="341">
        <v>7200</v>
      </c>
      <c r="V77" s="349">
        <f t="shared" si="451"/>
        <v>101969.44</v>
      </c>
      <c r="W77" s="300"/>
      <c r="X77" s="300"/>
      <c r="Y77" s="305">
        <f t="shared" si="448"/>
        <v>0</v>
      </c>
      <c r="Z77" s="305">
        <f t="shared" si="472"/>
        <v>1760</v>
      </c>
      <c r="AA77" s="305">
        <f t="shared" si="472"/>
        <v>6600</v>
      </c>
      <c r="AB77" s="305">
        <f t="shared" si="472"/>
        <v>6600</v>
      </c>
      <c r="AC77" s="305">
        <f t="shared" si="472"/>
        <v>7874.56</v>
      </c>
      <c r="AD77" s="305">
        <f t="shared" si="472"/>
        <v>7628.48</v>
      </c>
      <c r="AE77" s="305">
        <f t="shared" si="472"/>
        <v>6706.4</v>
      </c>
      <c r="AF77" s="305">
        <f t="shared" si="472"/>
        <v>7200</v>
      </c>
      <c r="AG77" s="305">
        <f t="shared" si="472"/>
        <v>7200</v>
      </c>
      <c r="AH77" s="305">
        <f t="shared" si="472"/>
        <v>7200</v>
      </c>
      <c r="AI77" s="305">
        <f t="shared" si="472"/>
        <v>7200</v>
      </c>
      <c r="AJ77" s="305">
        <f t="shared" si="472"/>
        <v>7200</v>
      </c>
      <c r="AK77" s="305">
        <f t="shared" si="472"/>
        <v>7200</v>
      </c>
      <c r="AL77" s="305">
        <f t="shared" si="472"/>
        <v>7200</v>
      </c>
      <c r="AM77" s="244">
        <f t="shared" si="472"/>
        <v>7200</v>
      </c>
      <c r="AN77" s="305">
        <f t="shared" si="472"/>
        <v>7200</v>
      </c>
      <c r="AO77" s="305">
        <f t="shared" si="452"/>
        <v>0</v>
      </c>
      <c r="AP77" s="305">
        <v>32185.599999999999</v>
      </c>
      <c r="AQ77" s="305">
        <f t="shared" si="453"/>
        <v>0</v>
      </c>
      <c r="AR77" s="305">
        <f t="shared" si="453"/>
        <v>0</v>
      </c>
      <c r="AS77" s="305">
        <f>IF(AS$69=$E77,SUM(AC77:AF77),0)</f>
        <v>0</v>
      </c>
      <c r="AT77" s="305">
        <v>0</v>
      </c>
      <c r="AU77" s="305">
        <v>29991</v>
      </c>
      <c r="AV77" s="305">
        <f>IF(AV$69=$E77,SUM(AF77:AI77),0)</f>
        <v>0</v>
      </c>
      <c r="AW77" s="244">
        <f>IF(AW$69=$E77,SUM(AG77:AJ77),0)</f>
        <v>0</v>
      </c>
      <c r="AX77" s="244">
        <v>0</v>
      </c>
      <c r="AY77" s="244">
        <v>28800</v>
      </c>
      <c r="AZ77" s="244">
        <f>IF(AZ$69=$E77,SUM(AJ77:AM77),0)</f>
        <v>0</v>
      </c>
      <c r="BA77" s="244">
        <f>IF(BA$69=$E77,SUM(AK77:$AM77),0)</f>
        <v>0</v>
      </c>
      <c r="BB77" s="305">
        <v>0</v>
      </c>
      <c r="BC77" s="244">
        <v>10992.84</v>
      </c>
      <c r="BD77" s="305">
        <v>0</v>
      </c>
      <c r="BE77" s="366">
        <f t="shared" si="17"/>
        <v>0</v>
      </c>
    </row>
    <row r="78" spans="1:57" s="300" customFormat="1" ht="14.45" customHeight="1" x14ac:dyDescent="0.25">
      <c r="A78" s="300" t="s">
        <v>160</v>
      </c>
      <c r="B78" s="259"/>
      <c r="D78" s="342">
        <f t="shared" si="455"/>
        <v>73742.8</v>
      </c>
      <c r="E78" s="337" t="s">
        <v>216</v>
      </c>
      <c r="F78" s="337"/>
      <c r="G78" s="341"/>
      <c r="H78" s="372"/>
      <c r="I78" s="341">
        <v>2666.56</v>
      </c>
      <c r="J78" s="341">
        <v>4615.2</v>
      </c>
      <c r="K78" s="341">
        <v>6230.52</v>
      </c>
      <c r="L78" s="341">
        <v>6230.52</v>
      </c>
      <c r="M78" s="341">
        <v>6000</v>
      </c>
      <c r="N78" s="341">
        <v>6000</v>
      </c>
      <c r="O78" s="341">
        <v>6000</v>
      </c>
      <c r="P78" s="341">
        <v>6000</v>
      </c>
      <c r="Q78" s="341">
        <v>6000</v>
      </c>
      <c r="R78" s="341">
        <v>6000</v>
      </c>
      <c r="S78" s="341">
        <v>6000</v>
      </c>
      <c r="T78" s="341">
        <v>6000</v>
      </c>
      <c r="U78" s="341">
        <v>6000</v>
      </c>
      <c r="V78" s="349">
        <f t="shared" si="451"/>
        <v>73742.8</v>
      </c>
      <c r="Y78" s="305">
        <f t="shared" ref="Y78:Y79" si="474">F78</f>
        <v>0</v>
      </c>
      <c r="Z78" s="305">
        <f t="shared" ref="Z78:Z79" si="475">G78</f>
        <v>0</v>
      </c>
      <c r="AA78" s="305">
        <f t="shared" ref="AA78:AA79" si="476">H78</f>
        <v>0</v>
      </c>
      <c r="AB78" s="305">
        <f t="shared" ref="AB78:AB79" si="477">I78</f>
        <v>2666.56</v>
      </c>
      <c r="AC78" s="305">
        <f t="shared" ref="AC78:AC79" si="478">J78</f>
        <v>4615.2</v>
      </c>
      <c r="AD78" s="305">
        <f t="shared" ref="AD78:AD79" si="479">K78</f>
        <v>6230.52</v>
      </c>
      <c r="AE78" s="305">
        <f t="shared" ref="AE78:AE79" si="480">L78</f>
        <v>6230.52</v>
      </c>
      <c r="AF78" s="305">
        <f t="shared" ref="AF78:AF79" si="481">M78</f>
        <v>6000</v>
      </c>
      <c r="AG78" s="305">
        <f t="shared" ref="AG78:AG79" si="482">N78</f>
        <v>6000</v>
      </c>
      <c r="AH78" s="305">
        <f t="shared" ref="AH78:AH79" si="483">O78</f>
        <v>6000</v>
      </c>
      <c r="AI78" s="305">
        <f t="shared" ref="AI78:AI79" si="484">P78</f>
        <v>6000</v>
      </c>
      <c r="AJ78" s="305">
        <f t="shared" ref="AJ78:AJ79" si="485">Q78</f>
        <v>6000</v>
      </c>
      <c r="AK78" s="305">
        <f t="shared" ref="AK78:AK79" si="486">R78</f>
        <v>6000</v>
      </c>
      <c r="AL78" s="305">
        <f t="shared" ref="AL78:AL79" si="487">S78</f>
        <v>6000</v>
      </c>
      <c r="AM78" s="305">
        <f t="shared" ref="AM78:AN79" si="488">T78</f>
        <v>6000</v>
      </c>
      <c r="AN78" s="305">
        <f t="shared" si="488"/>
        <v>6000</v>
      </c>
      <c r="AO78" s="305">
        <f t="shared" ref="AO78:AO80" si="489">IF(AO$69=$E78,SUM(Y78:AB78),0)</f>
        <v>0</v>
      </c>
      <c r="AP78" s="305">
        <f t="shared" ref="AP78:AP80" si="490">IF(AP$69=$E78,SUM(Z78:AC78),0)</f>
        <v>0</v>
      </c>
      <c r="AQ78" s="305">
        <f t="shared" ref="AQ78" si="491">IF(AQ$69=$E78,SUM(AA78:AD78),0)</f>
        <v>0</v>
      </c>
      <c r="AR78" s="305">
        <v>3384.48</v>
      </c>
      <c r="AS78" s="305">
        <v>24999</v>
      </c>
      <c r="AT78" s="305">
        <f t="shared" ref="AT78:AT79" si="492">IF(AT$69=$E78,SUM(AD78:AG78),0)</f>
        <v>0</v>
      </c>
      <c r="AU78" s="305">
        <f>IF(AU$69=$E78,SUM(AE78:AH78),0)</f>
        <v>0</v>
      </c>
      <c r="AV78" s="305">
        <v>0</v>
      </c>
      <c r="AW78" s="305">
        <v>24000</v>
      </c>
      <c r="AX78" s="305">
        <f t="shared" ref="AX78:AX79" si="493">IF(AX$69=$E78,SUM(AH78:AK78),0)</f>
        <v>0</v>
      </c>
      <c r="AY78" s="305">
        <f t="shared" ref="AY78:AY79" si="494">IF(AY$69=$E78,SUM(AI78:AL78),0)</f>
        <v>0</v>
      </c>
      <c r="AZ78" s="305">
        <v>0</v>
      </c>
      <c r="BA78" s="305">
        <v>18000</v>
      </c>
      <c r="BB78" s="305">
        <f>IF(BB$69=$E78,SUM(AL78:$AM78),0)</f>
        <v>0</v>
      </c>
      <c r="BC78" s="305">
        <f>IF(BC$69=$E78,SUM(AM78:$AM78),0)</f>
        <v>0</v>
      </c>
      <c r="BD78" s="305">
        <v>3359.32</v>
      </c>
      <c r="BE78" s="366">
        <f t="shared" si="17"/>
        <v>0</v>
      </c>
    </row>
    <row r="79" spans="1:57" s="300" customFormat="1" ht="14.45" customHeight="1" x14ac:dyDescent="0.25">
      <c r="A79" s="300" t="s">
        <v>163</v>
      </c>
      <c r="B79" s="259"/>
      <c r="D79" s="342">
        <f t="shared" si="455"/>
        <v>9999</v>
      </c>
      <c r="E79" s="337" t="s">
        <v>184</v>
      </c>
      <c r="F79" s="337"/>
      <c r="G79" s="341"/>
      <c r="H79" s="372"/>
      <c r="I79" s="341" t="s">
        <v>121</v>
      </c>
      <c r="J79" s="341"/>
      <c r="K79" s="341">
        <v>0</v>
      </c>
      <c r="L79" s="341">
        <v>0</v>
      </c>
      <c r="M79" s="341">
        <v>9999</v>
      </c>
      <c r="N79" s="341"/>
      <c r="O79" s="341"/>
      <c r="P79" s="341"/>
      <c r="Q79" s="341"/>
      <c r="R79" s="341"/>
      <c r="S79" s="341"/>
      <c r="T79" s="341"/>
      <c r="U79" s="341"/>
      <c r="V79" s="349">
        <f t="shared" si="451"/>
        <v>9999</v>
      </c>
      <c r="Y79" s="305">
        <f t="shared" si="474"/>
        <v>0</v>
      </c>
      <c r="Z79" s="305">
        <f t="shared" si="475"/>
        <v>0</v>
      </c>
      <c r="AA79" s="305">
        <f t="shared" si="476"/>
        <v>0</v>
      </c>
      <c r="AB79" s="305" t="str">
        <f t="shared" si="477"/>
        <v xml:space="preserve"> </v>
      </c>
      <c r="AC79" s="305">
        <f t="shared" si="478"/>
        <v>0</v>
      </c>
      <c r="AD79" s="305">
        <f t="shared" si="479"/>
        <v>0</v>
      </c>
      <c r="AE79" s="305">
        <f t="shared" si="480"/>
        <v>0</v>
      </c>
      <c r="AF79" s="305">
        <f t="shared" si="481"/>
        <v>9999</v>
      </c>
      <c r="AG79" s="305">
        <f t="shared" si="482"/>
        <v>0</v>
      </c>
      <c r="AH79" s="305">
        <f t="shared" si="483"/>
        <v>0</v>
      </c>
      <c r="AI79" s="305">
        <f t="shared" si="484"/>
        <v>0</v>
      </c>
      <c r="AJ79" s="305">
        <f t="shared" si="485"/>
        <v>0</v>
      </c>
      <c r="AK79" s="305">
        <f t="shared" si="486"/>
        <v>0</v>
      </c>
      <c r="AL79" s="305">
        <f t="shared" si="487"/>
        <v>0</v>
      </c>
      <c r="AM79" s="305">
        <f t="shared" si="488"/>
        <v>0</v>
      </c>
      <c r="AN79" s="305">
        <f t="shared" si="488"/>
        <v>0</v>
      </c>
      <c r="AO79" s="305">
        <f t="shared" si="489"/>
        <v>0</v>
      </c>
      <c r="AP79" s="305">
        <f t="shared" si="490"/>
        <v>0</v>
      </c>
      <c r="AQ79" s="305">
        <v>9999</v>
      </c>
      <c r="AR79" s="305">
        <f t="shared" ref="AR79" si="495">IF(AR$69=$E79,SUM(AB79:AE79),0)</f>
        <v>0</v>
      </c>
      <c r="AS79" s="305">
        <f t="shared" ref="AS79" si="496">IF(AS$69=$E79,SUM(AC79:AF79),0)</f>
        <v>0</v>
      </c>
      <c r="AT79" s="305">
        <f t="shared" si="492"/>
        <v>0</v>
      </c>
      <c r="AU79" s="305">
        <v>0</v>
      </c>
      <c r="AV79" s="305">
        <f t="shared" ref="AV79" si="497">IF(AV$69=$E79,SUM(AF79:AI79),0)</f>
        <v>0</v>
      </c>
      <c r="AW79" s="305">
        <f t="shared" ref="AW79" si="498">IF(AW$69=$E79,SUM(AG79:AJ79),0)</f>
        <v>0</v>
      </c>
      <c r="AX79" s="305">
        <f t="shared" si="493"/>
        <v>0</v>
      </c>
      <c r="AY79" s="305">
        <f t="shared" si="494"/>
        <v>0</v>
      </c>
      <c r="AZ79" s="305">
        <f t="shared" ref="AZ79" si="499">IF(AZ$69=$E79,SUM(AJ79:AM79),0)</f>
        <v>0</v>
      </c>
      <c r="BA79" s="305">
        <f>IF(BA$69=$E79,SUM(AK79:$AM79),0)</f>
        <v>0</v>
      </c>
      <c r="BB79" s="305">
        <f>IF(BB$69=$E79,SUM(AL79:$AM79),0)</f>
        <v>0</v>
      </c>
      <c r="BC79" s="305">
        <f>IF(BC$69=$E79,SUM(AM79:$AM79),0)</f>
        <v>0</v>
      </c>
      <c r="BD79" s="305">
        <f>IF(BD$69=$E79,SUM($AM79:AN79),0)</f>
        <v>0</v>
      </c>
      <c r="BE79" s="366">
        <f t="shared" si="17"/>
        <v>0</v>
      </c>
    </row>
    <row r="80" spans="1:57" s="300" customFormat="1" ht="14.45" customHeight="1" x14ac:dyDescent="0.25">
      <c r="A80" s="300" t="s">
        <v>148</v>
      </c>
      <c r="B80" s="248"/>
      <c r="C80" s="250"/>
      <c r="D80" s="374">
        <v>6000</v>
      </c>
      <c r="E80" s="250" t="s">
        <v>238</v>
      </c>
      <c r="F80" s="355"/>
      <c r="G80" s="355"/>
      <c r="H80" s="355"/>
      <c r="I80" s="337"/>
      <c r="J80" s="337"/>
      <c r="K80" s="338">
        <v>0</v>
      </c>
      <c r="L80" s="338">
        <v>0</v>
      </c>
      <c r="M80" s="338">
        <v>1</v>
      </c>
      <c r="N80" s="338">
        <v>0</v>
      </c>
      <c r="O80" s="338">
        <v>0</v>
      </c>
      <c r="P80" s="338">
        <v>0</v>
      </c>
      <c r="Q80" s="338">
        <v>0</v>
      </c>
      <c r="R80" s="338">
        <v>0</v>
      </c>
      <c r="S80" s="338">
        <v>0</v>
      </c>
      <c r="T80" s="338">
        <v>0</v>
      </c>
      <c r="U80" s="338">
        <v>0</v>
      </c>
      <c r="V80" s="368">
        <f t="shared" si="451"/>
        <v>1</v>
      </c>
      <c r="Y80" s="305">
        <f t="shared" ref="Y80" si="500">F80*$D80</f>
        <v>0</v>
      </c>
      <c r="Z80" s="305">
        <f t="shared" ref="Z80" si="501">G80*$D80</f>
        <v>0</v>
      </c>
      <c r="AA80" s="305">
        <f t="shared" ref="AA80" si="502">H80*$D80</f>
        <v>0</v>
      </c>
      <c r="AB80" s="305">
        <f t="shared" ref="AB80" si="503">I80*$D80</f>
        <v>0</v>
      </c>
      <c r="AC80" s="305">
        <f t="shared" ref="AC80" si="504">J80*$D80</f>
        <v>0</v>
      </c>
      <c r="AD80" s="305">
        <f t="shared" ref="AD80" si="505">K80*$D80</f>
        <v>0</v>
      </c>
      <c r="AE80" s="305">
        <f t="shared" ref="AE80" si="506">L80*$D80</f>
        <v>0</v>
      </c>
      <c r="AF80" s="305">
        <f t="shared" ref="AF80" si="507">M80*$D80</f>
        <v>6000</v>
      </c>
      <c r="AG80" s="305">
        <f t="shared" ref="AG80" si="508">N80*$D80</f>
        <v>0</v>
      </c>
      <c r="AH80" s="305">
        <f t="shared" ref="AH80" si="509">O80*$D80</f>
        <v>0</v>
      </c>
      <c r="AI80" s="305">
        <f t="shared" ref="AI80" si="510">P80*$D80</f>
        <v>0</v>
      </c>
      <c r="AJ80" s="305">
        <f t="shared" ref="AJ80" si="511">Q80*$D80</f>
        <v>0</v>
      </c>
      <c r="AK80" s="305">
        <f t="shared" ref="AK80" si="512">R80*$D80</f>
        <v>0</v>
      </c>
      <c r="AL80" s="305">
        <f t="shared" ref="AL80" si="513">S80*$D80</f>
        <v>0</v>
      </c>
      <c r="AM80" s="305">
        <f t="shared" ref="AM80" si="514">T80*$D80</f>
        <v>0</v>
      </c>
      <c r="AN80" s="305">
        <f t="shared" ref="AN80" si="515">U80*$D80</f>
        <v>0</v>
      </c>
      <c r="AO80" s="305">
        <f t="shared" si="489"/>
        <v>0</v>
      </c>
      <c r="AP80" s="305">
        <f t="shared" si="490"/>
        <v>0</v>
      </c>
      <c r="AQ80" s="305">
        <f t="shared" ref="AQ80:BD80" si="516">IF(AQ$3=$E80,$D80,0)</f>
        <v>0</v>
      </c>
      <c r="AR80" s="305">
        <f t="shared" si="516"/>
        <v>0</v>
      </c>
      <c r="AS80" s="305">
        <f t="shared" si="516"/>
        <v>0</v>
      </c>
      <c r="AT80" s="305">
        <f t="shared" si="516"/>
        <v>0</v>
      </c>
      <c r="AU80" s="305">
        <f t="shared" si="516"/>
        <v>0</v>
      </c>
      <c r="AV80" s="305">
        <f t="shared" si="516"/>
        <v>6000</v>
      </c>
      <c r="AW80" s="305">
        <f t="shared" si="516"/>
        <v>0</v>
      </c>
      <c r="AX80" s="305">
        <f t="shared" si="516"/>
        <v>0</v>
      </c>
      <c r="AY80" s="305">
        <f t="shared" si="516"/>
        <v>0</v>
      </c>
      <c r="AZ80" s="305">
        <f t="shared" si="516"/>
        <v>0</v>
      </c>
      <c r="BA80" s="305">
        <f t="shared" si="516"/>
        <v>0</v>
      </c>
      <c r="BB80" s="305">
        <f t="shared" si="516"/>
        <v>0</v>
      </c>
      <c r="BC80" s="305">
        <f t="shared" si="516"/>
        <v>0</v>
      </c>
      <c r="BD80" s="305">
        <f t="shared" si="516"/>
        <v>0</v>
      </c>
      <c r="BE80" s="304">
        <f t="shared" ref="BE80" si="517">SUM(Y80:AN80)-SUM(AO80:BD80)</f>
        <v>0</v>
      </c>
    </row>
    <row r="81" spans="1:57" ht="14.45" customHeight="1" x14ac:dyDescent="0.25">
      <c r="A81" t="s">
        <v>148</v>
      </c>
      <c r="B81" s="248"/>
      <c r="D81" s="342">
        <f t="shared" si="455"/>
        <v>100658</v>
      </c>
      <c r="E81" s="337" t="s">
        <v>216</v>
      </c>
      <c r="F81" s="250"/>
      <c r="G81" s="349"/>
      <c r="H81" s="373"/>
      <c r="I81" s="349">
        <v>0</v>
      </c>
      <c r="J81" s="349">
        <v>8041.6</v>
      </c>
      <c r="K81" s="349">
        <v>8903.2000000000007</v>
      </c>
      <c r="L81" s="349">
        <v>8113.2</v>
      </c>
      <c r="M81" s="349">
        <v>8700</v>
      </c>
      <c r="N81" s="349">
        <v>8100</v>
      </c>
      <c r="O81" s="349">
        <v>8400</v>
      </c>
      <c r="P81" s="349">
        <v>8400</v>
      </c>
      <c r="Q81" s="349">
        <v>8400</v>
      </c>
      <c r="R81" s="349">
        <v>8400</v>
      </c>
      <c r="S81" s="349">
        <v>8400</v>
      </c>
      <c r="T81" s="349">
        <v>8400</v>
      </c>
      <c r="U81" s="349">
        <v>8400</v>
      </c>
      <c r="V81" s="349">
        <f>SUM(F81:U81)</f>
        <v>100658</v>
      </c>
      <c r="W81" s="300"/>
      <c r="X81" s="300"/>
      <c r="Y81" s="305">
        <f t="shared" si="448"/>
        <v>0</v>
      </c>
      <c r="Z81" s="305">
        <f t="shared" ref="Z81:AM81" si="518">G81</f>
        <v>0</v>
      </c>
      <c r="AA81" s="305">
        <f t="shared" si="518"/>
        <v>0</v>
      </c>
      <c r="AB81" s="305">
        <f t="shared" si="518"/>
        <v>0</v>
      </c>
      <c r="AC81" s="305">
        <f t="shared" si="518"/>
        <v>8041.6</v>
      </c>
      <c r="AD81" s="305">
        <f t="shared" si="518"/>
        <v>8903.2000000000007</v>
      </c>
      <c r="AE81" s="305">
        <f t="shared" si="518"/>
        <v>8113.2</v>
      </c>
      <c r="AF81" s="305">
        <f t="shared" si="518"/>
        <v>8700</v>
      </c>
      <c r="AG81" s="305">
        <f t="shared" si="518"/>
        <v>8100</v>
      </c>
      <c r="AH81" s="305">
        <f t="shared" si="518"/>
        <v>8400</v>
      </c>
      <c r="AI81" s="305">
        <f t="shared" si="518"/>
        <v>8400</v>
      </c>
      <c r="AJ81" s="305">
        <f t="shared" si="518"/>
        <v>8400</v>
      </c>
      <c r="AK81" s="305">
        <f t="shared" si="518"/>
        <v>8400</v>
      </c>
      <c r="AL81" s="305">
        <f t="shared" si="518"/>
        <v>8400</v>
      </c>
      <c r="AM81" s="244">
        <f t="shared" si="518"/>
        <v>8400</v>
      </c>
      <c r="AN81" s="305">
        <v>0</v>
      </c>
      <c r="AO81" s="305">
        <f t="shared" si="452"/>
        <v>0</v>
      </c>
      <c r="AP81" s="305">
        <f>IF(AP$69=$E81,SUM(Z81:AC81),0)</f>
        <v>0</v>
      </c>
      <c r="AQ81" s="305">
        <f>IF(AQ$69=$E81,SUM(AA81:AD81),0)</f>
        <v>0</v>
      </c>
      <c r="AR81" s="305">
        <v>35002.5</v>
      </c>
      <c r="AS81" s="305">
        <f>IF(AS$69=$E81,SUM(AC81:AF81),0)</f>
        <v>0</v>
      </c>
      <c r="AT81" s="305">
        <f>IF(AT$69=$E81,SUM(AD81:AG81),0)</f>
        <v>0</v>
      </c>
      <c r="AU81" s="305">
        <f>IF(AU$69=$E81,SUM(AE81:AH81),0)</f>
        <v>0</v>
      </c>
      <c r="AV81" s="305">
        <v>35002.5</v>
      </c>
      <c r="AW81" s="244">
        <f>IF(AW$69=$E81,SUM(AG81:AJ81),0)</f>
        <v>0</v>
      </c>
      <c r="AX81" s="244">
        <f>IF(AX$69=$E81,SUM(AH81:AK81),0)</f>
        <v>0</v>
      </c>
      <c r="AY81" s="244">
        <f>IF(AY$69=$E81,SUM(AI81:AL81),0)</f>
        <v>0</v>
      </c>
      <c r="AZ81" s="244">
        <v>22253</v>
      </c>
      <c r="BA81" s="244">
        <f>IF(BA$69=$E81,SUM(AK81:$AM81),0)</f>
        <v>0</v>
      </c>
      <c r="BB81" s="244">
        <f>IF(BB$69=$E81,SUM(AL81:$AM81),0)</f>
        <v>0</v>
      </c>
      <c r="BC81" s="244">
        <f>IF(BC$69=$E81,SUM(AM81:$AM81),0)</f>
        <v>0</v>
      </c>
      <c r="BD81" s="305">
        <v>0</v>
      </c>
      <c r="BE81" s="366">
        <f t="shared" ref="BE81:BE85" si="519">SUM(Y81:AN81)-SUM(AO81:BD81)</f>
        <v>0</v>
      </c>
    </row>
    <row r="82" spans="1:57" ht="14.45" customHeight="1" x14ac:dyDescent="0.25">
      <c r="E82" s="250"/>
      <c r="F82" s="250"/>
      <c r="G82" s="349"/>
      <c r="H82" s="373"/>
      <c r="I82" s="349"/>
      <c r="J82" s="349"/>
      <c r="K82" s="349"/>
      <c r="L82" s="349"/>
      <c r="M82" s="349"/>
      <c r="N82" s="349"/>
      <c r="O82" s="349"/>
      <c r="P82" s="349"/>
      <c r="Q82" s="349"/>
      <c r="R82" s="349"/>
      <c r="S82" s="349"/>
      <c r="T82" s="349"/>
      <c r="U82" s="349"/>
      <c r="V82" s="349"/>
      <c r="W82" s="300"/>
      <c r="X82" s="300"/>
      <c r="Y82" s="305"/>
      <c r="Z82" s="305"/>
      <c r="AA82" s="305"/>
      <c r="AB82" s="305"/>
      <c r="AC82" s="305"/>
      <c r="AD82" s="305"/>
      <c r="AE82" s="305"/>
      <c r="AF82" s="242"/>
      <c r="AG82" s="242"/>
      <c r="AH82" s="242"/>
      <c r="AI82" s="242"/>
      <c r="AJ82" s="242"/>
      <c r="AK82" s="242"/>
      <c r="AL82" s="242"/>
      <c r="AM82" s="242"/>
      <c r="AN82" s="242"/>
      <c r="AO82" s="305"/>
      <c r="AP82" s="305"/>
      <c r="AQ82" s="305"/>
      <c r="AR82" s="305"/>
      <c r="AS82" s="305"/>
      <c r="AT82" s="305"/>
      <c r="AU82" s="305"/>
      <c r="AV82" s="305"/>
      <c r="AW82" s="242"/>
      <c r="AX82" s="242"/>
      <c r="AY82" s="242"/>
      <c r="AZ82" s="242"/>
      <c r="BA82" s="242"/>
      <c r="BB82" s="242"/>
      <c r="BC82" s="242"/>
      <c r="BD82" s="242"/>
      <c r="BE82" s="366">
        <f t="shared" si="519"/>
        <v>0</v>
      </c>
    </row>
    <row r="83" spans="1:57" ht="14.45" customHeight="1" x14ac:dyDescent="0.25">
      <c r="A83" s="238" t="s">
        <v>208</v>
      </c>
      <c r="B83" s="238"/>
      <c r="C83" s="238"/>
      <c r="D83" s="238"/>
      <c r="E83" s="250"/>
      <c r="F83" s="250"/>
      <c r="G83" s="349"/>
      <c r="H83" s="373"/>
      <c r="I83" s="349"/>
      <c r="J83" s="349"/>
      <c r="K83" s="349"/>
      <c r="L83" s="349"/>
      <c r="M83" s="349"/>
      <c r="N83" s="349"/>
      <c r="O83" s="349"/>
      <c r="P83" s="349"/>
      <c r="Q83" s="349"/>
      <c r="R83" s="349"/>
      <c r="S83" s="349"/>
      <c r="T83" s="349"/>
      <c r="U83" s="349"/>
      <c r="V83" s="349"/>
      <c r="W83" s="300"/>
      <c r="X83" s="300"/>
      <c r="Y83" s="305"/>
      <c r="Z83" s="305"/>
      <c r="AA83" s="305"/>
      <c r="AB83" s="305"/>
      <c r="AC83" s="305"/>
      <c r="AD83" s="305"/>
      <c r="AE83" s="305"/>
      <c r="AF83" s="242"/>
      <c r="AG83" s="242"/>
      <c r="AH83" s="242"/>
      <c r="AI83" s="242"/>
      <c r="AJ83" s="242"/>
      <c r="AK83" s="242"/>
      <c r="AL83" s="242"/>
      <c r="AM83" s="242"/>
      <c r="AN83" s="242"/>
      <c r="AO83" s="305"/>
      <c r="AP83" s="305"/>
      <c r="AQ83" s="305"/>
      <c r="AR83" s="305"/>
      <c r="AS83" s="305"/>
      <c r="AT83" s="305"/>
      <c r="AU83" s="305"/>
      <c r="AV83" s="305"/>
      <c r="AW83" s="242"/>
      <c r="AX83" s="242"/>
      <c r="AY83" s="242"/>
      <c r="AZ83" s="242"/>
      <c r="BA83" s="242"/>
      <c r="BB83" s="242"/>
      <c r="BC83" s="242"/>
      <c r="BD83" s="242"/>
      <c r="BE83" s="366">
        <f t="shared" si="519"/>
        <v>0</v>
      </c>
    </row>
    <row r="84" spans="1:57" ht="14.45" customHeight="1" x14ac:dyDescent="0.25">
      <c r="A84" t="s">
        <v>163</v>
      </c>
      <c r="B84" s="259"/>
      <c r="D84" s="236">
        <v>25000</v>
      </c>
      <c r="E84" s="250"/>
      <c r="F84" s="250"/>
      <c r="G84" s="379">
        <v>1000</v>
      </c>
      <c r="H84" s="380">
        <v>0</v>
      </c>
      <c r="I84" s="379">
        <v>1672.1</v>
      </c>
      <c r="J84" s="379">
        <v>0</v>
      </c>
      <c r="K84" s="379">
        <v>0</v>
      </c>
      <c r="L84" s="379">
        <v>0</v>
      </c>
      <c r="M84" s="379">
        <v>0</v>
      </c>
      <c r="N84" s="379">
        <v>0</v>
      </c>
      <c r="O84" s="379">
        <v>5000</v>
      </c>
      <c r="P84" s="379">
        <v>5000</v>
      </c>
      <c r="Q84" s="379">
        <v>5000</v>
      </c>
      <c r="R84" s="379">
        <v>2000</v>
      </c>
      <c r="S84" s="379">
        <v>2000</v>
      </c>
      <c r="T84" s="379">
        <f>2000</f>
        <v>2000</v>
      </c>
      <c r="U84" s="379">
        <f>3000-1672.1</f>
        <v>1327.9</v>
      </c>
      <c r="V84" s="379">
        <f>SUM(F84:U84)</f>
        <v>25000</v>
      </c>
      <c r="W84" s="300"/>
      <c r="X84" s="300"/>
      <c r="Y84" s="305">
        <f t="shared" ref="Y84:Y85" si="520">F84</f>
        <v>0</v>
      </c>
      <c r="Z84" s="305">
        <f t="shared" ref="Z84:Z85" si="521">G84</f>
        <v>1000</v>
      </c>
      <c r="AA84" s="305">
        <f t="shared" ref="AA84:AA85" si="522">H84</f>
        <v>0</v>
      </c>
      <c r="AB84" s="305">
        <f t="shared" ref="AB84:AB85" si="523">I84</f>
        <v>1672.1</v>
      </c>
      <c r="AC84" s="305">
        <f t="shared" ref="AC84:AC85" si="524">J84</f>
        <v>0</v>
      </c>
      <c r="AD84" s="305">
        <f t="shared" ref="AD84:AD85" si="525">K84</f>
        <v>0</v>
      </c>
      <c r="AE84" s="305">
        <f t="shared" ref="AE84:AE85" si="526">L84</f>
        <v>0</v>
      </c>
      <c r="AF84" s="244">
        <f t="shared" ref="AF84:AF85" si="527">M84</f>
        <v>0</v>
      </c>
      <c r="AG84" s="244">
        <f t="shared" ref="AG84:AG85" si="528">N84</f>
        <v>0</v>
      </c>
      <c r="AH84" s="244">
        <f t="shared" ref="AH84:AH85" si="529">O84</f>
        <v>5000</v>
      </c>
      <c r="AI84" s="244">
        <f t="shared" ref="AI84:AI85" si="530">P84</f>
        <v>5000</v>
      </c>
      <c r="AJ84" s="244">
        <f t="shared" ref="AJ84:AJ85" si="531">Q84</f>
        <v>5000</v>
      </c>
      <c r="AK84" s="244">
        <f t="shared" ref="AK84:AK85" si="532">R84</f>
        <v>2000</v>
      </c>
      <c r="AL84" s="244">
        <f t="shared" ref="AL84:AL85" si="533">S84</f>
        <v>2000</v>
      </c>
      <c r="AM84" s="244">
        <f t="shared" ref="AM84:AN85" si="534">T84</f>
        <v>2000</v>
      </c>
      <c r="AN84" s="305">
        <f t="shared" si="534"/>
        <v>1327.9</v>
      </c>
      <c r="AO84" s="305">
        <f>Y84</f>
        <v>0</v>
      </c>
      <c r="AP84" s="305">
        <f t="shared" ref="AP84:BD85" si="535">Z84</f>
        <v>1000</v>
      </c>
      <c r="AQ84" s="305">
        <f t="shared" si="535"/>
        <v>0</v>
      </c>
      <c r="AR84" s="305">
        <f t="shared" si="535"/>
        <v>1672.1</v>
      </c>
      <c r="AS84" s="305">
        <f t="shared" si="535"/>
        <v>0</v>
      </c>
      <c r="AT84" s="305">
        <f t="shared" si="535"/>
        <v>0</v>
      </c>
      <c r="AU84" s="305">
        <f t="shared" si="535"/>
        <v>0</v>
      </c>
      <c r="AV84" s="305">
        <f t="shared" si="535"/>
        <v>0</v>
      </c>
      <c r="AW84" s="244">
        <f t="shared" si="535"/>
        <v>0</v>
      </c>
      <c r="AX84" s="244">
        <f t="shared" si="535"/>
        <v>5000</v>
      </c>
      <c r="AY84" s="244">
        <f t="shared" si="535"/>
        <v>5000</v>
      </c>
      <c r="AZ84" s="244">
        <f t="shared" si="535"/>
        <v>5000</v>
      </c>
      <c r="BA84" s="244">
        <f t="shared" si="535"/>
        <v>2000</v>
      </c>
      <c r="BB84" s="244">
        <f t="shared" si="535"/>
        <v>2000</v>
      </c>
      <c r="BC84" s="244">
        <f t="shared" si="535"/>
        <v>2000</v>
      </c>
      <c r="BD84" s="305">
        <f t="shared" si="535"/>
        <v>1327.9</v>
      </c>
      <c r="BE84" s="366">
        <f t="shared" si="519"/>
        <v>0</v>
      </c>
    </row>
    <row r="85" spans="1:57" ht="14.45" customHeight="1" x14ac:dyDescent="0.25">
      <c r="A85" t="s">
        <v>161</v>
      </c>
      <c r="B85" s="259"/>
      <c r="D85" s="236">
        <v>30000</v>
      </c>
      <c r="E85" s="250"/>
      <c r="F85" s="250"/>
      <c r="G85" s="349">
        <v>0</v>
      </c>
      <c r="H85" s="349">
        <v>0</v>
      </c>
      <c r="I85" s="349">
        <f>3399.77+118.74</f>
        <v>3518.5099999999998</v>
      </c>
      <c r="J85" s="349">
        <v>0</v>
      </c>
      <c r="K85" s="349">
        <v>276.14</v>
      </c>
      <c r="L85" s="349">
        <v>0</v>
      </c>
      <c r="M85" s="349">
        <v>12000</v>
      </c>
      <c r="N85" s="349">
        <v>500</v>
      </c>
      <c r="O85" s="349">
        <v>500</v>
      </c>
      <c r="P85" s="349">
        <v>3000</v>
      </c>
      <c r="Q85" s="349">
        <v>1000</v>
      </c>
      <c r="R85" s="349">
        <f>8205.35-1000</f>
        <v>7205.35</v>
      </c>
      <c r="S85" s="349">
        <v>1000</v>
      </c>
      <c r="T85" s="349">
        <v>1000</v>
      </c>
      <c r="U85" s="349">
        <v>0</v>
      </c>
      <c r="V85" s="349">
        <f>SUM(F85:U85)</f>
        <v>30000</v>
      </c>
      <c r="W85" s="300"/>
      <c r="X85" s="300"/>
      <c r="Y85" s="305">
        <f t="shared" si="520"/>
        <v>0</v>
      </c>
      <c r="Z85" s="305">
        <f t="shared" si="521"/>
        <v>0</v>
      </c>
      <c r="AA85" s="305">
        <f t="shared" si="522"/>
        <v>0</v>
      </c>
      <c r="AB85" s="305">
        <f t="shared" si="523"/>
        <v>3518.5099999999998</v>
      </c>
      <c r="AC85" s="305">
        <f t="shared" si="524"/>
        <v>0</v>
      </c>
      <c r="AD85" s="305">
        <f t="shared" si="525"/>
        <v>276.14</v>
      </c>
      <c r="AE85" s="305">
        <f t="shared" si="526"/>
        <v>0</v>
      </c>
      <c r="AF85" s="244">
        <f t="shared" si="527"/>
        <v>12000</v>
      </c>
      <c r="AG85" s="244">
        <f t="shared" si="528"/>
        <v>500</v>
      </c>
      <c r="AH85" s="244">
        <f t="shared" si="529"/>
        <v>500</v>
      </c>
      <c r="AI85" s="244">
        <f t="shared" si="530"/>
        <v>3000</v>
      </c>
      <c r="AJ85" s="244">
        <f t="shared" si="531"/>
        <v>1000</v>
      </c>
      <c r="AK85" s="244">
        <f t="shared" si="532"/>
        <v>7205.35</v>
      </c>
      <c r="AL85" s="244">
        <f t="shared" si="533"/>
        <v>1000</v>
      </c>
      <c r="AM85" s="244">
        <f t="shared" si="534"/>
        <v>1000</v>
      </c>
      <c r="AN85" s="305">
        <f t="shared" si="534"/>
        <v>0</v>
      </c>
      <c r="AO85" s="305">
        <f>Y85</f>
        <v>0</v>
      </c>
      <c r="AP85" s="305">
        <f t="shared" si="535"/>
        <v>0</v>
      </c>
      <c r="AQ85" s="305">
        <f t="shared" si="535"/>
        <v>0</v>
      </c>
      <c r="AR85" s="305">
        <f t="shared" si="535"/>
        <v>3518.5099999999998</v>
      </c>
      <c r="AS85" s="305">
        <f t="shared" si="535"/>
        <v>0</v>
      </c>
      <c r="AT85" s="305">
        <f t="shared" si="535"/>
        <v>276.14</v>
      </c>
      <c r="AU85" s="305">
        <f t="shared" si="535"/>
        <v>0</v>
      </c>
      <c r="AV85" s="305">
        <f t="shared" si="535"/>
        <v>12000</v>
      </c>
      <c r="AW85" s="244">
        <f t="shared" si="535"/>
        <v>500</v>
      </c>
      <c r="AX85" s="244">
        <f t="shared" si="535"/>
        <v>500</v>
      </c>
      <c r="AY85" s="244">
        <f t="shared" si="535"/>
        <v>3000</v>
      </c>
      <c r="AZ85" s="244">
        <f t="shared" si="535"/>
        <v>1000</v>
      </c>
      <c r="BA85" s="244">
        <f t="shared" si="535"/>
        <v>7205.35</v>
      </c>
      <c r="BB85" s="244">
        <f t="shared" si="535"/>
        <v>1000</v>
      </c>
      <c r="BC85" s="244">
        <f t="shared" si="535"/>
        <v>1000</v>
      </c>
      <c r="BD85" s="305">
        <f t="shared" si="535"/>
        <v>0</v>
      </c>
      <c r="BE85" s="366">
        <f t="shared" si="519"/>
        <v>0</v>
      </c>
    </row>
    <row r="86" spans="1:57" s="250" customFormat="1" ht="14.45" customHeight="1" x14ac:dyDescent="0.25">
      <c r="A86" s="251"/>
      <c r="D86" s="252"/>
      <c r="H86" s="323"/>
      <c r="V86" s="253"/>
      <c r="W86" s="300"/>
      <c r="X86" s="300"/>
      <c r="Y86" s="247"/>
      <c r="Z86" s="247"/>
      <c r="AA86" s="247"/>
      <c r="AB86" s="247"/>
      <c r="AC86" s="247"/>
      <c r="AD86" s="247"/>
      <c r="AE86" s="247"/>
      <c r="AF86" s="247"/>
      <c r="AG86" s="247"/>
      <c r="AH86" s="247"/>
      <c r="AI86" s="247"/>
      <c r="AJ86" s="247"/>
      <c r="AK86" s="247"/>
      <c r="AL86" s="247"/>
      <c r="AM86" s="247"/>
    </row>
    <row r="87" spans="1:57" ht="14.45" customHeight="1" x14ac:dyDescent="0.25">
      <c r="B87" s="241"/>
      <c r="D87" s="254">
        <f>SUM(D4:D85)</f>
        <v>24582897.000000004</v>
      </c>
      <c r="E87" s="258"/>
      <c r="F87" s="258"/>
      <c r="G87" s="258"/>
      <c r="H87" s="323"/>
      <c r="I87" s="258"/>
      <c r="J87" s="258"/>
      <c r="K87" s="258"/>
      <c r="L87" s="258"/>
      <c r="M87" s="258"/>
      <c r="N87" s="258"/>
      <c r="O87" s="258"/>
      <c r="P87" s="258"/>
      <c r="Q87" s="258"/>
      <c r="R87" s="258"/>
      <c r="S87" s="250"/>
      <c r="T87" s="258"/>
      <c r="U87" s="365"/>
      <c r="V87" s="258"/>
      <c r="W87" s="300"/>
      <c r="X87" s="300"/>
      <c r="Y87" s="237" t="s">
        <v>121</v>
      </c>
    </row>
    <row r="88" spans="1:57" ht="14.45" customHeight="1" x14ac:dyDescent="0.25">
      <c r="D88" s="257"/>
      <c r="E88" s="258"/>
      <c r="F88" s="258"/>
      <c r="G88" s="258"/>
      <c r="H88" s="323"/>
      <c r="I88" s="258"/>
      <c r="J88" s="258"/>
      <c r="K88" s="258"/>
      <c r="L88" s="258"/>
      <c r="M88" s="258"/>
      <c r="N88" s="258"/>
      <c r="O88" s="258"/>
      <c r="P88" s="258"/>
      <c r="Q88" s="258"/>
      <c r="R88" s="258"/>
      <c r="S88" s="258"/>
      <c r="T88" s="258"/>
      <c r="U88" s="258"/>
      <c r="V88" s="258"/>
      <c r="W88" s="300"/>
      <c r="X88" s="300"/>
      <c r="Y88" s="237"/>
    </row>
    <row r="89" spans="1:57" ht="14.45" customHeight="1" x14ac:dyDescent="0.25">
      <c r="A89" s="300" t="s">
        <v>145</v>
      </c>
      <c r="B89" s="419"/>
      <c r="C89" s="419"/>
      <c r="D89" s="236">
        <f>SUMIF($A$4:$A$86,"="&amp;A89,$D$4:$D$86)</f>
        <v>7993016.0899999999</v>
      </c>
      <c r="E89" s="250"/>
      <c r="F89" s="250"/>
      <c r="G89" s="250"/>
      <c r="H89" s="323"/>
      <c r="I89" s="250"/>
      <c r="J89" s="250"/>
      <c r="K89" s="250"/>
      <c r="L89" s="250"/>
      <c r="S89" s="304"/>
    </row>
    <row r="90" spans="1:57" ht="14.45" customHeight="1" x14ac:dyDescent="0.25">
      <c r="A90" s="300" t="s">
        <v>146</v>
      </c>
      <c r="B90" s="419"/>
      <c r="C90" s="419"/>
      <c r="D90" s="236">
        <f>SUMIF($A$4:$A$86,"="&amp;A90,$D$4:$D$86)</f>
        <v>4000000</v>
      </c>
      <c r="E90" s="250"/>
      <c r="F90" s="250"/>
      <c r="G90" s="250"/>
      <c r="H90" s="323"/>
      <c r="I90" s="250"/>
      <c r="J90" s="250"/>
      <c r="K90" s="250"/>
      <c r="L90" s="250"/>
    </row>
    <row r="91" spans="1:57" ht="14.45" customHeight="1" x14ac:dyDescent="0.25">
      <c r="A91" s="300" t="s">
        <v>148</v>
      </c>
      <c r="B91" s="419"/>
      <c r="C91" s="419"/>
      <c r="D91" s="236">
        <f>SUMIF($A$4:$A$86,"="&amp;A91,$D$4:$D$86)</f>
        <v>3994564.84</v>
      </c>
      <c r="E91" s="250"/>
      <c r="F91" s="250"/>
      <c r="G91" s="250"/>
      <c r="H91" s="323"/>
      <c r="I91" s="250"/>
      <c r="J91" s="250"/>
      <c r="K91" s="250"/>
      <c r="L91" s="250"/>
      <c r="T91" s="304"/>
    </row>
    <row r="92" spans="1:57" ht="14.45" customHeight="1" x14ac:dyDescent="0.25">
      <c r="A92" s="300" t="s">
        <v>149</v>
      </c>
      <c r="B92" s="419"/>
      <c r="C92" s="419"/>
      <c r="D92" s="236">
        <f>SUMIF($A$4:$A$86,"="&amp;A92,$D$4:$D$86)</f>
        <v>2772876.18</v>
      </c>
      <c r="E92" s="250"/>
      <c r="F92" s="250"/>
      <c r="G92" s="250"/>
      <c r="H92" s="323"/>
      <c r="I92" s="250"/>
      <c r="J92" s="250"/>
      <c r="K92" s="250"/>
      <c r="L92" s="250"/>
      <c r="T92" s="304"/>
    </row>
    <row r="93" spans="1:57" ht="14.45" customHeight="1" x14ac:dyDescent="0.25">
      <c r="A93" s="300" t="s">
        <v>150</v>
      </c>
      <c r="B93" s="419"/>
      <c r="C93" s="419"/>
      <c r="D93" s="236">
        <f>SUMIF($A$4:$A$86,"="&amp;A93,$D$4:$D$86)</f>
        <v>210354.24000000002</v>
      </c>
      <c r="E93" s="250"/>
      <c r="F93" s="250"/>
      <c r="G93" s="250"/>
      <c r="H93" s="323"/>
      <c r="I93" s="250"/>
      <c r="J93" s="250"/>
      <c r="K93" s="250"/>
      <c r="L93" s="250"/>
    </row>
    <row r="94" spans="1:57" s="300" customFormat="1" ht="14.45" customHeight="1" x14ac:dyDescent="0.25">
      <c r="B94" s="309"/>
      <c r="C94" s="309"/>
      <c r="D94" s="310">
        <f>SUM(D89:D93)</f>
        <v>18970811.349999998</v>
      </c>
      <c r="E94" s="350">
        <f>'QFR - B'!G14</f>
        <v>19300000</v>
      </c>
      <c r="F94" s="247">
        <f>E94-D94</f>
        <v>329188.65000000224</v>
      </c>
      <c r="G94" s="250"/>
      <c r="H94" s="323"/>
      <c r="I94" s="250"/>
      <c r="J94" s="250"/>
      <c r="K94" s="250"/>
      <c r="L94" s="250"/>
    </row>
    <row r="95" spans="1:57" x14ac:dyDescent="0.25">
      <c r="A95" s="300" t="s">
        <v>152</v>
      </c>
      <c r="B95" s="419"/>
      <c r="C95" s="419"/>
      <c r="D95" s="236">
        <f>SUMIF($A$4:$A$86,"="&amp;A95,$D$4:$D$86)</f>
        <v>776561.9</v>
      </c>
      <c r="E95" s="250"/>
      <c r="F95" s="250"/>
      <c r="G95" s="250"/>
      <c r="H95" s="323"/>
      <c r="I95" s="250"/>
      <c r="J95" s="250"/>
      <c r="K95" s="250"/>
      <c r="L95" s="250"/>
    </row>
    <row r="96" spans="1:57" s="300" customFormat="1" ht="14.45" customHeight="1" x14ac:dyDescent="0.25">
      <c r="B96" s="309"/>
      <c r="C96" s="309"/>
      <c r="D96" s="311">
        <f>D95</f>
        <v>776561.9</v>
      </c>
      <c r="E96" s="350">
        <f>'QFR - B'!G20</f>
        <v>800000</v>
      </c>
      <c r="F96" s="247">
        <f>E96-D96</f>
        <v>23438.099999999977</v>
      </c>
      <c r="G96" s="250"/>
      <c r="H96" s="323"/>
      <c r="I96" s="250"/>
      <c r="J96" s="250"/>
      <c r="K96" s="250"/>
      <c r="L96" s="250"/>
    </row>
    <row r="97" spans="1:12" ht="14.45" customHeight="1" x14ac:dyDescent="0.25">
      <c r="A97" s="300" t="s">
        <v>153</v>
      </c>
      <c r="B97" s="419"/>
      <c r="C97" s="419"/>
      <c r="D97" s="236">
        <f>SUMIF($A$4:$A$86,"="&amp;A97,$D$4:$D$86)</f>
        <v>807782.07</v>
      </c>
      <c r="E97" s="250"/>
      <c r="F97" s="250"/>
      <c r="G97" s="250"/>
      <c r="H97" s="323"/>
      <c r="I97" s="250"/>
      <c r="J97" s="250"/>
      <c r="K97" s="250"/>
      <c r="L97" s="250"/>
    </row>
    <row r="98" spans="1:12" ht="14.45" customHeight="1" x14ac:dyDescent="0.25">
      <c r="A98" s="300" t="s">
        <v>154</v>
      </c>
      <c r="B98" s="419"/>
      <c r="C98" s="419"/>
      <c r="D98" s="236">
        <f>SUMIF($A$4:$A$86,"="&amp;A98,$D$4:$D$86)</f>
        <v>2775229</v>
      </c>
      <c r="E98" s="250"/>
      <c r="F98" s="250"/>
      <c r="G98" s="250"/>
      <c r="H98" s="323"/>
      <c r="I98" s="250"/>
      <c r="J98" s="250"/>
      <c r="K98" s="250"/>
      <c r="L98" s="250"/>
    </row>
    <row r="99" spans="1:12" s="300" customFormat="1" ht="14.45" customHeight="1" x14ac:dyDescent="0.25">
      <c r="B99" s="309"/>
      <c r="C99" s="309"/>
      <c r="D99" s="311">
        <f>SUM(D97:D98)</f>
        <v>3583011.07</v>
      </c>
      <c r="E99" s="350">
        <f>'QFR - B'!G21</f>
        <v>3600000</v>
      </c>
      <c r="F99" s="247">
        <f>E99-D99</f>
        <v>16988.930000000168</v>
      </c>
      <c r="G99" s="250"/>
      <c r="H99" s="323"/>
      <c r="I99" s="250"/>
      <c r="J99" s="250"/>
      <c r="K99" s="250"/>
      <c r="L99" s="250"/>
    </row>
    <row r="100" spans="1:12" ht="14.45" customHeight="1" x14ac:dyDescent="0.25">
      <c r="A100" s="300" t="s">
        <v>156</v>
      </c>
      <c r="B100" s="419"/>
      <c r="C100" s="419"/>
      <c r="D100" s="236">
        <f>SUMIF($A$4:$A$86,"="&amp;A100,$D$4:$D$86)</f>
        <v>283000</v>
      </c>
      <c r="E100" s="250"/>
      <c r="F100" s="250"/>
      <c r="G100" s="250"/>
      <c r="H100" s="323"/>
      <c r="I100" s="250"/>
      <c r="J100" s="250"/>
      <c r="K100" s="250"/>
      <c r="L100" s="250"/>
    </row>
    <row r="101" spans="1:12" ht="14.45" customHeight="1" x14ac:dyDescent="0.25">
      <c r="A101" s="300" t="s">
        <v>157</v>
      </c>
      <c r="B101" s="419"/>
      <c r="C101" s="419"/>
      <c r="D101" s="236">
        <f>SUMIF($A$4:$A$86,"="&amp;A101,$D$4:$D$86)</f>
        <v>0</v>
      </c>
      <c r="E101" s="250"/>
      <c r="F101" s="250"/>
      <c r="G101" s="250"/>
      <c r="H101" s="323"/>
      <c r="I101" s="250"/>
      <c r="J101" s="250"/>
      <c r="K101" s="250"/>
      <c r="L101" s="250"/>
    </row>
    <row r="102" spans="1:12" ht="14.45" customHeight="1" x14ac:dyDescent="0.25">
      <c r="A102" s="300" t="s">
        <v>158</v>
      </c>
      <c r="B102" s="419"/>
      <c r="C102" s="419"/>
      <c r="D102" s="236">
        <f>SUMIF($A$4:$A$86,"="&amp;A102,$D$4:$D$86)</f>
        <v>170000</v>
      </c>
      <c r="E102" s="250"/>
      <c r="F102" s="250"/>
      <c r="G102" s="250"/>
      <c r="H102" s="323"/>
      <c r="I102" s="250"/>
      <c r="J102" s="250"/>
      <c r="K102" s="250"/>
      <c r="L102" s="250"/>
    </row>
    <row r="103" spans="1:12" ht="14.45" customHeight="1" x14ac:dyDescent="0.25">
      <c r="A103" s="300" t="s">
        <v>159</v>
      </c>
      <c r="B103" s="419"/>
      <c r="C103" s="419"/>
      <c r="D103" s="236">
        <f>SUMIF($A$4:$A$86,"="&amp;A103,$D$4:$D$86)</f>
        <v>26504.91</v>
      </c>
      <c r="E103" s="250"/>
      <c r="F103" s="250"/>
      <c r="G103" s="250"/>
      <c r="H103" s="323"/>
      <c r="I103" s="250"/>
      <c r="J103" s="250"/>
      <c r="K103" s="250"/>
      <c r="L103" s="250"/>
    </row>
    <row r="104" spans="1:12" s="300" customFormat="1" ht="14.45" customHeight="1" x14ac:dyDescent="0.25">
      <c r="B104" s="309"/>
      <c r="C104" s="309"/>
      <c r="D104" s="311">
        <f>SUM(D100:D103)</f>
        <v>479504.91</v>
      </c>
      <c r="E104" s="350">
        <f>'QFR - B'!G24</f>
        <v>1700000</v>
      </c>
      <c r="F104" s="247">
        <f>E104-D104</f>
        <v>1220495.0900000001</v>
      </c>
      <c r="G104" s="250"/>
      <c r="H104" s="323"/>
      <c r="I104" s="250"/>
      <c r="J104" s="250"/>
      <c r="K104" s="250"/>
      <c r="L104" s="250"/>
    </row>
    <row r="105" spans="1:12" ht="14.45" customHeight="1" x14ac:dyDescent="0.25">
      <c r="A105" s="300" t="s">
        <v>160</v>
      </c>
      <c r="B105" s="419"/>
      <c r="C105" s="419"/>
      <c r="D105" s="236">
        <f>SUMIF($A$4:$A$86,"="&amp;A105,$D$4:$D$86)</f>
        <v>556823.61</v>
      </c>
      <c r="E105" s="250"/>
      <c r="F105" s="250"/>
      <c r="G105" s="250"/>
      <c r="H105" s="323"/>
      <c r="I105" s="250"/>
      <c r="J105" s="250"/>
      <c r="K105" s="250"/>
      <c r="L105" s="250"/>
    </row>
    <row r="106" spans="1:12" ht="14.45" customHeight="1" x14ac:dyDescent="0.25">
      <c r="A106" s="300" t="s">
        <v>161</v>
      </c>
      <c r="B106" s="419"/>
      <c r="C106" s="419"/>
      <c r="D106" s="236">
        <f>SUMIF($A$4:$A$86,"="&amp;A106,$D$4:$D$86)</f>
        <v>30000</v>
      </c>
      <c r="E106" s="250"/>
      <c r="F106" s="250"/>
      <c r="G106" s="250"/>
      <c r="H106" s="323"/>
      <c r="I106" s="250"/>
      <c r="J106" s="250"/>
      <c r="K106" s="250"/>
      <c r="L106" s="250"/>
    </row>
    <row r="107" spans="1:12" ht="14.45" customHeight="1" x14ac:dyDescent="0.25">
      <c r="A107" s="300" t="s">
        <v>162</v>
      </c>
      <c r="B107" s="419"/>
      <c r="C107" s="419"/>
      <c r="D107" s="236">
        <f>SUMIF($A$4:$A$86,"="&amp;A107,$D$4:$D$86)</f>
        <v>120000</v>
      </c>
      <c r="E107" s="250"/>
      <c r="F107" s="250"/>
      <c r="G107" s="250"/>
      <c r="H107" s="323"/>
      <c r="I107" s="250"/>
      <c r="J107" s="250"/>
      <c r="K107" s="250"/>
      <c r="L107" s="250"/>
    </row>
    <row r="108" spans="1:12" ht="14.45" customHeight="1" x14ac:dyDescent="0.25">
      <c r="A108" s="300" t="s">
        <v>163</v>
      </c>
      <c r="B108" s="419"/>
      <c r="C108" s="419"/>
      <c r="D108" s="236">
        <f>SUMIF($A$4:$A$86,"="&amp;A108,$D$4:$D$86)</f>
        <v>52222.520000000004</v>
      </c>
      <c r="E108" s="250"/>
      <c r="F108" s="250"/>
      <c r="G108" s="250"/>
      <c r="H108" s="323"/>
      <c r="I108" s="250"/>
      <c r="J108" s="250"/>
      <c r="K108" s="250"/>
      <c r="L108" s="250"/>
    </row>
    <row r="109" spans="1:12" s="300" customFormat="1" ht="14.45" customHeight="1" x14ac:dyDescent="0.25">
      <c r="B109" s="309"/>
      <c r="C109" s="309"/>
      <c r="D109" s="311">
        <f>SUM(D105:D108)</f>
        <v>759046.13</v>
      </c>
      <c r="E109" s="350">
        <f>'QFR - B'!G27</f>
        <v>797500</v>
      </c>
      <c r="F109" s="247">
        <f>E109-D109</f>
        <v>38453.869999999995</v>
      </c>
      <c r="G109" s="250"/>
      <c r="H109" s="323"/>
      <c r="I109" s="250"/>
      <c r="J109" s="250"/>
      <c r="K109" s="250"/>
      <c r="L109" s="250"/>
    </row>
    <row r="110" spans="1:12" x14ac:dyDescent="0.25">
      <c r="A110" s="300"/>
    </row>
    <row r="111" spans="1:12" x14ac:dyDescent="0.25">
      <c r="A111" s="300"/>
    </row>
    <row r="113" spans="4:55" ht="21" x14ac:dyDescent="0.35">
      <c r="D113" s="358"/>
      <c r="BC113" s="304"/>
    </row>
    <row r="116" spans="4:55" x14ac:dyDescent="0.25">
      <c r="D116" s="304"/>
    </row>
    <row r="119" spans="4:55" x14ac:dyDescent="0.25">
      <c r="G119" s="256"/>
    </row>
    <row r="120" spans="4:55" x14ac:dyDescent="0.25">
      <c r="G120" s="256"/>
      <c r="H120" s="378"/>
      <c r="K120" s="303"/>
      <c r="L120" s="303"/>
    </row>
    <row r="121" spans="4:55" x14ac:dyDescent="0.25">
      <c r="G121" s="256"/>
    </row>
    <row r="122" spans="4:55" x14ac:dyDescent="0.25">
      <c r="G122" s="256"/>
    </row>
    <row r="124" spans="4:55" x14ac:dyDescent="0.25">
      <c r="M124" s="256"/>
    </row>
    <row r="126" spans="4:55" x14ac:dyDescent="0.25">
      <c r="AO126" s="304"/>
    </row>
  </sheetData>
  <autoFilter ref="A3:BE109"/>
  <sortState ref="A4:BE52">
    <sortCondition ref="A52"/>
  </sortState>
  <mergeCells count="16">
    <mergeCell ref="B89:C89"/>
    <mergeCell ref="B90:C90"/>
    <mergeCell ref="B91:C91"/>
    <mergeCell ref="B92:C92"/>
    <mergeCell ref="B93:C93"/>
    <mergeCell ref="B95:C95"/>
    <mergeCell ref="B97:C97"/>
    <mergeCell ref="B98:C98"/>
    <mergeCell ref="B100:C100"/>
    <mergeCell ref="B107:C107"/>
    <mergeCell ref="B108:C108"/>
    <mergeCell ref="B101:C101"/>
    <mergeCell ref="B102:C102"/>
    <mergeCell ref="B103:C103"/>
    <mergeCell ref="B105:C105"/>
    <mergeCell ref="B106:C106"/>
  </mergeCells>
  <phoneticPr fontId="28" type="noConversion"/>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19" workbookViewId="0">
      <selection activeCell="B37" sqref="B37"/>
    </sheetView>
  </sheetViews>
  <sheetFormatPr baseColWidth="10" defaultColWidth="8.85546875" defaultRowHeight="15" x14ac:dyDescent="0.25"/>
  <cols>
    <col min="1" max="1" width="47" customWidth="1"/>
    <col min="2" max="2" width="11.140625" customWidth="1"/>
    <col min="3" max="10" width="4.85546875" customWidth="1"/>
    <col min="11" max="19" width="4.85546875" style="300" customWidth="1"/>
  </cols>
  <sheetData>
    <row r="1" spans="1:19" x14ac:dyDescent="0.25">
      <c r="A1" s="300"/>
    </row>
    <row r="2" spans="1:19" x14ac:dyDescent="0.25">
      <c r="A2" s="189" t="s">
        <v>97</v>
      </c>
      <c r="B2" t="s">
        <v>250</v>
      </c>
    </row>
    <row r="3" spans="1:19" x14ac:dyDescent="0.25">
      <c r="A3" s="43"/>
      <c r="B3" t="s">
        <v>249</v>
      </c>
      <c r="D3" t="s">
        <v>248</v>
      </c>
      <c r="L3" s="300" t="s">
        <v>248</v>
      </c>
    </row>
    <row r="4" spans="1:19" x14ac:dyDescent="0.25">
      <c r="A4" s="45" t="s">
        <v>78</v>
      </c>
    </row>
    <row r="5" spans="1:19" x14ac:dyDescent="0.25">
      <c r="A5" s="50" t="s">
        <v>79</v>
      </c>
      <c r="B5" s="255" t="str">
        <f>IF('DFP-Com'!Q15-'DFP-CASH'!Q17=0,"ok","error")</f>
        <v>error</v>
      </c>
      <c r="C5" t="str">
        <f>IF(SUM('DFP-CASH'!$C17:C17)&gt;SUM('DFP-Com'!$C15:D15),"error","ok")</f>
        <v>ok</v>
      </c>
      <c r="D5" s="300" t="str">
        <f>IF(SUM('DFP-CASH'!$C17:E17)&gt;SUM('DFP-Com'!$C15:E15),"error","ok")</f>
        <v>ok</v>
      </c>
      <c r="E5" s="300" t="str">
        <f>IF(SUM('DFP-CASH'!$C17:F17)&gt;SUM('DFP-Com'!$C15:F15),"error","ok")</f>
        <v>ok</v>
      </c>
      <c r="F5" s="300" t="str">
        <f>IF(SUM('DFP-CASH'!$C17:G17)&gt;SUM('DFP-Com'!$C15:G15),"error","ok")</f>
        <v>ok</v>
      </c>
      <c r="G5" s="300" t="str">
        <f>IF(SUM('DFP-CASH'!$C17:G17)&gt;SUM('DFP-Com'!$C15:G15),"error","ok")</f>
        <v>ok</v>
      </c>
      <c r="H5" s="300" t="str">
        <f>IF(SUM('DFP-CASH'!$C17:G17)&gt;SUM('DFP-Com'!$C15:G15),"error","ok")</f>
        <v>ok</v>
      </c>
      <c r="I5" s="300" t="str">
        <f>IF(SUM('DFP-CASH'!$C17:G17)&gt;SUM('DFP-Com'!$C15:G15),"error","ok")</f>
        <v>ok</v>
      </c>
      <c r="J5" s="300" t="str">
        <f>IF(SUM('DFP-CASH'!$C17:G17)&gt;SUM('DFP-Com'!$C15:G15),"error","ok")</f>
        <v>ok</v>
      </c>
      <c r="K5" s="300" t="str">
        <f>IF(SUM('DFP-CASH'!$C17:G17)&gt;SUM('DFP-Com'!$C15:G15),"error","ok")</f>
        <v>ok</v>
      </c>
      <c r="L5" s="300" t="str">
        <f>IF(SUM('DFP-CASH'!$C17:G17)&gt;SUM('DFP-Com'!$C15:G15),"error","ok")</f>
        <v>ok</v>
      </c>
      <c r="M5" s="300" t="str">
        <f>IF(SUM('DFP-CASH'!$C17:H17)&gt;SUM('DFP-Com'!$C15:H15),"error","ok")</f>
        <v>ok</v>
      </c>
      <c r="N5" s="300" t="str">
        <f>IF(SUM('DFP-CASH'!$C17:I17)&gt;SUM('DFP-Com'!$C15:I15),"error","ok")</f>
        <v>ok</v>
      </c>
      <c r="O5" s="300" t="str">
        <f>IF(SUM('DFP-CASH'!$C17:J17)&gt;SUM('DFP-Com'!$C15:J15),"error","ok")</f>
        <v>ok</v>
      </c>
      <c r="P5" s="300" t="str">
        <f>IF(SUM('DFP-CASH'!$C17:K17)&gt;SUM('DFP-Com'!$C15:K15),"error","ok")</f>
        <v>ok</v>
      </c>
      <c r="Q5" s="300" t="str">
        <f>IF(SUM('DFP-CASH'!$C17:L17)&gt;SUM('DFP-Com'!$C15:L15),"error","ok")</f>
        <v>ok</v>
      </c>
      <c r="R5" s="300" t="str">
        <f>IF(SUM('DFP-CASH'!$C17:M17)&gt;SUM('DFP-Com'!$C15:M15),"error","ok")</f>
        <v>ok</v>
      </c>
      <c r="S5" s="300" t="str">
        <f>IF(SUM('DFP-CASH'!$C17:N17)&gt;SUM('DFP-Com'!$C15:N15),"error","ok")</f>
        <v>ok</v>
      </c>
    </row>
    <row r="6" spans="1:19" x14ac:dyDescent="0.25">
      <c r="A6" s="202" t="s">
        <v>115</v>
      </c>
      <c r="B6" s="255" t="str">
        <f>IF('DFP-Com'!Q16-'DFP-CASH'!Q18=0,"ok","error")</f>
        <v>error</v>
      </c>
      <c r="C6" s="300" t="str">
        <f>IF(SUM('DFP-CASH'!$C18:C18)&gt;SUM('DFP-Com'!$C16:D16),"error","ok")</f>
        <v>ok</v>
      </c>
      <c r="D6" s="300" t="str">
        <f>IF(SUM('DFP-CASH'!$C18:E18)&gt;SUM('DFP-Com'!$C16:E16),"error","ok")</f>
        <v>ok</v>
      </c>
      <c r="E6" s="300" t="str">
        <f>IF(SUM('DFP-CASH'!$C18:F18)&gt;SUM('DFP-Com'!$C16:F16),"error","ok")</f>
        <v>ok</v>
      </c>
      <c r="F6" s="300" t="str">
        <f>IF(SUM('DFP-CASH'!$C18:G18)&gt;SUM('DFP-Com'!$C16:G16),"error","ok")</f>
        <v>ok</v>
      </c>
      <c r="G6" s="300" t="str">
        <f>IF(SUM('DFP-CASH'!$C18:G18)&gt;SUM('DFP-Com'!$C16:G16),"error","ok")</f>
        <v>ok</v>
      </c>
      <c r="H6" s="300" t="str">
        <f>IF(SUM('DFP-CASH'!$C18:G18)&gt;SUM('DFP-Com'!$C16:G16),"error","ok")</f>
        <v>ok</v>
      </c>
      <c r="I6" s="300" t="str">
        <f>IF(SUM('DFP-CASH'!$C18:G18)&gt;SUM('DFP-Com'!$C16:G16),"error","ok")</f>
        <v>ok</v>
      </c>
      <c r="J6" s="300" t="str">
        <f>IF(SUM('DFP-CASH'!$C18:G18)&gt;SUM('DFP-Com'!$C16:G16),"error","ok")</f>
        <v>ok</v>
      </c>
      <c r="K6" s="300" t="str">
        <f>IF(SUM('DFP-CASH'!$C18:G18)&gt;SUM('DFP-Com'!$C16:G16),"error","ok")</f>
        <v>ok</v>
      </c>
      <c r="L6" s="300" t="str">
        <f>IF(SUM('DFP-CASH'!$C18:G18)&gt;SUM('DFP-Com'!$C16:G16),"error","ok")</f>
        <v>ok</v>
      </c>
      <c r="M6" s="300" t="str">
        <f>IF(SUM('DFP-CASH'!$C18:H18)&gt;SUM('DFP-Com'!$C16:H16),"error","ok")</f>
        <v>ok</v>
      </c>
      <c r="N6" s="300" t="str">
        <f>IF(SUM('DFP-CASH'!$C18:I18)&gt;SUM('DFP-Com'!$C16:I16),"error","ok")</f>
        <v>ok</v>
      </c>
      <c r="O6" s="300" t="str">
        <f>IF(SUM('DFP-CASH'!$C18:J18)&gt;SUM('DFP-Com'!$C16:J16),"error","ok")</f>
        <v>ok</v>
      </c>
      <c r="P6" s="300" t="str">
        <f>IF(SUM('DFP-CASH'!$C18:K18)&gt;SUM('DFP-Com'!$C16:K16),"error","ok")</f>
        <v>ok</v>
      </c>
      <c r="Q6" s="300" t="str">
        <f>IF(SUM('DFP-CASH'!$C18:L18)&gt;SUM('DFP-Com'!$C16:L16),"error","ok")</f>
        <v>ok</v>
      </c>
      <c r="R6" s="300" t="str">
        <f>IF(SUM('DFP-CASH'!$C18:M18)&gt;SUM('DFP-Com'!$C16:M16),"error","ok")</f>
        <v>ok</v>
      </c>
      <c r="S6" s="300" t="str">
        <f>IF(SUM('DFP-CASH'!$C18:N18)&gt;SUM('DFP-Com'!$C16:N16),"error","ok")</f>
        <v>ok</v>
      </c>
    </row>
    <row r="7" spans="1:19" x14ac:dyDescent="0.25">
      <c r="A7" s="202" t="s">
        <v>116</v>
      </c>
      <c r="B7" s="255" t="str">
        <f>IF('DFP-Com'!Q17-'DFP-CASH'!Q19=0,"ok","error")</f>
        <v>ok</v>
      </c>
      <c r="C7" s="300" t="str">
        <f>IF(SUM('DFP-CASH'!$C19:C19)&gt;SUM('DFP-Com'!$C17:D17),"error","ok")</f>
        <v>ok</v>
      </c>
      <c r="D7" s="300" t="str">
        <f>IF(SUM('DFP-CASH'!$C19:E19)&gt;SUM('DFP-Com'!$C17:E17),"error","ok")</f>
        <v>ok</v>
      </c>
      <c r="E7" s="300" t="str">
        <f>IF(SUM('DFP-CASH'!$C19:F19)&gt;SUM('DFP-Com'!$C17:F17),"error","ok")</f>
        <v>ok</v>
      </c>
      <c r="F7" s="300" t="str">
        <f>IF(SUM('DFP-CASH'!$C19:G19)&gt;SUM('DFP-Com'!$C17:G17),"error","ok")</f>
        <v>ok</v>
      </c>
      <c r="G7" s="300" t="str">
        <f>IF(SUM('DFP-CASH'!$C19:G19)&gt;SUM('DFP-Com'!$C17:G17),"error","ok")</f>
        <v>ok</v>
      </c>
      <c r="H7" s="300" t="str">
        <f>IF(SUM('DFP-CASH'!$C19:G19)&gt;SUM('DFP-Com'!$C17:G17),"error","ok")</f>
        <v>ok</v>
      </c>
      <c r="I7" s="300" t="str">
        <f>IF(SUM('DFP-CASH'!$C19:G19)&gt;SUM('DFP-Com'!$C17:G17),"error","ok")</f>
        <v>ok</v>
      </c>
      <c r="J7" s="300" t="str">
        <f>IF(SUM('DFP-CASH'!$C19:G19)&gt;SUM('DFP-Com'!$C17:G17),"error","ok")</f>
        <v>ok</v>
      </c>
      <c r="K7" s="300" t="str">
        <f>IF(SUM('DFP-CASH'!$C19:G19)&gt;SUM('DFP-Com'!$C17:G17),"error","ok")</f>
        <v>ok</v>
      </c>
      <c r="L7" s="300" t="str">
        <f>IF(SUM('DFP-CASH'!$C19:G19)&gt;SUM('DFP-Com'!$C17:G17),"error","ok")</f>
        <v>ok</v>
      </c>
      <c r="M7" s="300" t="str">
        <f>IF(SUM('DFP-CASH'!$C19:H19)&gt;SUM('DFP-Com'!$C17:H17),"error","ok")</f>
        <v>ok</v>
      </c>
      <c r="N7" s="300" t="str">
        <f>IF(SUM('DFP-CASH'!$C19:I19)&gt;SUM('DFP-Com'!$C17:I17),"error","ok")</f>
        <v>ok</v>
      </c>
      <c r="O7" s="300" t="str">
        <f>IF(SUM('DFP-CASH'!$C19:J19)&gt;SUM('DFP-Com'!$C17:J17),"error","ok")</f>
        <v>ok</v>
      </c>
      <c r="P7" s="300" t="str">
        <f>IF(SUM('DFP-CASH'!$C19:K19)&gt;SUM('DFP-Com'!$C17:K17),"error","ok")</f>
        <v>ok</v>
      </c>
      <c r="Q7" s="300" t="str">
        <f>IF(SUM('DFP-CASH'!$C19:L19)&gt;SUM('DFP-Com'!$C17:L17),"error","ok")</f>
        <v>ok</v>
      </c>
      <c r="R7" s="300" t="str">
        <f>IF(SUM('DFP-CASH'!$C19:M19)&gt;SUM('DFP-Com'!$C17:M17),"error","ok")</f>
        <v>ok</v>
      </c>
      <c r="S7" s="300" t="str">
        <f>IF(SUM('DFP-CASH'!$C19:N19)&gt;SUM('DFP-Com'!$C17:N17),"error","ok")</f>
        <v>ok</v>
      </c>
    </row>
    <row r="8" spans="1:19" x14ac:dyDescent="0.25">
      <c r="A8" s="202" t="s">
        <v>123</v>
      </c>
      <c r="B8" s="255" t="str">
        <f>IF('DFP-Com'!Q18-'DFP-CASH'!Q20=0,"ok","error")</f>
        <v>ok</v>
      </c>
      <c r="C8" s="300" t="str">
        <f>IF(SUM('DFP-CASH'!$C20:C20)&gt;SUM('DFP-Com'!$C18:D18),"error","ok")</f>
        <v>ok</v>
      </c>
      <c r="D8" s="300" t="str">
        <f>IF(SUM('DFP-CASH'!$C20:E20)&gt;SUM('DFP-Com'!$C18:E18),"error","ok")</f>
        <v>ok</v>
      </c>
      <c r="E8" s="300" t="str">
        <f>IF(SUM('DFP-CASH'!$C20:F20)&gt;SUM('DFP-Com'!$C18:F18),"error","ok")</f>
        <v>ok</v>
      </c>
      <c r="F8" s="300" t="str">
        <f>IF(SUM('DFP-CASH'!$C20:G20)&gt;SUM('DFP-Com'!$C18:G18),"error","ok")</f>
        <v>ok</v>
      </c>
      <c r="G8" s="300" t="str">
        <f>IF(SUM('DFP-CASH'!$C20:G20)&gt;SUM('DFP-Com'!$C18:G18),"error","ok")</f>
        <v>ok</v>
      </c>
      <c r="H8" s="300" t="str">
        <f>IF(SUM('DFP-CASH'!$C20:G20)&gt;SUM('DFP-Com'!$C18:G18),"error","ok")</f>
        <v>ok</v>
      </c>
      <c r="I8" s="300" t="str">
        <f>IF(SUM('DFP-CASH'!$C20:G20)&gt;SUM('DFP-Com'!$C18:G18),"error","ok")</f>
        <v>ok</v>
      </c>
      <c r="J8" s="300" t="str">
        <f>IF(SUM('DFP-CASH'!$C20:G20)&gt;SUM('DFP-Com'!$C18:G18),"error","ok")</f>
        <v>ok</v>
      </c>
      <c r="K8" s="300" t="str">
        <f>IF(SUM('DFP-CASH'!$C20:G20)&gt;SUM('DFP-Com'!$C18:G18),"error","ok")</f>
        <v>ok</v>
      </c>
      <c r="L8" s="300" t="str">
        <f>IF(SUM('DFP-CASH'!$C20:G20)&gt;SUM('DFP-Com'!$C18:G18),"error","ok")</f>
        <v>ok</v>
      </c>
      <c r="M8" s="300" t="str">
        <f>IF(SUM('DFP-CASH'!$C20:H20)&gt;SUM('DFP-Com'!$C18:H18),"error","ok")</f>
        <v>ok</v>
      </c>
      <c r="N8" s="300" t="str">
        <f>IF(SUM('DFP-CASH'!$C20:I20)&gt;SUM('DFP-Com'!$C18:I18),"error","ok")</f>
        <v>ok</v>
      </c>
      <c r="O8" s="300" t="str">
        <f>IF(SUM('DFP-CASH'!$C20:J20)&gt;SUM('DFP-Com'!$C18:J18),"error","ok")</f>
        <v>ok</v>
      </c>
      <c r="P8" s="300" t="str">
        <f>IF(SUM('DFP-CASH'!$C20:K20)&gt;SUM('DFP-Com'!$C18:K18),"error","ok")</f>
        <v>ok</v>
      </c>
      <c r="Q8" s="300" t="str">
        <f>IF(SUM('DFP-CASH'!$C20:L20)&gt;SUM('DFP-Com'!$C18:L18),"error","ok")</f>
        <v>ok</v>
      </c>
      <c r="R8" s="300" t="str">
        <f>IF(SUM('DFP-CASH'!$C20:M20)&gt;SUM('DFP-Com'!$C18:M18),"error","ok")</f>
        <v>ok</v>
      </c>
      <c r="S8" s="300" t="str">
        <f>IF(SUM('DFP-CASH'!$C20:N20)&gt;SUM('DFP-Com'!$C18:N18),"error","ok")</f>
        <v>ok</v>
      </c>
    </row>
    <row r="9" spans="1:19" ht="25.5" x14ac:dyDescent="0.25">
      <c r="A9" s="50" t="s">
        <v>80</v>
      </c>
      <c r="B9" s="255" t="str">
        <f>IF('DFP-Com'!Q19-'DFP-CASH'!Q21=0,"ok","error")</f>
        <v>error</v>
      </c>
      <c r="C9" s="300" t="str">
        <f>IF(SUM('DFP-CASH'!$C21:C21)&gt;SUM('DFP-Com'!$C19:D19),"error","ok")</f>
        <v>ok</v>
      </c>
      <c r="D9" s="300" t="str">
        <f>IF(SUM('DFP-CASH'!$C21:E21)&gt;SUM('DFP-Com'!$C19:E19),"error","ok")</f>
        <v>ok</v>
      </c>
      <c r="E9" s="300" t="str">
        <f>IF(SUM('DFP-CASH'!$C21:F21)&gt;SUM('DFP-Com'!$C19:F19),"error","ok")</f>
        <v>ok</v>
      </c>
      <c r="F9" s="300" t="str">
        <f>IF(SUM('DFP-CASH'!$C21:G21)&gt;SUM('DFP-Com'!$C19:G19),"error","ok")</f>
        <v>ok</v>
      </c>
      <c r="G9" s="300" t="str">
        <f>IF(SUM('DFP-CASH'!$C21:G21)&gt;SUM('DFP-Com'!$C19:G19),"error","ok")</f>
        <v>ok</v>
      </c>
      <c r="H9" s="300" t="str">
        <f>IF(SUM('DFP-CASH'!$C21:G21)&gt;SUM('DFP-Com'!$C19:G19),"error","ok")</f>
        <v>ok</v>
      </c>
      <c r="I9" s="300" t="str">
        <f>IF(SUM('DFP-CASH'!$C21:G21)&gt;SUM('DFP-Com'!$C19:G19),"error","ok")</f>
        <v>ok</v>
      </c>
      <c r="J9" s="300" t="str">
        <f>IF(SUM('DFP-CASH'!$C21:G21)&gt;SUM('DFP-Com'!$C19:G19),"error","ok")</f>
        <v>ok</v>
      </c>
      <c r="K9" s="300" t="str">
        <f>IF(SUM('DFP-CASH'!$C21:G21)&gt;SUM('DFP-Com'!$C19:G19),"error","ok")</f>
        <v>ok</v>
      </c>
      <c r="L9" s="300" t="str">
        <f>IF(SUM('DFP-CASH'!$C21:G21)&gt;SUM('DFP-Com'!$C19:G19),"error","ok")</f>
        <v>ok</v>
      </c>
      <c r="M9" s="300" t="str">
        <f>IF(SUM('DFP-CASH'!$C21:H21)&gt;SUM('DFP-Com'!$C19:H19),"error","ok")</f>
        <v>ok</v>
      </c>
      <c r="N9" s="300" t="str">
        <f>IF(SUM('DFP-CASH'!$C21:I21)&gt;SUM('DFP-Com'!$C19:I19),"error","ok")</f>
        <v>ok</v>
      </c>
      <c r="O9" s="300" t="str">
        <f>IF(SUM('DFP-CASH'!$C21:J21)&gt;SUM('DFP-Com'!$C19:J19),"error","ok")</f>
        <v>ok</v>
      </c>
      <c r="P9" s="300" t="str">
        <f>IF(SUM('DFP-CASH'!$C21:K21)&gt;SUM('DFP-Com'!$C19:K19),"error","ok")</f>
        <v>ok</v>
      </c>
      <c r="Q9" s="300" t="str">
        <f>IF(SUM('DFP-CASH'!$C21:L21)&gt;SUM('DFP-Com'!$C19:L19),"error","ok")</f>
        <v>ok</v>
      </c>
      <c r="R9" s="300" t="str">
        <f>IF(SUM('DFP-CASH'!$C21:M21)&gt;SUM('DFP-Com'!$C19:M19),"error","ok")</f>
        <v>ok</v>
      </c>
      <c r="S9" s="300" t="str">
        <f>IF(SUM('DFP-CASH'!$C21:N21)&gt;SUM('DFP-Com'!$C19:N19),"error","ok")</f>
        <v>ok</v>
      </c>
    </row>
    <row r="10" spans="1:19" x14ac:dyDescent="0.25">
      <c r="A10" s="202" t="s">
        <v>124</v>
      </c>
      <c r="B10" s="255" t="str">
        <f>IF('DFP-Com'!Q20-'DFP-CASH'!Q22=0,"ok","error")</f>
        <v>error</v>
      </c>
      <c r="C10" s="300" t="str">
        <f>IF(SUM('DFP-CASH'!$C22:C22)&gt;SUM('DFP-Com'!$C20:D20),"error","ok")</f>
        <v>ok</v>
      </c>
      <c r="D10" s="300" t="str">
        <f>IF(SUM('DFP-CASH'!$C22:E22)&gt;SUM('DFP-Com'!$C20:E20),"error","ok")</f>
        <v>ok</v>
      </c>
      <c r="E10" s="300" t="str">
        <f>IF(SUM('DFP-CASH'!$C22:F22)&gt;SUM('DFP-Com'!$C20:F20),"error","ok")</f>
        <v>ok</v>
      </c>
      <c r="F10" s="300" t="str">
        <f>IF(SUM('DFP-CASH'!$C22:G22)&gt;SUM('DFP-Com'!$C20:G20),"error","ok")</f>
        <v>ok</v>
      </c>
      <c r="G10" s="300" t="str">
        <f>IF(SUM('DFP-CASH'!$C22:G22)&gt;SUM('DFP-Com'!$C20:G20),"error","ok")</f>
        <v>ok</v>
      </c>
      <c r="H10" s="300" t="str">
        <f>IF(SUM('DFP-CASH'!$C22:G22)&gt;SUM('DFP-Com'!$C20:G20),"error","ok")</f>
        <v>ok</v>
      </c>
      <c r="I10" s="300" t="str">
        <f>IF(SUM('DFP-CASH'!$C22:G22)&gt;SUM('DFP-Com'!$C20:G20),"error","ok")</f>
        <v>ok</v>
      </c>
      <c r="J10" s="300" t="str">
        <f>IF(SUM('DFP-CASH'!$C22:G22)&gt;SUM('DFP-Com'!$C20:G20),"error","ok")</f>
        <v>ok</v>
      </c>
      <c r="K10" s="300" t="str">
        <f>IF(SUM('DFP-CASH'!$C22:G22)&gt;SUM('DFP-Com'!$C20:G20),"error","ok")</f>
        <v>ok</v>
      </c>
      <c r="L10" s="300" t="str">
        <f>IF(SUM('DFP-CASH'!$C22:G22)&gt;SUM('DFP-Com'!$C20:G20),"error","ok")</f>
        <v>ok</v>
      </c>
      <c r="M10" s="300" t="str">
        <f>IF(SUM('DFP-CASH'!$C22:H22)&gt;SUM('DFP-Com'!$C20:H20),"error","ok")</f>
        <v>ok</v>
      </c>
      <c r="N10" s="300" t="str">
        <f>IF(SUM('DFP-CASH'!$C22:I22)&gt;SUM('DFP-Com'!$C20:I20),"error","ok")</f>
        <v>ok</v>
      </c>
      <c r="O10" s="300" t="str">
        <f>IF(SUM('DFP-CASH'!$C22:J22)&gt;SUM('DFP-Com'!$C20:J20),"error","ok")</f>
        <v>ok</v>
      </c>
      <c r="P10" s="300" t="str">
        <f>IF(SUM('DFP-CASH'!$C22:K22)&gt;SUM('DFP-Com'!$C20:K20),"error","ok")</f>
        <v>ok</v>
      </c>
      <c r="Q10" s="300" t="str">
        <f>IF(SUM('DFP-CASH'!$C22:L22)&gt;SUM('DFP-Com'!$C20:L20),"error","ok")</f>
        <v>ok</v>
      </c>
      <c r="R10" s="300" t="str">
        <f>IF(SUM('DFP-CASH'!$C22:M22)&gt;SUM('DFP-Com'!$C20:M20),"error","ok")</f>
        <v>ok</v>
      </c>
      <c r="S10" s="300" t="str">
        <f>IF(SUM('DFP-CASH'!$C22:N22)&gt;SUM('DFP-Com'!$C20:N20),"error","ok")</f>
        <v>ok</v>
      </c>
    </row>
    <row r="11" spans="1:19" ht="25.5" x14ac:dyDescent="0.25">
      <c r="A11" s="50" t="s">
        <v>81</v>
      </c>
      <c r="B11" s="255" t="str">
        <f>IF('DFP-Com'!Q21-'DFP-CASH'!Q23=0,"ok","error")</f>
        <v>error</v>
      </c>
      <c r="C11" s="300" t="str">
        <f>IF(SUM('DFP-CASH'!$C23:C23)&gt;SUM('DFP-Com'!$C21:D21),"error","ok")</f>
        <v>ok</v>
      </c>
      <c r="D11" s="300" t="str">
        <f>IF(SUM('DFP-CASH'!$C23:E23)&gt;SUM('DFP-Com'!$C21:E21),"error","ok")</f>
        <v>ok</v>
      </c>
      <c r="E11" s="300" t="str">
        <f>IF(SUM('DFP-CASH'!$C23:F23)&gt;SUM('DFP-Com'!$C21:F21),"error","ok")</f>
        <v>ok</v>
      </c>
      <c r="F11" s="300" t="str">
        <f>IF(SUM('DFP-CASH'!$C23:G23)&gt;SUM('DFP-Com'!$C21:G21),"error","ok")</f>
        <v>ok</v>
      </c>
      <c r="G11" s="300" t="str">
        <f>IF(SUM('DFP-CASH'!$C23:G23)&gt;SUM('DFP-Com'!$C21:G21),"error","ok")</f>
        <v>ok</v>
      </c>
      <c r="H11" s="300" t="str">
        <f>IF(SUM('DFP-CASH'!$C23:G23)&gt;SUM('DFP-Com'!$C21:G21),"error","ok")</f>
        <v>ok</v>
      </c>
      <c r="I11" s="300" t="str">
        <f>IF(SUM('DFP-CASH'!$C23:G23)&gt;SUM('DFP-Com'!$C21:G21),"error","ok")</f>
        <v>ok</v>
      </c>
      <c r="J11" s="300" t="str">
        <f>IF(SUM('DFP-CASH'!$C23:G23)&gt;SUM('DFP-Com'!$C21:G21),"error","ok")</f>
        <v>ok</v>
      </c>
      <c r="K11" s="300" t="str">
        <f>IF(SUM('DFP-CASH'!$C23:G23)&gt;SUM('DFP-Com'!$C21:G21),"error","ok")</f>
        <v>ok</v>
      </c>
      <c r="L11" s="300" t="str">
        <f>IF(SUM('DFP-CASH'!$C23:G23)&gt;SUM('DFP-Com'!$C21:G21),"error","ok")</f>
        <v>ok</v>
      </c>
      <c r="M11" s="300" t="str">
        <f>IF(SUM('DFP-CASH'!$C23:H23)&gt;SUM('DFP-Com'!$C21:H21),"error","ok")</f>
        <v>ok</v>
      </c>
      <c r="N11" s="300" t="str">
        <f>IF(SUM('DFP-CASH'!$C23:I23)&gt;SUM('DFP-Com'!$C21:I21),"error","ok")</f>
        <v>ok</v>
      </c>
      <c r="O11" s="300" t="str">
        <f>IF(SUM('DFP-CASH'!$C23:J23)&gt;SUM('DFP-Com'!$C21:J21),"error","ok")</f>
        <v>ok</v>
      </c>
      <c r="P11" s="300" t="str">
        <f>IF(SUM('DFP-CASH'!$C23:K23)&gt;SUM('DFP-Com'!$C21:K21),"error","ok")</f>
        <v>ok</v>
      </c>
      <c r="Q11" s="300" t="str">
        <f>IF(SUM('DFP-CASH'!$C23:L23)&gt;SUM('DFP-Com'!$C21:L21),"error","ok")</f>
        <v>ok</v>
      </c>
      <c r="R11" s="300" t="str">
        <f>IF(SUM('DFP-CASH'!$C23:M23)&gt;SUM('DFP-Com'!$C21:M21),"error","ok")</f>
        <v>ok</v>
      </c>
      <c r="S11" s="300" t="str">
        <f>IF(SUM('DFP-CASH'!$C23:N23)&gt;SUM('DFP-Com'!$C21:N21),"error","ok")</f>
        <v>ok</v>
      </c>
    </row>
    <row r="12" spans="1:19" x14ac:dyDescent="0.25">
      <c r="A12" s="202" t="s">
        <v>117</v>
      </c>
      <c r="B12" s="255" t="str">
        <f>IF('DFP-Com'!Q22-'DFP-CASH'!Q24=0,"ok","error")</f>
        <v>error</v>
      </c>
      <c r="C12" s="300" t="str">
        <f>IF(SUM('DFP-CASH'!$C24:C24)&gt;SUM('DFP-Com'!$C22:D22),"error","ok")</f>
        <v>ok</v>
      </c>
      <c r="D12" s="300" t="str">
        <f>IF(SUM('DFP-CASH'!$C24:E24)&gt;SUM('DFP-Com'!$C22:E22),"error","ok")</f>
        <v>ok</v>
      </c>
      <c r="E12" s="300" t="str">
        <f>IF(SUM('DFP-CASH'!$C24:F24)&gt;SUM('DFP-Com'!$C22:F22),"error","ok")</f>
        <v>ok</v>
      </c>
      <c r="F12" s="300" t="str">
        <f>IF(SUM('DFP-CASH'!$C24:G24)&gt;SUM('DFP-Com'!$C22:G22),"error","ok")</f>
        <v>ok</v>
      </c>
      <c r="G12" s="300" t="str">
        <f>IF(SUM('DFP-CASH'!$C24:G24)&gt;SUM('DFP-Com'!$C22:G22),"error","ok")</f>
        <v>ok</v>
      </c>
      <c r="H12" s="300" t="str">
        <f>IF(SUM('DFP-CASH'!$C24:G24)&gt;SUM('DFP-Com'!$C22:G22),"error","ok")</f>
        <v>ok</v>
      </c>
      <c r="I12" s="300" t="str">
        <f>IF(SUM('DFP-CASH'!$C24:G24)&gt;SUM('DFP-Com'!$C22:G22),"error","ok")</f>
        <v>ok</v>
      </c>
      <c r="J12" s="300" t="str">
        <f>IF(SUM('DFP-CASH'!$C24:G24)&gt;SUM('DFP-Com'!$C22:G22),"error","ok")</f>
        <v>ok</v>
      </c>
      <c r="K12" s="300" t="str">
        <f>IF(SUM('DFP-CASH'!$C24:G24)&gt;SUM('DFP-Com'!$C22:G22),"error","ok")</f>
        <v>ok</v>
      </c>
      <c r="L12" s="300" t="str">
        <f>IF(SUM('DFP-CASH'!$C24:G24)&gt;SUM('DFP-Com'!$C22:G22),"error","ok")</f>
        <v>ok</v>
      </c>
      <c r="M12" s="300" t="str">
        <f>IF(SUM('DFP-CASH'!$C24:H24)&gt;SUM('DFP-Com'!$C22:H22),"error","ok")</f>
        <v>ok</v>
      </c>
      <c r="N12" s="300" t="str">
        <f>IF(SUM('DFP-CASH'!$C24:I24)&gt;SUM('DFP-Com'!$C22:I22),"error","ok")</f>
        <v>ok</v>
      </c>
      <c r="O12" s="300" t="str">
        <f>IF(SUM('DFP-CASH'!$C24:J24)&gt;SUM('DFP-Com'!$C22:J22),"error","ok")</f>
        <v>ok</v>
      </c>
      <c r="P12" s="300" t="str">
        <f>IF(SUM('DFP-CASH'!$C24:K24)&gt;SUM('DFP-Com'!$C22:K22),"error","ok")</f>
        <v>ok</v>
      </c>
      <c r="Q12" s="300" t="str">
        <f>IF(SUM('DFP-CASH'!$C24:L24)&gt;SUM('DFP-Com'!$C22:L22),"error","ok")</f>
        <v>ok</v>
      </c>
      <c r="R12" s="300" t="str">
        <f>IF(SUM('DFP-CASH'!$C24:M24)&gt;SUM('DFP-Com'!$C22:M22),"error","ok")</f>
        <v>ok</v>
      </c>
      <c r="S12" s="300" t="str">
        <f>IF(SUM('DFP-CASH'!$C24:N24)&gt;SUM('DFP-Com'!$C22:N22),"error","ok")</f>
        <v>ok</v>
      </c>
    </row>
    <row r="13" spans="1:19" x14ac:dyDescent="0.25">
      <c r="A13" s="202" t="s">
        <v>133</v>
      </c>
      <c r="B13" s="255" t="str">
        <f>IF('DFP-Com'!Q23-'DFP-CASH'!Q25=0,"ok","error")</f>
        <v>error</v>
      </c>
      <c r="C13" s="300" t="str">
        <f>IF(SUM('DFP-CASH'!$C25:C25)&gt;SUM('DFP-Com'!$C23:D23),"error","ok")</f>
        <v>ok</v>
      </c>
      <c r="D13" s="300" t="str">
        <f>IF(SUM('DFP-CASH'!$C25:E25)&gt;SUM('DFP-Com'!$C23:E23),"error","ok")</f>
        <v>ok</v>
      </c>
      <c r="E13" s="300" t="str">
        <f>IF(SUM('DFP-CASH'!$C25:F25)&gt;SUM('DFP-Com'!$C23:F23),"error","ok")</f>
        <v>ok</v>
      </c>
      <c r="F13" s="300" t="str">
        <f>IF(SUM('DFP-CASH'!$C25:G25)&gt;SUM('DFP-Com'!$C23:G23),"error","ok")</f>
        <v>ok</v>
      </c>
      <c r="G13" s="300" t="str">
        <f>IF(SUM('DFP-CASH'!$C25:G25)&gt;SUM('DFP-Com'!$C23:G23),"error","ok")</f>
        <v>ok</v>
      </c>
      <c r="H13" s="300" t="str">
        <f>IF(SUM('DFP-CASH'!$C25:G25)&gt;SUM('DFP-Com'!$C23:G23),"error","ok")</f>
        <v>ok</v>
      </c>
      <c r="I13" s="300" t="str">
        <f>IF(SUM('DFP-CASH'!$C25:G25)&gt;SUM('DFP-Com'!$C23:G23),"error","ok")</f>
        <v>ok</v>
      </c>
      <c r="J13" s="300" t="str">
        <f>IF(SUM('DFP-CASH'!$C25:G25)&gt;SUM('DFP-Com'!$C23:G23),"error","ok")</f>
        <v>ok</v>
      </c>
      <c r="K13" s="300" t="str">
        <f>IF(SUM('DFP-CASH'!$C25:G25)&gt;SUM('DFP-Com'!$C23:G23),"error","ok")</f>
        <v>ok</v>
      </c>
      <c r="L13" s="300" t="str">
        <f>IF(SUM('DFP-CASH'!$C25:G25)&gt;SUM('DFP-Com'!$C23:G23),"error","ok")</f>
        <v>ok</v>
      </c>
      <c r="M13" s="300" t="str">
        <f>IF(SUM('DFP-CASH'!$C25:H25)&gt;SUM('DFP-Com'!$C23:H23),"error","ok")</f>
        <v>ok</v>
      </c>
      <c r="N13" s="300" t="str">
        <f>IF(SUM('DFP-CASH'!$C25:I25)&gt;SUM('DFP-Com'!$C23:I23),"error","ok")</f>
        <v>error</v>
      </c>
      <c r="O13" s="300" t="str">
        <f>IF(SUM('DFP-CASH'!$C25:J25)&gt;SUM('DFP-Com'!$C23:J23),"error","ok")</f>
        <v>ok</v>
      </c>
      <c r="P13" s="300" t="str">
        <f>IF(SUM('DFP-CASH'!$C25:K25)&gt;SUM('DFP-Com'!$C23:K23),"error","ok")</f>
        <v>ok</v>
      </c>
      <c r="Q13" s="300" t="str">
        <f>IF(SUM('DFP-CASH'!$C25:L25)&gt;SUM('DFP-Com'!$C23:L23),"error","ok")</f>
        <v>ok</v>
      </c>
      <c r="R13" s="300" t="str">
        <f>IF(SUM('DFP-CASH'!$C25:M25)&gt;SUM('DFP-Com'!$C23:M23),"error","ok")</f>
        <v>error</v>
      </c>
      <c r="S13" s="300" t="str">
        <f>IF(SUM('DFP-CASH'!$C25:N25)&gt;SUM('DFP-Com'!$C23:N23),"error","ok")</f>
        <v>error</v>
      </c>
    </row>
    <row r="14" spans="1:19" x14ac:dyDescent="0.25">
      <c r="A14" s="202" t="s">
        <v>132</v>
      </c>
      <c r="B14" s="255" t="str">
        <f>IF('DFP-Com'!Q24-'DFP-CASH'!Q26=0,"ok","error")</f>
        <v>ok</v>
      </c>
      <c r="C14" s="300" t="str">
        <f>IF(SUM('DFP-CASH'!$C26:C26)&gt;SUM('DFP-Com'!$C24:D24),"error","ok")</f>
        <v>ok</v>
      </c>
      <c r="D14" s="300" t="str">
        <f>IF(SUM('DFP-CASH'!$C26:E26)&gt;SUM('DFP-Com'!$C24:E24),"error","ok")</f>
        <v>ok</v>
      </c>
      <c r="E14" s="300" t="str">
        <f>IF(SUM('DFP-CASH'!$C26:F26)&gt;SUM('DFP-Com'!$C24:F24),"error","ok")</f>
        <v>ok</v>
      </c>
      <c r="F14" s="300" t="str">
        <f>IF(SUM('DFP-CASH'!$C26:G26)&gt;SUM('DFP-Com'!$C24:G24),"error","ok")</f>
        <v>ok</v>
      </c>
      <c r="G14" s="300" t="str">
        <f>IF(SUM('DFP-CASH'!$C26:G26)&gt;SUM('DFP-Com'!$C24:G24),"error","ok")</f>
        <v>ok</v>
      </c>
      <c r="H14" s="300" t="str">
        <f>IF(SUM('DFP-CASH'!$C26:G26)&gt;SUM('DFP-Com'!$C24:G24),"error","ok")</f>
        <v>ok</v>
      </c>
      <c r="I14" s="300" t="str">
        <f>IF(SUM('DFP-CASH'!$C26:G26)&gt;SUM('DFP-Com'!$C24:G24),"error","ok")</f>
        <v>ok</v>
      </c>
      <c r="J14" s="300" t="str">
        <f>IF(SUM('DFP-CASH'!$C26:G26)&gt;SUM('DFP-Com'!$C24:G24),"error","ok")</f>
        <v>ok</v>
      </c>
      <c r="K14" s="300" t="str">
        <f>IF(SUM('DFP-CASH'!$C26:G26)&gt;SUM('DFP-Com'!$C24:G24),"error","ok")</f>
        <v>ok</v>
      </c>
      <c r="L14" s="300" t="str">
        <f>IF(SUM('DFP-CASH'!$C26:G26)&gt;SUM('DFP-Com'!$C24:G24),"error","ok")</f>
        <v>ok</v>
      </c>
      <c r="M14" s="300" t="str">
        <f>IF(SUM('DFP-CASH'!$C26:H26)&gt;SUM('DFP-Com'!$C24:H24),"error","ok")</f>
        <v>ok</v>
      </c>
      <c r="N14" s="300" t="str">
        <f>IF(SUM('DFP-CASH'!$C26:I26)&gt;SUM('DFP-Com'!$C24:I24),"error","ok")</f>
        <v>ok</v>
      </c>
      <c r="O14" s="300" t="str">
        <f>IF(SUM('DFP-CASH'!$C26:J26)&gt;SUM('DFP-Com'!$C24:J24),"error","ok")</f>
        <v>ok</v>
      </c>
      <c r="P14" s="300" t="str">
        <f>IF(SUM('DFP-CASH'!$C26:K26)&gt;SUM('DFP-Com'!$C24:K24),"error","ok")</f>
        <v>ok</v>
      </c>
      <c r="Q14" s="300" t="str">
        <f>IF(SUM('DFP-CASH'!$C26:L26)&gt;SUM('DFP-Com'!$C24:L24),"error","ok")</f>
        <v>ok</v>
      </c>
      <c r="R14" s="300" t="str">
        <f>IF(SUM('DFP-CASH'!$C26:M26)&gt;SUM('DFP-Com'!$C24:M24),"error","ok")</f>
        <v>ok</v>
      </c>
      <c r="S14" s="300" t="str">
        <f>IF(SUM('DFP-CASH'!$C26:N26)&gt;SUM('DFP-Com'!$C24:N24),"error","ok")</f>
        <v>ok</v>
      </c>
    </row>
    <row r="15" spans="1:19" x14ac:dyDescent="0.25">
      <c r="A15" s="52" t="s">
        <v>62</v>
      </c>
      <c r="B15" s="255" t="str">
        <f>IF('DFP-Com'!Q25-'DFP-CASH'!Q27=0,"ok","error")</f>
        <v>error</v>
      </c>
      <c r="C15" s="300" t="str">
        <f>IF(SUM('DFP-CASH'!$C27:C27)&gt;SUM('DFP-Com'!$C25:D25),"error","ok")</f>
        <v>ok</v>
      </c>
      <c r="D15" s="300" t="str">
        <f>IF(SUM('DFP-CASH'!$C27:E27)&gt;SUM('DFP-Com'!$C25:E25),"error","ok")</f>
        <v>ok</v>
      </c>
      <c r="E15" s="300" t="str">
        <f>IF(SUM('DFP-CASH'!$C27:F27)&gt;SUM('DFP-Com'!$C25:F25),"error","ok")</f>
        <v>ok</v>
      </c>
      <c r="F15" s="300" t="str">
        <f>IF(SUM('DFP-CASH'!$C27:G27)&gt;SUM('DFP-Com'!$C25:G25),"error","ok")</f>
        <v>ok</v>
      </c>
      <c r="G15" s="300" t="str">
        <f>IF(SUM('DFP-CASH'!$C27:G27)&gt;SUM('DFP-Com'!$C25:G25),"error","ok")</f>
        <v>ok</v>
      </c>
      <c r="H15" s="300" t="str">
        <f>IF(SUM('DFP-CASH'!$C27:G27)&gt;SUM('DFP-Com'!$C25:G25),"error","ok")</f>
        <v>ok</v>
      </c>
      <c r="I15" s="300" t="str">
        <f>IF(SUM('DFP-CASH'!$C27:G27)&gt;SUM('DFP-Com'!$C25:G25),"error","ok")</f>
        <v>ok</v>
      </c>
      <c r="J15" s="300" t="str">
        <f>IF(SUM('DFP-CASH'!$C27:G27)&gt;SUM('DFP-Com'!$C25:G25),"error","ok")</f>
        <v>ok</v>
      </c>
      <c r="K15" s="300" t="str">
        <f>IF(SUM('DFP-CASH'!$C27:G27)&gt;SUM('DFP-Com'!$C25:G25),"error","ok")</f>
        <v>ok</v>
      </c>
      <c r="L15" s="300" t="str">
        <f>IF(SUM('DFP-CASH'!$C27:G27)&gt;SUM('DFP-Com'!$C25:G25),"error","ok")</f>
        <v>ok</v>
      </c>
      <c r="M15" s="300" t="str">
        <f>IF(SUM('DFP-CASH'!$C27:H27)&gt;SUM('DFP-Com'!$C25:H25),"error","ok")</f>
        <v>ok</v>
      </c>
      <c r="N15" s="300" t="str">
        <f>IF(SUM('DFP-CASH'!$C27:I27)&gt;SUM('DFP-Com'!$C25:I25),"error","ok")</f>
        <v>ok</v>
      </c>
      <c r="O15" s="300" t="str">
        <f>IF(SUM('DFP-CASH'!$C27:J27)&gt;SUM('DFP-Com'!$C25:J25),"error","ok")</f>
        <v>ok</v>
      </c>
      <c r="P15" s="300" t="str">
        <f>IF(SUM('DFP-CASH'!$C27:K27)&gt;SUM('DFP-Com'!$C25:K25),"error","ok")</f>
        <v>ok</v>
      </c>
      <c r="Q15" s="300" t="str">
        <f>IF(SUM('DFP-CASH'!$C27:L27)&gt;SUM('DFP-Com'!$C25:L25),"error","ok")</f>
        <v>ok</v>
      </c>
      <c r="R15" s="300" t="str">
        <f>IF(SUM('DFP-CASH'!$C27:M27)&gt;SUM('DFP-Com'!$C25:M25),"error","ok")</f>
        <v>ok</v>
      </c>
      <c r="S15" s="300" t="str">
        <f>IF(SUM('DFP-CASH'!$C27:N27)&gt;SUM('DFP-Com'!$C25:N25),"error","ok")</f>
        <v>ok</v>
      </c>
    </row>
    <row r="16" spans="1:19" x14ac:dyDescent="0.25">
      <c r="A16" s="54"/>
      <c r="B16" s="255" t="str">
        <f>IF('DFP-Com'!Q26-'DFP-CASH'!Q28=0,"ok","error")</f>
        <v>ok</v>
      </c>
      <c r="C16" s="300" t="str">
        <f>IF(SUM('DFP-CASH'!$C28:C28)&gt;SUM('DFP-Com'!$C26:D26),"error","ok")</f>
        <v>ok</v>
      </c>
      <c r="D16" s="300" t="str">
        <f>IF(SUM('DFP-CASH'!$C28:E28)&gt;SUM('DFP-Com'!$C26:E26),"error","ok")</f>
        <v>ok</v>
      </c>
      <c r="E16" s="300" t="str">
        <f>IF(SUM('DFP-CASH'!$C28:F28)&gt;SUM('DFP-Com'!$C26:F26),"error","ok")</f>
        <v>ok</v>
      </c>
      <c r="F16" s="300" t="str">
        <f>IF(SUM('DFP-CASH'!$C28:G28)&gt;SUM('DFP-Com'!$C26:G26),"error","ok")</f>
        <v>ok</v>
      </c>
      <c r="G16" s="300" t="str">
        <f>IF(SUM('DFP-CASH'!$C28:G28)&gt;SUM('DFP-Com'!$C26:G26),"error","ok")</f>
        <v>ok</v>
      </c>
      <c r="H16" s="300" t="str">
        <f>IF(SUM('DFP-CASH'!$C28:G28)&gt;SUM('DFP-Com'!$C26:G26),"error","ok")</f>
        <v>ok</v>
      </c>
      <c r="I16" s="300" t="str">
        <f>IF(SUM('DFP-CASH'!$C28:G28)&gt;SUM('DFP-Com'!$C26:G26),"error","ok")</f>
        <v>ok</v>
      </c>
      <c r="J16" s="300" t="str">
        <f>IF(SUM('DFP-CASH'!$C28:G28)&gt;SUM('DFP-Com'!$C26:G26),"error","ok")</f>
        <v>ok</v>
      </c>
      <c r="K16" s="300" t="str">
        <f>IF(SUM('DFP-CASH'!$C28:G28)&gt;SUM('DFP-Com'!$C26:G26),"error","ok")</f>
        <v>ok</v>
      </c>
      <c r="L16" s="300" t="str">
        <f>IF(SUM('DFP-CASH'!$C28:G28)&gt;SUM('DFP-Com'!$C26:G26),"error","ok")</f>
        <v>ok</v>
      </c>
      <c r="M16" s="300" t="str">
        <f>IF(SUM('DFP-CASH'!$C28:H28)&gt;SUM('DFP-Com'!$C26:H26),"error","ok")</f>
        <v>ok</v>
      </c>
      <c r="N16" s="300" t="str">
        <f>IF(SUM('DFP-CASH'!$C28:I28)&gt;SUM('DFP-Com'!$C26:I26),"error","ok")</f>
        <v>ok</v>
      </c>
      <c r="O16" s="300" t="str">
        <f>IF(SUM('DFP-CASH'!$C28:J28)&gt;SUM('DFP-Com'!$C26:J26),"error","ok")</f>
        <v>ok</v>
      </c>
      <c r="P16" s="300" t="str">
        <f>IF(SUM('DFP-CASH'!$C28:K28)&gt;SUM('DFP-Com'!$C26:K26),"error","ok")</f>
        <v>ok</v>
      </c>
      <c r="Q16" s="300" t="str">
        <f>IF(SUM('DFP-CASH'!$C28:L28)&gt;SUM('DFP-Com'!$C26:L26),"error","ok")</f>
        <v>ok</v>
      </c>
      <c r="R16" s="300" t="str">
        <f>IF(SUM('DFP-CASH'!$C28:M28)&gt;SUM('DFP-Com'!$C26:M26),"error","ok")</f>
        <v>ok</v>
      </c>
      <c r="S16" s="300" t="str">
        <f>IF(SUM('DFP-CASH'!$C28:N28)&gt;SUM('DFP-Com'!$C26:N26),"error","ok")</f>
        <v>ok</v>
      </c>
    </row>
    <row r="17" spans="1:19" x14ac:dyDescent="0.25">
      <c r="A17" s="45" t="s">
        <v>84</v>
      </c>
      <c r="B17" s="255" t="str">
        <f>IF('DFP-Com'!Q27-'DFP-CASH'!Q29=0,"ok","error")</f>
        <v>ok</v>
      </c>
      <c r="C17" s="300" t="str">
        <f>IF(SUM('DFP-CASH'!$C29:C29)&gt;SUM('DFP-Com'!$C27:D27),"error","ok")</f>
        <v>ok</v>
      </c>
      <c r="D17" s="300" t="str">
        <f>IF(SUM('DFP-CASH'!$C29:E29)&gt;SUM('DFP-Com'!$C27:E27),"error","ok")</f>
        <v>ok</v>
      </c>
      <c r="E17" s="300" t="str">
        <f>IF(SUM('DFP-CASH'!$C29:F29)&gt;SUM('DFP-Com'!$C27:F27),"error","ok")</f>
        <v>ok</v>
      </c>
      <c r="F17" s="300" t="str">
        <f>IF(SUM('DFP-CASH'!$C29:G29)&gt;SUM('DFP-Com'!$C27:G27),"error","ok")</f>
        <v>ok</v>
      </c>
      <c r="G17" s="300" t="str">
        <f>IF(SUM('DFP-CASH'!$C29:G29)&gt;SUM('DFP-Com'!$C27:G27),"error","ok")</f>
        <v>ok</v>
      </c>
      <c r="H17" s="300" t="str">
        <f>IF(SUM('DFP-CASH'!$C29:G29)&gt;SUM('DFP-Com'!$C27:G27),"error","ok")</f>
        <v>ok</v>
      </c>
      <c r="I17" s="300" t="str">
        <f>IF(SUM('DFP-CASH'!$C29:G29)&gt;SUM('DFP-Com'!$C27:G27),"error","ok")</f>
        <v>ok</v>
      </c>
      <c r="J17" s="300" t="str">
        <f>IF(SUM('DFP-CASH'!$C29:G29)&gt;SUM('DFP-Com'!$C27:G27),"error","ok")</f>
        <v>ok</v>
      </c>
      <c r="K17" s="300" t="str">
        <f>IF(SUM('DFP-CASH'!$C29:G29)&gt;SUM('DFP-Com'!$C27:G27),"error","ok")</f>
        <v>ok</v>
      </c>
      <c r="L17" s="300" t="str">
        <f>IF(SUM('DFP-CASH'!$C29:G29)&gt;SUM('DFP-Com'!$C27:G27),"error","ok")</f>
        <v>ok</v>
      </c>
      <c r="M17" s="300" t="str">
        <f>IF(SUM('DFP-CASH'!$C29:H29)&gt;SUM('DFP-Com'!$C27:H27),"error","ok")</f>
        <v>ok</v>
      </c>
      <c r="N17" s="300" t="str">
        <f>IF(SUM('DFP-CASH'!$C29:I29)&gt;SUM('DFP-Com'!$C27:I27),"error","ok")</f>
        <v>ok</v>
      </c>
      <c r="O17" s="300" t="str">
        <f>IF(SUM('DFP-CASH'!$C29:J29)&gt;SUM('DFP-Com'!$C27:J27),"error","ok")</f>
        <v>ok</v>
      </c>
      <c r="P17" s="300" t="str">
        <f>IF(SUM('DFP-CASH'!$C29:K29)&gt;SUM('DFP-Com'!$C27:K27),"error","ok")</f>
        <v>ok</v>
      </c>
      <c r="Q17" s="300" t="str">
        <f>IF(SUM('DFP-CASH'!$C29:L29)&gt;SUM('DFP-Com'!$C27:L27),"error","ok")</f>
        <v>ok</v>
      </c>
      <c r="R17" s="300" t="str">
        <f>IF(SUM('DFP-CASH'!$C29:M29)&gt;SUM('DFP-Com'!$C27:M27),"error","ok")</f>
        <v>ok</v>
      </c>
      <c r="S17" s="300" t="str">
        <f>IF(SUM('DFP-CASH'!$C29:N29)&gt;SUM('DFP-Com'!$C27:N27),"error","ok")</f>
        <v>ok</v>
      </c>
    </row>
    <row r="18" spans="1:19" x14ac:dyDescent="0.25">
      <c r="A18" s="50" t="s">
        <v>134</v>
      </c>
      <c r="B18" s="255" t="str">
        <f>IF('DFP-Com'!Q28-'DFP-CASH'!Q30=0,"ok","error")</f>
        <v>ok</v>
      </c>
      <c r="C18" s="300" t="str">
        <f>IF(SUM('DFP-CASH'!$C30:C30)&gt;SUM('DFP-Com'!$C28:D28),"error","ok")</f>
        <v>ok</v>
      </c>
      <c r="D18" s="300" t="str">
        <f>IF(SUM('DFP-CASH'!$C30:E30)&gt;SUM('DFP-Com'!$C28:E28),"error","ok")</f>
        <v>ok</v>
      </c>
      <c r="E18" s="300" t="str">
        <f>IF(SUM('DFP-CASH'!$C30:F30)&gt;SUM('DFP-Com'!$C28:F28),"error","ok")</f>
        <v>ok</v>
      </c>
      <c r="F18" s="300" t="str">
        <f>IF(SUM('DFP-CASH'!$C30:G30)&gt;SUM('DFP-Com'!$C28:G28),"error","ok")</f>
        <v>ok</v>
      </c>
      <c r="G18" s="300" t="str">
        <f>IF(SUM('DFP-CASH'!$C30:G30)&gt;SUM('DFP-Com'!$C28:G28),"error","ok")</f>
        <v>ok</v>
      </c>
      <c r="H18" s="300" t="str">
        <f>IF(SUM('DFP-CASH'!$C30:G30)&gt;SUM('DFP-Com'!$C28:G28),"error","ok")</f>
        <v>ok</v>
      </c>
      <c r="I18" s="300" t="str">
        <f>IF(SUM('DFP-CASH'!$C30:G30)&gt;SUM('DFP-Com'!$C28:G28),"error","ok")</f>
        <v>ok</v>
      </c>
      <c r="J18" s="300" t="str">
        <f>IF(SUM('DFP-CASH'!$C30:G30)&gt;SUM('DFP-Com'!$C28:G28),"error","ok")</f>
        <v>ok</v>
      </c>
      <c r="K18" s="300" t="str">
        <f>IF(SUM('DFP-CASH'!$C30:G30)&gt;SUM('DFP-Com'!$C28:G28),"error","ok")</f>
        <v>ok</v>
      </c>
      <c r="L18" s="300" t="str">
        <f>IF(SUM('DFP-CASH'!$C30:G30)&gt;SUM('DFP-Com'!$C28:G28),"error","ok")</f>
        <v>ok</v>
      </c>
      <c r="M18" s="300" t="str">
        <f>IF(SUM('DFP-CASH'!$C30:H30)&gt;SUM('DFP-Com'!$C28:H28),"error","ok")</f>
        <v>ok</v>
      </c>
      <c r="N18" s="300" t="str">
        <f>IF(SUM('DFP-CASH'!$C30:I30)&gt;SUM('DFP-Com'!$C28:I28),"error","ok")</f>
        <v>ok</v>
      </c>
      <c r="O18" s="300" t="str">
        <f>IF(SUM('DFP-CASH'!$C30:J30)&gt;SUM('DFP-Com'!$C28:J28),"error","ok")</f>
        <v>ok</v>
      </c>
      <c r="P18" s="300" t="str">
        <f>IF(SUM('DFP-CASH'!$C30:K30)&gt;SUM('DFP-Com'!$C28:K28),"error","ok")</f>
        <v>ok</v>
      </c>
      <c r="Q18" s="300" t="str">
        <f>IF(SUM('DFP-CASH'!$C30:L30)&gt;SUM('DFP-Com'!$C28:L28),"error","ok")</f>
        <v>ok</v>
      </c>
      <c r="R18" s="300" t="str">
        <f>IF(SUM('DFP-CASH'!$C30:M30)&gt;SUM('DFP-Com'!$C28:M28),"error","ok")</f>
        <v>error</v>
      </c>
      <c r="S18" s="300" t="str">
        <f>IF(SUM('DFP-CASH'!$C30:N30)&gt;SUM('DFP-Com'!$C28:N28),"error","ok")</f>
        <v>error</v>
      </c>
    </row>
    <row r="19" spans="1:19" x14ac:dyDescent="0.25">
      <c r="A19" s="202" t="s">
        <v>127</v>
      </c>
      <c r="B19" s="255" t="str">
        <f>IF('DFP-Com'!Q29-'DFP-CASH'!Q31=0,"ok","error")</f>
        <v>ok</v>
      </c>
      <c r="C19" s="300" t="str">
        <f>IF(SUM('DFP-CASH'!$C31:C31)&gt;SUM('DFP-Com'!$C29:D29),"error","ok")</f>
        <v>ok</v>
      </c>
      <c r="D19" s="300" t="str">
        <f>IF(SUM('DFP-CASH'!$C31:E31)&gt;SUM('DFP-Com'!$C29:E29),"error","ok")</f>
        <v>ok</v>
      </c>
      <c r="E19" s="300" t="str">
        <f>IF(SUM('DFP-CASH'!$C31:F31)&gt;SUM('DFP-Com'!$C29:F29),"error","ok")</f>
        <v>ok</v>
      </c>
      <c r="F19" s="300" t="str">
        <f>IF(SUM('DFP-CASH'!$C31:G31)&gt;SUM('DFP-Com'!$C29:G29),"error","ok")</f>
        <v>ok</v>
      </c>
      <c r="G19" s="300" t="str">
        <f>IF(SUM('DFP-CASH'!$C31:G31)&gt;SUM('DFP-Com'!$C29:G29),"error","ok")</f>
        <v>ok</v>
      </c>
      <c r="H19" s="300" t="str">
        <f>IF(SUM('DFP-CASH'!$C31:G31)&gt;SUM('DFP-Com'!$C29:G29),"error","ok")</f>
        <v>ok</v>
      </c>
      <c r="I19" s="300" t="str">
        <f>IF(SUM('DFP-CASH'!$C31:G31)&gt;SUM('DFP-Com'!$C29:G29),"error","ok")</f>
        <v>ok</v>
      </c>
      <c r="J19" s="300" t="str">
        <f>IF(SUM('DFP-CASH'!$C31:G31)&gt;SUM('DFP-Com'!$C29:G29),"error","ok")</f>
        <v>ok</v>
      </c>
      <c r="K19" s="300" t="str">
        <f>IF(SUM('DFP-CASH'!$C31:G31)&gt;SUM('DFP-Com'!$C29:G29),"error","ok")</f>
        <v>ok</v>
      </c>
      <c r="L19" s="300" t="str">
        <f>IF(SUM('DFP-CASH'!$C31:G31)&gt;SUM('DFP-Com'!$C29:G29),"error","ok")</f>
        <v>ok</v>
      </c>
      <c r="M19" s="300" t="str">
        <f>IF(SUM('DFP-CASH'!$C31:H31)&gt;SUM('DFP-Com'!$C29:H29),"error","ok")</f>
        <v>ok</v>
      </c>
      <c r="N19" s="300" t="str">
        <f>IF(SUM('DFP-CASH'!$C31:I31)&gt;SUM('DFP-Com'!$C29:I29),"error","ok")</f>
        <v>ok</v>
      </c>
      <c r="O19" s="300" t="str">
        <f>IF(SUM('DFP-CASH'!$C31:J31)&gt;SUM('DFP-Com'!$C29:J29),"error","ok")</f>
        <v>ok</v>
      </c>
      <c r="P19" s="300" t="str">
        <f>IF(SUM('DFP-CASH'!$C31:K31)&gt;SUM('DFP-Com'!$C29:K29),"error","ok")</f>
        <v>ok</v>
      </c>
      <c r="Q19" s="300" t="str">
        <f>IF(SUM('DFP-CASH'!$C31:L31)&gt;SUM('DFP-Com'!$C29:L29),"error","ok")</f>
        <v>ok</v>
      </c>
      <c r="R19" s="300" t="str">
        <f>IF(SUM('DFP-CASH'!$C31:M31)&gt;SUM('DFP-Com'!$C29:M29),"error","ok")</f>
        <v>error</v>
      </c>
      <c r="S19" s="300" t="str">
        <f>IF(SUM('DFP-CASH'!$C31:N31)&gt;SUM('DFP-Com'!$C29:N29),"error","ok")</f>
        <v>error</v>
      </c>
    </row>
    <row r="20" spans="1:19" ht="25.5" x14ac:dyDescent="0.25">
      <c r="A20" s="50" t="s">
        <v>88</v>
      </c>
      <c r="B20" s="255" t="str">
        <f>IF('DFP-Com'!Q30-'DFP-CASH'!Q32=0,"ok","error")</f>
        <v>ok</v>
      </c>
      <c r="C20" s="300" t="str">
        <f>IF(SUM('DFP-CASH'!$C32:C32)&gt;SUM('DFP-Com'!$C30:D30),"error","ok")</f>
        <v>ok</v>
      </c>
      <c r="D20" s="300" t="str">
        <f>IF(SUM('DFP-CASH'!$C32:E32)&gt;SUM('DFP-Com'!$C30:E30),"error","ok")</f>
        <v>ok</v>
      </c>
      <c r="E20" s="300" t="str">
        <f>IF(SUM('DFP-CASH'!$C32:F32)&gt;SUM('DFP-Com'!$C30:F30),"error","ok")</f>
        <v>ok</v>
      </c>
      <c r="F20" s="300" t="str">
        <f>IF(SUM('DFP-CASH'!$C32:G32)&gt;SUM('DFP-Com'!$C30:G30),"error","ok")</f>
        <v>ok</v>
      </c>
      <c r="G20" s="300" t="str">
        <f>IF(SUM('DFP-CASH'!$C32:G32)&gt;SUM('DFP-Com'!$C30:G30),"error","ok")</f>
        <v>ok</v>
      </c>
      <c r="H20" s="300" t="str">
        <f>IF(SUM('DFP-CASH'!$C32:G32)&gt;SUM('DFP-Com'!$C30:G30),"error","ok")</f>
        <v>ok</v>
      </c>
      <c r="I20" s="300" t="str">
        <f>IF(SUM('DFP-CASH'!$C32:G32)&gt;SUM('DFP-Com'!$C30:G30),"error","ok")</f>
        <v>ok</v>
      </c>
      <c r="J20" s="300" t="str">
        <f>IF(SUM('DFP-CASH'!$C32:G32)&gt;SUM('DFP-Com'!$C30:G30),"error","ok")</f>
        <v>ok</v>
      </c>
      <c r="K20" s="300" t="str">
        <f>IF(SUM('DFP-CASH'!$C32:G32)&gt;SUM('DFP-Com'!$C30:G30),"error","ok")</f>
        <v>ok</v>
      </c>
      <c r="L20" s="300" t="str">
        <f>IF(SUM('DFP-CASH'!$C32:G32)&gt;SUM('DFP-Com'!$C30:G30),"error","ok")</f>
        <v>ok</v>
      </c>
      <c r="M20" s="300" t="str">
        <f>IF(SUM('DFP-CASH'!$C32:H32)&gt;SUM('DFP-Com'!$C30:H30),"error","ok")</f>
        <v>ok</v>
      </c>
      <c r="N20" s="300" t="str">
        <f>IF(SUM('DFP-CASH'!$C32:I32)&gt;SUM('DFP-Com'!$C30:I30),"error","ok")</f>
        <v>ok</v>
      </c>
      <c r="O20" s="300" t="str">
        <f>IF(SUM('DFP-CASH'!$C32:J32)&gt;SUM('DFP-Com'!$C30:J30),"error","ok")</f>
        <v>ok</v>
      </c>
      <c r="P20" s="300" t="str">
        <f>IF(SUM('DFP-CASH'!$C32:K32)&gt;SUM('DFP-Com'!$C30:K30),"error","ok")</f>
        <v>ok</v>
      </c>
      <c r="Q20" s="300" t="str">
        <f>IF(SUM('DFP-CASH'!$C32:L32)&gt;SUM('DFP-Com'!$C30:L30),"error","ok")</f>
        <v>ok</v>
      </c>
      <c r="R20" s="300" t="str">
        <f>IF(SUM('DFP-CASH'!$C32:M32)&gt;SUM('DFP-Com'!$C30:M30),"error","ok")</f>
        <v>ok</v>
      </c>
      <c r="S20" s="300" t="str">
        <f>IF(SUM('DFP-CASH'!$C32:N32)&gt;SUM('DFP-Com'!$C30:N30),"error","ok")</f>
        <v>ok</v>
      </c>
    </row>
    <row r="21" spans="1:19" x14ac:dyDescent="0.25">
      <c r="A21" s="202" t="s">
        <v>128</v>
      </c>
      <c r="B21" s="255" t="str">
        <f>IF('DFP-Com'!Q31-'DFP-CASH'!Q33=0,"ok","error")</f>
        <v>ok</v>
      </c>
      <c r="C21" s="300" t="str">
        <f>IF(SUM('DFP-CASH'!$C33:C33)&gt;SUM('DFP-Com'!$C31:D31),"error","ok")</f>
        <v>ok</v>
      </c>
      <c r="D21" s="300" t="str">
        <f>IF(SUM('DFP-CASH'!$C33:E33)&gt;SUM('DFP-Com'!$C31:E31),"error","ok")</f>
        <v>ok</v>
      </c>
      <c r="E21" s="300" t="str">
        <f>IF(SUM('DFP-CASH'!$C33:F33)&gt;SUM('DFP-Com'!$C31:F31),"error","ok")</f>
        <v>ok</v>
      </c>
      <c r="F21" s="300" t="str">
        <f>IF(SUM('DFP-CASH'!$C33:G33)&gt;SUM('DFP-Com'!$C31:G31),"error","ok")</f>
        <v>ok</v>
      </c>
      <c r="G21" s="300" t="str">
        <f>IF(SUM('DFP-CASH'!$C33:G33)&gt;SUM('DFP-Com'!$C31:G31),"error","ok")</f>
        <v>ok</v>
      </c>
      <c r="H21" s="300" t="str">
        <f>IF(SUM('DFP-CASH'!$C33:G33)&gt;SUM('DFP-Com'!$C31:G31),"error","ok")</f>
        <v>ok</v>
      </c>
      <c r="I21" s="300" t="str">
        <f>IF(SUM('DFP-CASH'!$C33:G33)&gt;SUM('DFP-Com'!$C31:G31),"error","ok")</f>
        <v>ok</v>
      </c>
      <c r="J21" s="300" t="str">
        <f>IF(SUM('DFP-CASH'!$C33:G33)&gt;SUM('DFP-Com'!$C31:G31),"error","ok")</f>
        <v>ok</v>
      </c>
      <c r="K21" s="300" t="str">
        <f>IF(SUM('DFP-CASH'!$C33:G33)&gt;SUM('DFP-Com'!$C31:G31),"error","ok")</f>
        <v>ok</v>
      </c>
      <c r="L21" s="300" t="str">
        <f>IF(SUM('DFP-CASH'!$C33:G33)&gt;SUM('DFP-Com'!$C31:G31),"error","ok")</f>
        <v>ok</v>
      </c>
      <c r="M21" s="300" t="str">
        <f>IF(SUM('DFP-CASH'!$C33:H33)&gt;SUM('DFP-Com'!$C31:H31),"error","ok")</f>
        <v>ok</v>
      </c>
      <c r="N21" s="300" t="str">
        <f>IF(SUM('DFP-CASH'!$C33:I33)&gt;SUM('DFP-Com'!$C31:I31),"error","ok")</f>
        <v>ok</v>
      </c>
      <c r="O21" s="300" t="str">
        <f>IF(SUM('DFP-CASH'!$C33:J33)&gt;SUM('DFP-Com'!$C31:J31),"error","ok")</f>
        <v>ok</v>
      </c>
      <c r="P21" s="300" t="str">
        <f>IF(SUM('DFP-CASH'!$C33:K33)&gt;SUM('DFP-Com'!$C31:K31),"error","ok")</f>
        <v>ok</v>
      </c>
      <c r="Q21" s="300" t="str">
        <f>IF(SUM('DFP-CASH'!$C33:L33)&gt;SUM('DFP-Com'!$C31:L31),"error","ok")</f>
        <v>ok</v>
      </c>
      <c r="R21" s="300" t="str">
        <f>IF(SUM('DFP-CASH'!$C33:M33)&gt;SUM('DFP-Com'!$C31:M31),"error","ok")</f>
        <v>ok</v>
      </c>
      <c r="S21" s="300" t="str">
        <f>IF(SUM('DFP-CASH'!$C33:N33)&gt;SUM('DFP-Com'!$C31:N31),"error","ok")</f>
        <v>error</v>
      </c>
    </row>
    <row r="22" spans="1:19" x14ac:dyDescent="0.25">
      <c r="A22" s="202" t="s">
        <v>129</v>
      </c>
      <c r="B22" s="255" t="str">
        <f>IF('DFP-Com'!Q32-'DFP-CASH'!Q34=0,"ok","error")</f>
        <v>ok</v>
      </c>
      <c r="C22" s="300" t="str">
        <f>IF(SUM('DFP-CASH'!$C34:C34)&gt;SUM('DFP-Com'!$C32:D32),"error","ok")</f>
        <v>ok</v>
      </c>
      <c r="D22" s="300" t="str">
        <f>IF(SUM('DFP-CASH'!$C34:E34)&gt;SUM('DFP-Com'!$C32:E32),"error","ok")</f>
        <v>ok</v>
      </c>
      <c r="E22" s="300" t="str">
        <f>IF(SUM('DFP-CASH'!$C34:F34)&gt;SUM('DFP-Com'!$C32:F32),"error","ok")</f>
        <v>ok</v>
      </c>
      <c r="F22" s="300" t="str">
        <f>IF(SUM('DFP-CASH'!$C34:G34)&gt;SUM('DFP-Com'!$C32:G32),"error","ok")</f>
        <v>ok</v>
      </c>
      <c r="G22" s="300" t="str">
        <f>IF(SUM('DFP-CASH'!$C34:G34)&gt;SUM('DFP-Com'!$C32:G32),"error","ok")</f>
        <v>ok</v>
      </c>
      <c r="H22" s="300" t="str">
        <f>IF(SUM('DFP-CASH'!$C34:G34)&gt;SUM('DFP-Com'!$C32:G32),"error","ok")</f>
        <v>ok</v>
      </c>
      <c r="I22" s="300" t="str">
        <f>IF(SUM('DFP-CASH'!$C34:G34)&gt;SUM('DFP-Com'!$C32:G32),"error","ok")</f>
        <v>ok</v>
      </c>
      <c r="J22" s="300" t="str">
        <f>IF(SUM('DFP-CASH'!$C34:G34)&gt;SUM('DFP-Com'!$C32:G32),"error","ok")</f>
        <v>ok</v>
      </c>
      <c r="K22" s="300" t="str">
        <f>IF(SUM('DFP-CASH'!$C34:G34)&gt;SUM('DFP-Com'!$C32:G32),"error","ok")</f>
        <v>ok</v>
      </c>
      <c r="L22" s="300" t="str">
        <f>IF(SUM('DFP-CASH'!$C34:G34)&gt;SUM('DFP-Com'!$C32:G32),"error","ok")</f>
        <v>ok</v>
      </c>
      <c r="M22" s="300" t="str">
        <f>IF(SUM('DFP-CASH'!$C34:H34)&gt;SUM('DFP-Com'!$C32:H32),"error","ok")</f>
        <v>ok</v>
      </c>
      <c r="N22" s="300" t="str">
        <f>IF(SUM('DFP-CASH'!$C34:I34)&gt;SUM('DFP-Com'!$C32:I32),"error","ok")</f>
        <v>ok</v>
      </c>
      <c r="O22" s="300" t="str">
        <f>IF(SUM('DFP-CASH'!$C34:J34)&gt;SUM('DFP-Com'!$C32:J32),"error","ok")</f>
        <v>ok</v>
      </c>
      <c r="P22" s="300" t="str">
        <f>IF(SUM('DFP-CASH'!$C34:K34)&gt;SUM('DFP-Com'!$C32:K32),"error","ok")</f>
        <v>ok</v>
      </c>
      <c r="Q22" s="300" t="str">
        <f>IF(SUM('DFP-CASH'!$C34:L34)&gt;SUM('DFP-Com'!$C32:L32),"error","ok")</f>
        <v>ok</v>
      </c>
      <c r="R22" s="300" t="str">
        <f>IF(SUM('DFP-CASH'!$C34:M34)&gt;SUM('DFP-Com'!$C32:M32),"error","ok")</f>
        <v>ok</v>
      </c>
      <c r="S22" s="300" t="str">
        <f>IF(SUM('DFP-CASH'!$C34:N34)&gt;SUM('DFP-Com'!$C32:N32),"error","ok")</f>
        <v>ok</v>
      </c>
    </row>
    <row r="23" spans="1:19" x14ac:dyDescent="0.25">
      <c r="A23" s="202" t="s">
        <v>131</v>
      </c>
      <c r="B23" s="255" t="str">
        <f>IF('DFP-Com'!Q33-'DFP-CASH'!Q35=0,"ok","error")</f>
        <v>ok</v>
      </c>
      <c r="C23" s="300" t="str">
        <f>IF(SUM('DFP-CASH'!$C35:C35)&gt;SUM('DFP-Com'!$C33:D33),"error","ok")</f>
        <v>ok</v>
      </c>
      <c r="D23" s="300" t="str">
        <f>IF(SUM('DFP-CASH'!$C35:E35)&gt;SUM('DFP-Com'!$C33:E33),"error","ok")</f>
        <v>ok</v>
      </c>
      <c r="E23" s="300" t="str">
        <f>IF(SUM('DFP-CASH'!$C35:F35)&gt;SUM('DFP-Com'!$C33:F33),"error","ok")</f>
        <v>ok</v>
      </c>
      <c r="F23" s="300" t="str">
        <f>IF(SUM('DFP-CASH'!$C35:G35)&gt;SUM('DFP-Com'!$C33:G33),"error","ok")</f>
        <v>ok</v>
      </c>
      <c r="G23" s="300" t="str">
        <f>IF(SUM('DFP-CASH'!$C35:G35)&gt;SUM('DFP-Com'!$C33:G33),"error","ok")</f>
        <v>ok</v>
      </c>
      <c r="H23" s="300" t="str">
        <f>IF(SUM('DFP-CASH'!$C35:G35)&gt;SUM('DFP-Com'!$C33:G33),"error","ok")</f>
        <v>ok</v>
      </c>
      <c r="I23" s="300" t="str">
        <f>IF(SUM('DFP-CASH'!$C35:G35)&gt;SUM('DFP-Com'!$C33:G33),"error","ok")</f>
        <v>ok</v>
      </c>
      <c r="J23" s="300" t="str">
        <f>IF(SUM('DFP-CASH'!$C35:G35)&gt;SUM('DFP-Com'!$C33:G33),"error","ok")</f>
        <v>ok</v>
      </c>
      <c r="K23" s="300" t="str">
        <f>IF(SUM('DFP-CASH'!$C35:G35)&gt;SUM('DFP-Com'!$C33:G33),"error","ok")</f>
        <v>ok</v>
      </c>
      <c r="L23" s="300" t="str">
        <f>IF(SUM('DFP-CASH'!$C35:G35)&gt;SUM('DFP-Com'!$C33:G33),"error","ok")</f>
        <v>ok</v>
      </c>
      <c r="M23" s="300" t="str">
        <f>IF(SUM('DFP-CASH'!$C35:H35)&gt;SUM('DFP-Com'!$C33:H33),"error","ok")</f>
        <v>ok</v>
      </c>
      <c r="N23" s="300" t="str">
        <f>IF(SUM('DFP-CASH'!$C35:I35)&gt;SUM('DFP-Com'!$C33:I33),"error","ok")</f>
        <v>ok</v>
      </c>
      <c r="O23" s="300" t="str">
        <f>IF(SUM('DFP-CASH'!$C35:J35)&gt;SUM('DFP-Com'!$C33:J33),"error","ok")</f>
        <v>ok</v>
      </c>
      <c r="P23" s="300" t="str">
        <f>IF(SUM('DFP-CASH'!$C35:K35)&gt;SUM('DFP-Com'!$C33:K33),"error","ok")</f>
        <v>ok</v>
      </c>
      <c r="Q23" s="300" t="str">
        <f>IF(SUM('DFP-CASH'!$C35:L35)&gt;SUM('DFP-Com'!$C33:L33),"error","ok")</f>
        <v>ok</v>
      </c>
      <c r="R23" s="300" t="str">
        <f>IF(SUM('DFP-CASH'!$C35:M35)&gt;SUM('DFP-Com'!$C33:M33),"error","ok")</f>
        <v>ok</v>
      </c>
      <c r="S23" s="300" t="str">
        <f>IF(SUM('DFP-CASH'!$C35:N35)&gt;SUM('DFP-Com'!$C33:N33),"error","ok")</f>
        <v>ok</v>
      </c>
    </row>
    <row r="24" spans="1:19" x14ac:dyDescent="0.25">
      <c r="A24" s="59" t="s">
        <v>63</v>
      </c>
      <c r="B24" s="255" t="str">
        <f>IF('DFP-Com'!Q34-'DFP-CASH'!Q36=0,"ok","error")</f>
        <v>ok</v>
      </c>
      <c r="C24" s="300" t="str">
        <f>IF(SUM('DFP-CASH'!$C36:C36)&gt;SUM('DFP-Com'!$C34:D34),"error","ok")</f>
        <v>ok</v>
      </c>
      <c r="D24" s="300" t="str">
        <f>IF(SUM('DFP-CASH'!$C36:E36)&gt;SUM('DFP-Com'!$C34:E34),"error","ok")</f>
        <v>ok</v>
      </c>
      <c r="E24" s="300" t="str">
        <f>IF(SUM('DFP-CASH'!$C36:F36)&gt;SUM('DFP-Com'!$C34:F34),"error","ok")</f>
        <v>ok</v>
      </c>
      <c r="F24" s="300" t="str">
        <f>IF(SUM('DFP-CASH'!$C36:G36)&gt;SUM('DFP-Com'!$C34:G34),"error","ok")</f>
        <v>ok</v>
      </c>
      <c r="G24" s="300" t="str">
        <f>IF(SUM('DFP-CASH'!$C36:G36)&gt;SUM('DFP-Com'!$C34:G34),"error","ok")</f>
        <v>ok</v>
      </c>
      <c r="H24" s="300" t="str">
        <f>IF(SUM('DFP-CASH'!$C36:G36)&gt;SUM('DFP-Com'!$C34:G34),"error","ok")</f>
        <v>ok</v>
      </c>
      <c r="I24" s="300" t="str">
        <f>IF(SUM('DFP-CASH'!$C36:G36)&gt;SUM('DFP-Com'!$C34:G34),"error","ok")</f>
        <v>ok</v>
      </c>
      <c r="J24" s="300" t="str">
        <f>IF(SUM('DFP-CASH'!$C36:G36)&gt;SUM('DFP-Com'!$C34:G34),"error","ok")</f>
        <v>ok</v>
      </c>
      <c r="K24" s="300" t="str">
        <f>IF(SUM('DFP-CASH'!$C36:G36)&gt;SUM('DFP-Com'!$C34:G34),"error","ok")</f>
        <v>ok</v>
      </c>
      <c r="L24" s="300" t="str">
        <f>IF(SUM('DFP-CASH'!$C36:G36)&gt;SUM('DFP-Com'!$C34:G34),"error","ok")</f>
        <v>ok</v>
      </c>
      <c r="M24" s="300" t="str">
        <f>IF(SUM('DFP-CASH'!$C36:H36)&gt;SUM('DFP-Com'!$C34:H34),"error","ok")</f>
        <v>ok</v>
      </c>
      <c r="N24" s="300" t="str">
        <f>IF(SUM('DFP-CASH'!$C36:I36)&gt;SUM('DFP-Com'!$C34:I34),"error","ok")</f>
        <v>ok</v>
      </c>
      <c r="O24" s="300" t="str">
        <f>IF(SUM('DFP-CASH'!$C36:J36)&gt;SUM('DFP-Com'!$C34:J34),"error","ok")</f>
        <v>ok</v>
      </c>
      <c r="P24" s="300" t="str">
        <f>IF(SUM('DFP-CASH'!$C36:K36)&gt;SUM('DFP-Com'!$C34:K34),"error","ok")</f>
        <v>ok</v>
      </c>
      <c r="Q24" s="300" t="str">
        <f>IF(SUM('DFP-CASH'!$C36:L36)&gt;SUM('DFP-Com'!$C34:L34),"error","ok")</f>
        <v>ok</v>
      </c>
      <c r="R24" s="300" t="str">
        <f>IF(SUM('DFP-CASH'!$C36:M36)&gt;SUM('DFP-Com'!$C34:M34),"error","ok")</f>
        <v>ok</v>
      </c>
      <c r="S24" s="300" t="str">
        <f>IF(SUM('DFP-CASH'!$C36:N36)&gt;SUM('DFP-Com'!$C34:N34),"error","ok")</f>
        <v>ok</v>
      </c>
    </row>
    <row r="25" spans="1:19" x14ac:dyDescent="0.25">
      <c r="A25" s="54"/>
      <c r="B25" s="255" t="str">
        <f>IF('DFP-Com'!Q35-'DFP-CASH'!Q37=0,"ok","error")</f>
        <v>ok</v>
      </c>
      <c r="C25" s="300" t="str">
        <f>IF(SUM('DFP-CASH'!$C37:C37)&gt;SUM('DFP-Com'!$C35:D35),"error","ok")</f>
        <v>ok</v>
      </c>
      <c r="D25" s="300" t="str">
        <f>IF(SUM('DFP-CASH'!$C37:E37)&gt;SUM('DFP-Com'!$C35:E35),"error","ok")</f>
        <v>ok</v>
      </c>
      <c r="E25" s="300" t="str">
        <f>IF(SUM('DFP-CASH'!$C37:F37)&gt;SUM('DFP-Com'!$C35:F35),"error","ok")</f>
        <v>ok</v>
      </c>
      <c r="F25" s="300" t="str">
        <f>IF(SUM('DFP-CASH'!$C37:G37)&gt;SUM('DFP-Com'!$C35:G35),"error","ok")</f>
        <v>ok</v>
      </c>
      <c r="G25" s="300" t="str">
        <f>IF(SUM('DFP-CASH'!$C37:G37)&gt;SUM('DFP-Com'!$C35:G35),"error","ok")</f>
        <v>ok</v>
      </c>
      <c r="H25" s="300" t="str">
        <f>IF(SUM('DFP-CASH'!$C37:G37)&gt;SUM('DFP-Com'!$C35:G35),"error","ok")</f>
        <v>ok</v>
      </c>
      <c r="I25" s="300" t="str">
        <f>IF(SUM('DFP-CASH'!$C37:G37)&gt;SUM('DFP-Com'!$C35:G35),"error","ok")</f>
        <v>ok</v>
      </c>
      <c r="J25" s="300" t="str">
        <f>IF(SUM('DFP-CASH'!$C37:G37)&gt;SUM('DFP-Com'!$C35:G35),"error","ok")</f>
        <v>ok</v>
      </c>
      <c r="K25" s="300" t="str">
        <f>IF(SUM('DFP-CASH'!$C37:G37)&gt;SUM('DFP-Com'!$C35:G35),"error","ok")</f>
        <v>ok</v>
      </c>
      <c r="L25" s="300" t="str">
        <f>IF(SUM('DFP-CASH'!$C37:G37)&gt;SUM('DFP-Com'!$C35:G35),"error","ok")</f>
        <v>ok</v>
      </c>
      <c r="M25" s="300" t="str">
        <f>IF(SUM('DFP-CASH'!$C37:H37)&gt;SUM('DFP-Com'!$C35:H35),"error","ok")</f>
        <v>ok</v>
      </c>
      <c r="N25" s="300" t="str">
        <f>IF(SUM('DFP-CASH'!$C37:I37)&gt;SUM('DFP-Com'!$C35:I35),"error","ok")</f>
        <v>ok</v>
      </c>
      <c r="O25" s="300" t="str">
        <f>IF(SUM('DFP-CASH'!$C37:J37)&gt;SUM('DFP-Com'!$C35:J35),"error","ok")</f>
        <v>ok</v>
      </c>
      <c r="P25" s="300" t="str">
        <f>IF(SUM('DFP-CASH'!$C37:K37)&gt;SUM('DFP-Com'!$C35:K35),"error","ok")</f>
        <v>ok</v>
      </c>
      <c r="Q25" s="300" t="str">
        <f>IF(SUM('DFP-CASH'!$C37:L37)&gt;SUM('DFP-Com'!$C35:L35),"error","ok")</f>
        <v>ok</v>
      </c>
      <c r="R25" s="300" t="str">
        <f>IF(SUM('DFP-CASH'!$C37:M37)&gt;SUM('DFP-Com'!$C35:M35),"error","ok")</f>
        <v>ok</v>
      </c>
      <c r="S25" s="300" t="str">
        <f>IF(SUM('DFP-CASH'!$C37:N37)&gt;SUM('DFP-Com'!$C35:N35),"error","ok")</f>
        <v>ok</v>
      </c>
    </row>
    <row r="26" spans="1:19" x14ac:dyDescent="0.25">
      <c r="A26" s="45" t="s">
        <v>93</v>
      </c>
      <c r="B26" s="255" t="str">
        <f>IF('DFP-Com'!Q36-'DFP-CASH'!Q38=0,"ok","error")</f>
        <v>ok</v>
      </c>
      <c r="C26" s="300" t="str">
        <f>IF(SUM('DFP-CASH'!$C38:C38)&gt;SUM('DFP-Com'!$C36:D36),"error","ok")</f>
        <v>ok</v>
      </c>
      <c r="D26" s="300" t="str">
        <f>IF(SUM('DFP-CASH'!$C38:E38)&gt;SUM('DFP-Com'!$C36:E36),"error","ok")</f>
        <v>ok</v>
      </c>
      <c r="E26" s="300" t="str">
        <f>IF(SUM('DFP-CASH'!$C38:F38)&gt;SUM('DFP-Com'!$C36:F36),"error","ok")</f>
        <v>ok</v>
      </c>
      <c r="F26" s="300" t="str">
        <f>IF(SUM('DFP-CASH'!$C38:G38)&gt;SUM('DFP-Com'!$C36:G36),"error","ok")</f>
        <v>ok</v>
      </c>
      <c r="G26" s="300" t="str">
        <f>IF(SUM('DFP-CASH'!$C38:G38)&gt;SUM('DFP-Com'!$C36:G36),"error","ok")</f>
        <v>ok</v>
      </c>
      <c r="H26" s="300" t="str">
        <f>IF(SUM('DFP-CASH'!$C38:G38)&gt;SUM('DFP-Com'!$C36:G36),"error","ok")</f>
        <v>ok</v>
      </c>
      <c r="I26" s="300" t="str">
        <f>IF(SUM('DFP-CASH'!$C38:G38)&gt;SUM('DFP-Com'!$C36:G36),"error","ok")</f>
        <v>ok</v>
      </c>
      <c r="J26" s="300" t="str">
        <f>IF(SUM('DFP-CASH'!$C38:G38)&gt;SUM('DFP-Com'!$C36:G36),"error","ok")</f>
        <v>ok</v>
      </c>
      <c r="K26" s="300" t="str">
        <f>IF(SUM('DFP-CASH'!$C38:G38)&gt;SUM('DFP-Com'!$C36:G36),"error","ok")</f>
        <v>ok</v>
      </c>
      <c r="L26" s="300" t="str">
        <f>IF(SUM('DFP-CASH'!$C38:G38)&gt;SUM('DFP-Com'!$C36:G36),"error","ok")</f>
        <v>ok</v>
      </c>
      <c r="M26" s="300" t="str">
        <f>IF(SUM('DFP-CASH'!$C38:H38)&gt;SUM('DFP-Com'!$C36:H36),"error","ok")</f>
        <v>ok</v>
      </c>
      <c r="N26" s="300" t="str">
        <f>IF(SUM('DFP-CASH'!$C38:I38)&gt;SUM('DFP-Com'!$C36:I36),"error","ok")</f>
        <v>ok</v>
      </c>
      <c r="O26" s="300" t="str">
        <f>IF(SUM('DFP-CASH'!$C38:J38)&gt;SUM('DFP-Com'!$C36:J36),"error","ok")</f>
        <v>ok</v>
      </c>
      <c r="P26" s="300" t="str">
        <f>IF(SUM('DFP-CASH'!$C38:K38)&gt;SUM('DFP-Com'!$C36:K36),"error","ok")</f>
        <v>ok</v>
      </c>
      <c r="Q26" s="300" t="str">
        <f>IF(SUM('DFP-CASH'!$C38:L38)&gt;SUM('DFP-Com'!$C36:L36),"error","ok")</f>
        <v>ok</v>
      </c>
      <c r="R26" s="300" t="str">
        <f>IF(SUM('DFP-CASH'!$C38:M38)&gt;SUM('DFP-Com'!$C36:M36),"error","ok")</f>
        <v>ok</v>
      </c>
      <c r="S26" s="300" t="str">
        <f>IF(SUM('DFP-CASH'!$C38:N38)&gt;SUM('DFP-Com'!$C36:N36),"error","ok")</f>
        <v>ok</v>
      </c>
    </row>
    <row r="27" spans="1:19" x14ac:dyDescent="0.25">
      <c r="A27" s="65" t="s">
        <v>94</v>
      </c>
      <c r="B27" s="255" t="str">
        <f>IF('DFP-Com'!Q37-'DFP-CASH'!Q39=0,"ok","error")</f>
        <v>error</v>
      </c>
      <c r="C27" s="300" t="str">
        <f>IF(SUM('DFP-CASH'!$C39:C39)&gt;SUM('DFP-Com'!$C37:D37),"error","ok")</f>
        <v>ok</v>
      </c>
      <c r="D27" s="300" t="str">
        <f>IF(SUM('DFP-CASH'!$C39:E39)&gt;SUM('DFP-Com'!$C37:E37),"error","ok")</f>
        <v>ok</v>
      </c>
      <c r="E27" s="300" t="str">
        <f>IF(SUM('DFP-CASH'!$C39:F39)&gt;SUM('DFP-Com'!$C37:F37),"error","ok")</f>
        <v>ok</v>
      </c>
      <c r="F27" s="300" t="str">
        <f>IF(SUM('DFP-CASH'!$C39:G39)&gt;SUM('DFP-Com'!$C37:G37),"error","ok")</f>
        <v>ok</v>
      </c>
      <c r="G27" s="300" t="str">
        <f>IF(SUM('DFP-CASH'!$C39:G39)&gt;SUM('DFP-Com'!$C37:G37),"error","ok")</f>
        <v>ok</v>
      </c>
      <c r="H27" s="300" t="str">
        <f>IF(SUM('DFP-CASH'!$C39:G39)&gt;SUM('DFP-Com'!$C37:G37),"error","ok")</f>
        <v>ok</v>
      </c>
      <c r="I27" s="300" t="str">
        <f>IF(SUM('DFP-CASH'!$C39:G39)&gt;SUM('DFP-Com'!$C37:G37),"error","ok")</f>
        <v>ok</v>
      </c>
      <c r="J27" s="300" t="str">
        <f>IF(SUM('DFP-CASH'!$C39:G39)&gt;SUM('DFP-Com'!$C37:G37),"error","ok")</f>
        <v>ok</v>
      </c>
      <c r="K27" s="300" t="str">
        <f>IF(SUM('DFP-CASH'!$C39:G39)&gt;SUM('DFP-Com'!$C37:G37),"error","ok")</f>
        <v>ok</v>
      </c>
      <c r="L27" s="300" t="str">
        <f>IF(SUM('DFP-CASH'!$C39:G39)&gt;SUM('DFP-Com'!$C37:G37),"error","ok")</f>
        <v>ok</v>
      </c>
      <c r="M27" s="300" t="str">
        <f>IF(SUM('DFP-CASH'!$C39:H39)&gt;SUM('DFP-Com'!$C37:H37),"error","ok")</f>
        <v>ok</v>
      </c>
      <c r="N27" s="300" t="str">
        <f>IF(SUM('DFP-CASH'!$C39:I39)&gt;SUM('DFP-Com'!$C37:I37),"error","ok")</f>
        <v>error</v>
      </c>
      <c r="O27" s="300" t="str">
        <f>IF(SUM('DFP-CASH'!$C39:J39)&gt;SUM('DFP-Com'!$C37:J37),"error","ok")</f>
        <v>error</v>
      </c>
      <c r="P27" s="300" t="str">
        <f>IF(SUM('DFP-CASH'!$C39:K39)&gt;SUM('DFP-Com'!$C37:K37),"error","ok")</f>
        <v>error</v>
      </c>
      <c r="Q27" s="300" t="str">
        <f>IF(SUM('DFP-CASH'!$C39:L39)&gt;SUM('DFP-Com'!$C37:L37),"error","ok")</f>
        <v>error</v>
      </c>
      <c r="R27" s="300" t="str">
        <f>IF(SUM('DFP-CASH'!$C39:M39)&gt;SUM('DFP-Com'!$C37:M37),"error","ok")</f>
        <v>error</v>
      </c>
      <c r="S27" s="300" t="str">
        <f>IF(SUM('DFP-CASH'!$C39:N39)&gt;SUM('DFP-Com'!$C37:N37),"error","ok")</f>
        <v>error</v>
      </c>
    </row>
    <row r="28" spans="1:19" x14ac:dyDescent="0.25">
      <c r="A28" s="213" t="s">
        <v>118</v>
      </c>
      <c r="B28" s="255" t="str">
        <f>IF('DFP-Com'!Q38-'DFP-CASH'!Q40=0,"ok","error")</f>
        <v>error</v>
      </c>
      <c r="C28" s="300" t="str">
        <f>IF(SUM('DFP-CASH'!$C40:C40)&gt;SUM('DFP-Com'!$C38:D38),"error","ok")</f>
        <v>ok</v>
      </c>
      <c r="D28" s="300" t="str">
        <f>IF(SUM('DFP-CASH'!$C40:E40)&gt;SUM('DFP-Com'!$C38:E38),"error","ok")</f>
        <v>ok</v>
      </c>
      <c r="E28" s="300" t="str">
        <f>IF(SUM('DFP-CASH'!$C40:F40)&gt;SUM('DFP-Com'!$C38:F38),"error","ok")</f>
        <v>ok</v>
      </c>
      <c r="F28" s="300" t="str">
        <f>IF(SUM('DFP-CASH'!$C40:G40)&gt;SUM('DFP-Com'!$C38:G38),"error","ok")</f>
        <v>ok</v>
      </c>
      <c r="G28" s="300" t="str">
        <f>IF(SUM('DFP-CASH'!$C40:G40)&gt;SUM('DFP-Com'!$C38:G38),"error","ok")</f>
        <v>ok</v>
      </c>
      <c r="H28" s="300" t="str">
        <f>IF(SUM('DFP-CASH'!$C40:G40)&gt;SUM('DFP-Com'!$C38:G38),"error","ok")</f>
        <v>ok</v>
      </c>
      <c r="I28" s="300" t="str">
        <f>IF(SUM('DFP-CASH'!$C40:G40)&gt;SUM('DFP-Com'!$C38:G38),"error","ok")</f>
        <v>ok</v>
      </c>
      <c r="J28" s="300" t="str">
        <f>IF(SUM('DFP-CASH'!$C40:G40)&gt;SUM('DFP-Com'!$C38:G38),"error","ok")</f>
        <v>ok</v>
      </c>
      <c r="K28" s="300" t="str">
        <f>IF(SUM('DFP-CASH'!$C40:G40)&gt;SUM('DFP-Com'!$C38:G38),"error","ok")</f>
        <v>ok</v>
      </c>
      <c r="L28" s="300" t="str">
        <f>IF(SUM('DFP-CASH'!$C40:G40)&gt;SUM('DFP-Com'!$C38:G38),"error","ok")</f>
        <v>ok</v>
      </c>
      <c r="M28" s="300" t="str">
        <f>IF(SUM('DFP-CASH'!$C40:H40)&gt;SUM('DFP-Com'!$C38:H38),"error","ok")</f>
        <v>ok</v>
      </c>
      <c r="N28" s="300" t="str">
        <f>IF(SUM('DFP-CASH'!$C40:I40)&gt;SUM('DFP-Com'!$C38:I38),"error","ok")</f>
        <v>error</v>
      </c>
      <c r="O28" s="300" t="str">
        <f>IF(SUM('DFP-CASH'!$C40:J40)&gt;SUM('DFP-Com'!$C38:J38),"error","ok")</f>
        <v>error</v>
      </c>
      <c r="P28" s="300" t="str">
        <f>IF(SUM('DFP-CASH'!$C40:K40)&gt;SUM('DFP-Com'!$C38:K38),"error","ok")</f>
        <v>error</v>
      </c>
      <c r="Q28" s="300" t="str">
        <f>IF(SUM('DFP-CASH'!$C40:L40)&gt;SUM('DFP-Com'!$C38:L38),"error","ok")</f>
        <v>error</v>
      </c>
      <c r="R28" s="300" t="str">
        <f>IF(SUM('DFP-CASH'!$C40:M40)&gt;SUM('DFP-Com'!$C38:M38),"error","ok")</f>
        <v>error</v>
      </c>
      <c r="S28" s="300" t="str">
        <f>IF(SUM('DFP-CASH'!$C40:N40)&gt;SUM('DFP-Com'!$C38:N38),"error","ok")</f>
        <v>error</v>
      </c>
    </row>
    <row r="29" spans="1:19" x14ac:dyDescent="0.25">
      <c r="A29" s="213" t="s">
        <v>119</v>
      </c>
      <c r="B29" s="255" t="str">
        <f>IF('DFP-Com'!Q39-'DFP-CASH'!Q41=0,"ok","error")</f>
        <v>ok</v>
      </c>
      <c r="C29" s="300" t="str">
        <f>IF(SUM('DFP-CASH'!$C41:C41)&gt;SUM('DFP-Com'!$C39:D39),"error","ok")</f>
        <v>ok</v>
      </c>
      <c r="D29" s="300" t="str">
        <f>IF(SUM('DFP-CASH'!$C41:E41)&gt;SUM('DFP-Com'!$C39:E39),"error","ok")</f>
        <v>ok</v>
      </c>
      <c r="E29" s="300" t="str">
        <f>IF(SUM('DFP-CASH'!$C41:F41)&gt;SUM('DFP-Com'!$C39:F39),"error","ok")</f>
        <v>ok</v>
      </c>
      <c r="F29" s="300" t="str">
        <f>IF(SUM('DFP-CASH'!$C41:G41)&gt;SUM('DFP-Com'!$C39:G39),"error","ok")</f>
        <v>ok</v>
      </c>
      <c r="G29" s="300" t="str">
        <f>IF(SUM('DFP-CASH'!$C41:G41)&gt;SUM('DFP-Com'!$C39:G39),"error","ok")</f>
        <v>ok</v>
      </c>
      <c r="H29" s="300" t="str">
        <f>IF(SUM('DFP-CASH'!$C41:G41)&gt;SUM('DFP-Com'!$C39:G39),"error","ok")</f>
        <v>ok</v>
      </c>
      <c r="I29" s="300" t="str">
        <f>IF(SUM('DFP-CASH'!$C41:G41)&gt;SUM('DFP-Com'!$C39:G39),"error","ok")</f>
        <v>ok</v>
      </c>
      <c r="J29" s="300" t="str">
        <f>IF(SUM('DFP-CASH'!$C41:G41)&gt;SUM('DFP-Com'!$C39:G39),"error","ok")</f>
        <v>ok</v>
      </c>
      <c r="K29" s="300" t="str">
        <f>IF(SUM('DFP-CASH'!$C41:G41)&gt;SUM('DFP-Com'!$C39:G39),"error","ok")</f>
        <v>ok</v>
      </c>
      <c r="L29" s="300" t="str">
        <f>IF(SUM('DFP-CASH'!$C41:G41)&gt;SUM('DFP-Com'!$C39:G39),"error","ok")</f>
        <v>ok</v>
      </c>
      <c r="M29" s="300" t="str">
        <f>IF(SUM('DFP-CASH'!$C41:H41)&gt;SUM('DFP-Com'!$C39:H39),"error","ok")</f>
        <v>ok</v>
      </c>
      <c r="N29" s="300" t="str">
        <f>IF(SUM('DFP-CASH'!$C41:I41)&gt;SUM('DFP-Com'!$C39:I39),"error","ok")</f>
        <v>ok</v>
      </c>
      <c r="O29" s="300" t="str">
        <f>IF(SUM('DFP-CASH'!$C41:J41)&gt;SUM('DFP-Com'!$C39:J39),"error","ok")</f>
        <v>ok</v>
      </c>
      <c r="P29" s="300" t="str">
        <f>IF(SUM('DFP-CASH'!$C41:K41)&gt;SUM('DFP-Com'!$C39:K39),"error","ok")</f>
        <v>ok</v>
      </c>
      <c r="Q29" s="300" t="str">
        <f>IF(SUM('DFP-CASH'!$C41:L41)&gt;SUM('DFP-Com'!$C39:L39),"error","ok")</f>
        <v>ok</v>
      </c>
      <c r="R29" s="300" t="str">
        <f>IF(SUM('DFP-CASH'!$C41:M41)&gt;SUM('DFP-Com'!$C39:M39),"error","ok")</f>
        <v>ok</v>
      </c>
      <c r="S29" s="300" t="str">
        <f>IF(SUM('DFP-CASH'!$C41:N41)&gt;SUM('DFP-Com'!$C39:N39),"error","ok")</f>
        <v>ok</v>
      </c>
    </row>
    <row r="30" spans="1:19" x14ac:dyDescent="0.25">
      <c r="A30" s="213" t="s">
        <v>120</v>
      </c>
      <c r="B30" s="255" t="str">
        <f>IF('DFP-Com'!Q40-'DFP-CASH'!Q42=0,"ok","error")</f>
        <v>ok</v>
      </c>
      <c r="C30" s="300" t="str">
        <f>IF(SUM('DFP-CASH'!$C42:C42)&gt;SUM('DFP-Com'!$C40:D40),"error","ok")</f>
        <v>ok</v>
      </c>
      <c r="D30" s="300" t="str">
        <f>IF(SUM('DFP-CASH'!$C42:E42)&gt;SUM('DFP-Com'!$C40:E40),"error","ok")</f>
        <v>ok</v>
      </c>
      <c r="E30" s="300" t="str">
        <f>IF(SUM('DFP-CASH'!$C42:F42)&gt;SUM('DFP-Com'!$C40:F40),"error","ok")</f>
        <v>ok</v>
      </c>
      <c r="F30" s="300" t="str">
        <f>IF(SUM('DFP-CASH'!$C42:G42)&gt;SUM('DFP-Com'!$C40:G40),"error","ok")</f>
        <v>ok</v>
      </c>
      <c r="G30" s="300" t="str">
        <f>IF(SUM('DFP-CASH'!$C42:G42)&gt;SUM('DFP-Com'!$C40:G40),"error","ok")</f>
        <v>ok</v>
      </c>
      <c r="H30" s="300" t="str">
        <f>IF(SUM('DFP-CASH'!$C42:G42)&gt;SUM('DFP-Com'!$C40:G40),"error","ok")</f>
        <v>ok</v>
      </c>
      <c r="I30" s="300" t="str">
        <f>IF(SUM('DFP-CASH'!$C42:G42)&gt;SUM('DFP-Com'!$C40:G40),"error","ok")</f>
        <v>ok</v>
      </c>
      <c r="J30" s="300" t="str">
        <f>IF(SUM('DFP-CASH'!$C42:G42)&gt;SUM('DFP-Com'!$C40:G40),"error","ok")</f>
        <v>ok</v>
      </c>
      <c r="K30" s="300" t="str">
        <f>IF(SUM('DFP-CASH'!$C42:G42)&gt;SUM('DFP-Com'!$C40:G40),"error","ok")</f>
        <v>ok</v>
      </c>
      <c r="L30" s="300" t="str">
        <f>IF(SUM('DFP-CASH'!$C42:G42)&gt;SUM('DFP-Com'!$C40:G40),"error","ok")</f>
        <v>ok</v>
      </c>
      <c r="M30" s="300" t="str">
        <f>IF(SUM('DFP-CASH'!$C42:H42)&gt;SUM('DFP-Com'!$C40:H40),"error","ok")</f>
        <v>ok</v>
      </c>
      <c r="N30" s="300" t="str">
        <f>IF(SUM('DFP-CASH'!$C42:I42)&gt;SUM('DFP-Com'!$C40:I40),"error","ok")</f>
        <v>ok</v>
      </c>
      <c r="O30" s="300" t="str">
        <f>IF(SUM('DFP-CASH'!$C42:J42)&gt;SUM('DFP-Com'!$C40:J40),"error","ok")</f>
        <v>ok</v>
      </c>
      <c r="P30" s="300" t="str">
        <f>IF(SUM('DFP-CASH'!$C42:K42)&gt;SUM('DFP-Com'!$C40:K40),"error","ok")</f>
        <v>ok</v>
      </c>
      <c r="Q30" s="300" t="str">
        <f>IF(SUM('DFP-CASH'!$C42:L42)&gt;SUM('DFP-Com'!$C40:L40),"error","ok")</f>
        <v>ok</v>
      </c>
      <c r="R30" s="300" t="str">
        <f>IF(SUM('DFP-CASH'!$C42:M42)&gt;SUM('DFP-Com'!$C40:M40),"error","ok")</f>
        <v>ok</v>
      </c>
      <c r="S30" s="300" t="str">
        <f>IF(SUM('DFP-CASH'!$C42:N42)&gt;SUM('DFP-Com'!$C40:N40),"error","ok")</f>
        <v>ok</v>
      </c>
    </row>
    <row r="31" spans="1:19" x14ac:dyDescent="0.25">
      <c r="A31" s="213" t="s">
        <v>130</v>
      </c>
      <c r="B31" s="255" t="str">
        <f>IF('DFP-Com'!Q41-'DFP-CASH'!Q43=0,"ok","error")</f>
        <v>error</v>
      </c>
      <c r="C31" s="300" t="str">
        <f>IF(SUM('DFP-CASH'!$C43:C43)&gt;SUM('DFP-Com'!$C41:D41),"error","ok")</f>
        <v>ok</v>
      </c>
      <c r="D31" s="300" t="str">
        <f>IF(SUM('DFP-CASH'!$C43:E43)&gt;SUM('DFP-Com'!$C41:E41),"error","ok")</f>
        <v>error</v>
      </c>
      <c r="E31" s="300" t="str">
        <f>IF(SUM('DFP-CASH'!$C43:F43)&gt;SUM('DFP-Com'!$C41:F41),"error","ok")</f>
        <v>error</v>
      </c>
      <c r="F31" s="300" t="str">
        <f>IF(SUM('DFP-CASH'!$C43:G43)&gt;SUM('DFP-Com'!$C41:G41),"error","ok")</f>
        <v>error</v>
      </c>
      <c r="G31" s="300" t="str">
        <f>IF(SUM('DFP-CASH'!$C43:G43)&gt;SUM('DFP-Com'!$C41:G41),"error","ok")</f>
        <v>error</v>
      </c>
      <c r="H31" s="300" t="str">
        <f>IF(SUM('DFP-CASH'!$C43:G43)&gt;SUM('DFP-Com'!$C41:G41),"error","ok")</f>
        <v>error</v>
      </c>
      <c r="I31" s="300" t="str">
        <f>IF(SUM('DFP-CASH'!$C43:G43)&gt;SUM('DFP-Com'!$C41:G41),"error","ok")</f>
        <v>error</v>
      </c>
      <c r="J31" s="300" t="str">
        <f>IF(SUM('DFP-CASH'!$C43:G43)&gt;SUM('DFP-Com'!$C41:G41),"error","ok")</f>
        <v>error</v>
      </c>
      <c r="K31" s="300" t="str">
        <f>IF(SUM('DFP-CASH'!$C43:G43)&gt;SUM('DFP-Com'!$C41:G41),"error","ok")</f>
        <v>error</v>
      </c>
      <c r="L31" s="300" t="str">
        <f>IF(SUM('DFP-CASH'!$C43:G43)&gt;SUM('DFP-Com'!$C41:G41),"error","ok")</f>
        <v>error</v>
      </c>
      <c r="M31" s="300" t="str">
        <f>IF(SUM('DFP-CASH'!$C43:H43)&gt;SUM('DFP-Com'!$C41:H41),"error","ok")</f>
        <v>error</v>
      </c>
      <c r="N31" s="300" t="str">
        <f>IF(SUM('DFP-CASH'!$C43:I43)&gt;SUM('DFP-Com'!$C41:I41),"error","ok")</f>
        <v>error</v>
      </c>
      <c r="O31" s="300" t="str">
        <f>IF(SUM('DFP-CASH'!$C43:J43)&gt;SUM('DFP-Com'!$C41:J41),"error","ok")</f>
        <v>error</v>
      </c>
      <c r="P31" s="300" t="str">
        <f>IF(SUM('DFP-CASH'!$C43:K43)&gt;SUM('DFP-Com'!$C41:K41),"error","ok")</f>
        <v>error</v>
      </c>
      <c r="Q31" s="300" t="str">
        <f>IF(SUM('DFP-CASH'!$C43:L43)&gt;SUM('DFP-Com'!$C41:L41),"error","ok")</f>
        <v>error</v>
      </c>
      <c r="R31" s="300" t="str">
        <f>IF(SUM('DFP-CASH'!$C43:M43)&gt;SUM('DFP-Com'!$C41:M41),"error","ok")</f>
        <v>error</v>
      </c>
      <c r="S31" s="300" t="str">
        <f>IF(SUM('DFP-CASH'!$C43:N43)&gt;SUM('DFP-Com'!$C41:N41),"error","ok")</f>
        <v>error</v>
      </c>
    </row>
    <row r="32" spans="1:19" x14ac:dyDescent="0.25">
      <c r="A32" s="59" t="s">
        <v>17</v>
      </c>
      <c r="B32" s="255" t="str">
        <f>IF('DFP-Com'!Q42-'DFP-CASH'!Q44=0,"ok","error")</f>
        <v>error</v>
      </c>
      <c r="C32" s="300" t="str">
        <f>IF(SUM('DFP-CASH'!$C44:C44)&gt;SUM('DFP-Com'!$C42:D42),"error","ok")</f>
        <v>ok</v>
      </c>
      <c r="D32" s="300" t="str">
        <f>IF(SUM('DFP-CASH'!$C44:E44)&gt;SUM('DFP-Com'!$C42:E42),"error","ok")</f>
        <v>ok</v>
      </c>
      <c r="E32" s="300" t="str">
        <f>IF(SUM('DFP-CASH'!$C44:F44)&gt;SUM('DFP-Com'!$C42:F42),"error","ok")</f>
        <v>ok</v>
      </c>
      <c r="F32" s="300" t="str">
        <f>IF(SUM('DFP-CASH'!$C44:G44)&gt;SUM('DFP-Com'!$C42:G42),"error","ok")</f>
        <v>ok</v>
      </c>
      <c r="G32" s="300" t="str">
        <f>IF(SUM('DFP-CASH'!$C44:G44)&gt;SUM('DFP-Com'!$C42:G42),"error","ok")</f>
        <v>ok</v>
      </c>
      <c r="H32" s="300" t="str">
        <f>IF(SUM('DFP-CASH'!$C44:G44)&gt;SUM('DFP-Com'!$C42:G42),"error","ok")</f>
        <v>ok</v>
      </c>
      <c r="I32" s="300" t="str">
        <f>IF(SUM('DFP-CASH'!$C44:G44)&gt;SUM('DFP-Com'!$C42:G42),"error","ok")</f>
        <v>ok</v>
      </c>
      <c r="J32" s="300" t="str">
        <f>IF(SUM('DFP-CASH'!$C44:G44)&gt;SUM('DFP-Com'!$C42:G42),"error","ok")</f>
        <v>ok</v>
      </c>
      <c r="K32" s="300" t="str">
        <f>IF(SUM('DFP-CASH'!$C44:G44)&gt;SUM('DFP-Com'!$C42:G42),"error","ok")</f>
        <v>ok</v>
      </c>
      <c r="L32" s="300" t="str">
        <f>IF(SUM('DFP-CASH'!$C44:G44)&gt;SUM('DFP-Com'!$C42:G42),"error","ok")</f>
        <v>ok</v>
      </c>
      <c r="M32" s="300" t="str">
        <f>IF(SUM('DFP-CASH'!$C44:H44)&gt;SUM('DFP-Com'!$C42:H42),"error","ok")</f>
        <v>ok</v>
      </c>
      <c r="N32" s="300" t="str">
        <f>IF(SUM('DFP-CASH'!$C44:I44)&gt;SUM('DFP-Com'!$C42:I42),"error","ok")</f>
        <v>error</v>
      </c>
      <c r="O32" s="300" t="str">
        <f>IF(SUM('DFP-CASH'!$C44:J44)&gt;SUM('DFP-Com'!$C42:J42),"error","ok")</f>
        <v>error</v>
      </c>
      <c r="P32" s="300" t="str">
        <f>IF(SUM('DFP-CASH'!$C44:K44)&gt;SUM('DFP-Com'!$C42:K42),"error","ok")</f>
        <v>error</v>
      </c>
      <c r="Q32" s="300" t="str">
        <f>IF(SUM('DFP-CASH'!$C44:L44)&gt;SUM('DFP-Com'!$C42:L42),"error","ok")</f>
        <v>error</v>
      </c>
      <c r="R32" s="300" t="str">
        <f>IF(SUM('DFP-CASH'!$C44:M44)&gt;SUM('DFP-Com'!$C42:M42),"error","ok")</f>
        <v>error</v>
      </c>
      <c r="S32" s="300" t="str">
        <f>IF(SUM('DFP-CASH'!$C44:N44)&gt;SUM('DFP-Com'!$C42:N42),"error","ok")</f>
        <v>error</v>
      </c>
    </row>
    <row r="33" spans="1:19" x14ac:dyDescent="0.25">
      <c r="A33" s="54"/>
      <c r="B33" s="255" t="str">
        <f>IF('DFP-Com'!Q43-'DFP-CASH'!Q45=0,"ok","error")</f>
        <v>ok</v>
      </c>
      <c r="C33" s="300" t="str">
        <f>IF(SUM('DFP-CASH'!$C45:C45)&gt;SUM('DFP-Com'!$C43:D43),"error","ok")</f>
        <v>ok</v>
      </c>
      <c r="D33" s="300" t="str">
        <f>IF(SUM('DFP-CASH'!$C45:E45)&gt;SUM('DFP-Com'!$C43:E43),"error","ok")</f>
        <v>ok</v>
      </c>
      <c r="E33" s="300" t="str">
        <f>IF(SUM('DFP-CASH'!$C45:F45)&gt;SUM('DFP-Com'!$C43:F43),"error","ok")</f>
        <v>ok</v>
      </c>
      <c r="F33" s="300" t="str">
        <f>IF(SUM('DFP-CASH'!$C45:G45)&gt;SUM('DFP-Com'!$C43:G43),"error","ok")</f>
        <v>ok</v>
      </c>
      <c r="G33" s="300" t="str">
        <f>IF(SUM('DFP-CASH'!$C45:G45)&gt;SUM('DFP-Com'!$C43:G43),"error","ok")</f>
        <v>ok</v>
      </c>
      <c r="H33" s="300" t="str">
        <f>IF(SUM('DFP-CASH'!$C45:G45)&gt;SUM('DFP-Com'!$C43:G43),"error","ok")</f>
        <v>ok</v>
      </c>
      <c r="I33" s="300" t="str">
        <f>IF(SUM('DFP-CASH'!$C45:G45)&gt;SUM('DFP-Com'!$C43:G43),"error","ok")</f>
        <v>ok</v>
      </c>
      <c r="J33" s="300" t="str">
        <f>IF(SUM('DFP-CASH'!$C45:G45)&gt;SUM('DFP-Com'!$C43:G43),"error","ok")</f>
        <v>ok</v>
      </c>
      <c r="K33" s="300" t="str">
        <f>IF(SUM('DFP-CASH'!$C45:G45)&gt;SUM('DFP-Com'!$C43:G43),"error","ok")</f>
        <v>ok</v>
      </c>
      <c r="L33" s="300" t="str">
        <f>IF(SUM('DFP-CASH'!$C45:G45)&gt;SUM('DFP-Com'!$C43:G43),"error","ok")</f>
        <v>ok</v>
      </c>
      <c r="M33" s="300" t="str">
        <f>IF(SUM('DFP-CASH'!$C45:H45)&gt;SUM('DFP-Com'!$C43:H43),"error","ok")</f>
        <v>ok</v>
      </c>
      <c r="N33" s="300" t="str">
        <f>IF(SUM('DFP-CASH'!$C45:I45)&gt;SUM('DFP-Com'!$C43:I43),"error","ok")</f>
        <v>ok</v>
      </c>
      <c r="O33" s="300" t="str">
        <f>IF(SUM('DFP-CASH'!$C45:J45)&gt;SUM('DFP-Com'!$C43:J43),"error","ok")</f>
        <v>ok</v>
      </c>
      <c r="P33" s="300" t="str">
        <f>IF(SUM('DFP-CASH'!$C45:K45)&gt;SUM('DFP-Com'!$C43:K43),"error","ok")</f>
        <v>ok</v>
      </c>
      <c r="Q33" s="300" t="str">
        <f>IF(SUM('DFP-CASH'!$C45:L45)&gt;SUM('DFP-Com'!$C43:L43),"error","ok")</f>
        <v>ok</v>
      </c>
      <c r="R33" s="300" t="str">
        <f>IF(SUM('DFP-CASH'!$C45:M45)&gt;SUM('DFP-Com'!$C43:M43),"error","ok")</f>
        <v>ok</v>
      </c>
      <c r="S33" s="300" t="str">
        <f>IF(SUM('DFP-CASH'!$C45:N45)&gt;SUM('DFP-Com'!$C43:N43),"error","ok")</f>
        <v>ok</v>
      </c>
    </row>
    <row r="34" spans="1:19" x14ac:dyDescent="0.25">
      <c r="A34" s="45" t="s">
        <v>86</v>
      </c>
      <c r="B34" s="255" t="str">
        <f>IF('DFP-Com'!Q44-'DFP-CASH'!Q46=0,"ok","error")</f>
        <v>ok</v>
      </c>
      <c r="C34" s="300" t="str">
        <f>IF(SUM('DFP-CASH'!$C46:C46)&gt;SUM('DFP-Com'!$C44:D44),"error","ok")</f>
        <v>ok</v>
      </c>
      <c r="D34" s="300" t="str">
        <f>IF(SUM('DFP-CASH'!$C46:E46)&gt;SUM('DFP-Com'!$C44:E44),"error","ok")</f>
        <v>ok</v>
      </c>
      <c r="E34" s="300" t="str">
        <f>IF(SUM('DFP-CASH'!$C46:F46)&gt;SUM('DFP-Com'!$C44:F44),"error","ok")</f>
        <v>ok</v>
      </c>
      <c r="F34" s="300" t="str">
        <f>IF(SUM('DFP-CASH'!$C46:G46)&gt;SUM('DFP-Com'!$C44:G44),"error","ok")</f>
        <v>ok</v>
      </c>
      <c r="G34" s="300" t="str">
        <f>IF(SUM('DFP-CASH'!$C46:G46)&gt;SUM('DFP-Com'!$C44:G44),"error","ok")</f>
        <v>ok</v>
      </c>
      <c r="H34" s="300" t="str">
        <f>IF(SUM('DFP-CASH'!$C46:G46)&gt;SUM('DFP-Com'!$C44:G44),"error","ok")</f>
        <v>ok</v>
      </c>
      <c r="I34" s="300" t="str">
        <f>IF(SUM('DFP-CASH'!$C46:G46)&gt;SUM('DFP-Com'!$C44:G44),"error","ok")</f>
        <v>ok</v>
      </c>
      <c r="J34" s="300" t="str">
        <f>IF(SUM('DFP-CASH'!$C46:G46)&gt;SUM('DFP-Com'!$C44:G44),"error","ok")</f>
        <v>ok</v>
      </c>
      <c r="K34" s="300" t="str">
        <f>IF(SUM('DFP-CASH'!$C46:G46)&gt;SUM('DFP-Com'!$C44:G44),"error","ok")</f>
        <v>ok</v>
      </c>
      <c r="L34" s="300" t="str">
        <f>IF(SUM('DFP-CASH'!$C46:G46)&gt;SUM('DFP-Com'!$C44:G44),"error","ok")</f>
        <v>ok</v>
      </c>
      <c r="M34" s="300" t="str">
        <f>IF(SUM('DFP-CASH'!$C46:H46)&gt;SUM('DFP-Com'!$C44:H44),"error","ok")</f>
        <v>ok</v>
      </c>
      <c r="N34" s="300" t="str">
        <f>IF(SUM('DFP-CASH'!$C46:I46)&gt;SUM('DFP-Com'!$C44:I44),"error","ok")</f>
        <v>ok</v>
      </c>
      <c r="O34" s="300" t="str">
        <f>IF(SUM('DFP-CASH'!$C46:J46)&gt;SUM('DFP-Com'!$C44:J44),"error","ok")</f>
        <v>ok</v>
      </c>
      <c r="P34" s="300" t="str">
        <f>IF(SUM('DFP-CASH'!$C46:K46)&gt;SUM('DFP-Com'!$C44:K44),"error","ok")</f>
        <v>ok</v>
      </c>
      <c r="Q34" s="300" t="str">
        <f>IF(SUM('DFP-CASH'!$C46:L46)&gt;SUM('DFP-Com'!$C44:L44),"error","ok")</f>
        <v>ok</v>
      </c>
      <c r="R34" s="300" t="str">
        <f>IF(SUM('DFP-CASH'!$C46:M46)&gt;SUM('DFP-Com'!$C44:M44),"error","ok")</f>
        <v>ok</v>
      </c>
      <c r="S34" s="300" t="str">
        <f>IF(SUM('DFP-CASH'!$C46:N46)&gt;SUM('DFP-Com'!$C44:N44),"error","ok")</f>
        <v>ok</v>
      </c>
    </row>
    <row r="35" spans="1:19" x14ac:dyDescent="0.25">
      <c r="A35" s="66" t="s">
        <v>96</v>
      </c>
      <c r="B35" s="255" t="str">
        <f>IF('DFP-Com'!Q45-'DFP-CASH'!Q47=0,"ok","error")</f>
        <v>error</v>
      </c>
      <c r="C35" s="300" t="str">
        <f>IF(SUM('DFP-CASH'!$C47:C47)&gt;SUM('DFP-Com'!$C45:D45),"error","ok")</f>
        <v>ok</v>
      </c>
      <c r="D35" s="300" t="str">
        <f>IF(SUM('DFP-CASH'!$C47:E47)&gt;SUM('DFP-Com'!$C45:E45),"error","ok")</f>
        <v>ok</v>
      </c>
      <c r="E35" s="300" t="str">
        <f>IF(SUM('DFP-CASH'!$C47:F47)&gt;SUM('DFP-Com'!$C45:F45),"error","ok")</f>
        <v>ok</v>
      </c>
      <c r="F35" s="300" t="str">
        <f>IF(SUM('DFP-CASH'!$C47:G47)&gt;SUM('DFP-Com'!$C45:G45),"error","ok")</f>
        <v>ok</v>
      </c>
      <c r="G35" s="300" t="str">
        <f>IF(SUM('DFP-CASH'!$C47:G47)&gt;SUM('DFP-Com'!$C45:G45),"error","ok")</f>
        <v>ok</v>
      </c>
      <c r="H35" s="300" t="str">
        <f>IF(SUM('DFP-CASH'!$C47:G47)&gt;SUM('DFP-Com'!$C45:G45),"error","ok")</f>
        <v>ok</v>
      </c>
      <c r="I35" s="300" t="str">
        <f>IF(SUM('DFP-CASH'!$C47:G47)&gt;SUM('DFP-Com'!$C45:G45),"error","ok")</f>
        <v>ok</v>
      </c>
      <c r="J35" s="300" t="str">
        <f>IF(SUM('DFP-CASH'!$C47:G47)&gt;SUM('DFP-Com'!$C45:G45),"error","ok")</f>
        <v>ok</v>
      </c>
      <c r="K35" s="300" t="str">
        <f>IF(SUM('DFP-CASH'!$C47:G47)&gt;SUM('DFP-Com'!$C45:G45),"error","ok")</f>
        <v>ok</v>
      </c>
      <c r="L35" s="300" t="str">
        <f>IF(SUM('DFP-CASH'!$C47:G47)&gt;SUM('DFP-Com'!$C45:G45),"error","ok")</f>
        <v>ok</v>
      </c>
      <c r="M35" s="300" t="str">
        <f>IF(SUM('DFP-CASH'!$C47:H47)&gt;SUM('DFP-Com'!$C45:H45),"error","ok")</f>
        <v>ok</v>
      </c>
      <c r="N35" s="300" t="str">
        <f>IF(SUM('DFP-CASH'!$C47:I47)&gt;SUM('DFP-Com'!$C45:I45),"error","ok")</f>
        <v>ok</v>
      </c>
      <c r="O35" s="300" t="str">
        <f>IF(SUM('DFP-CASH'!$C47:J47)&gt;SUM('DFP-Com'!$C45:J45),"error","ok")</f>
        <v>ok</v>
      </c>
      <c r="P35" s="300" t="str">
        <f>IF(SUM('DFP-CASH'!$C47:K47)&gt;SUM('DFP-Com'!$C45:K45),"error","ok")</f>
        <v>ok</v>
      </c>
      <c r="Q35" s="300" t="str">
        <f>IF(SUM('DFP-CASH'!$C47:L47)&gt;SUM('DFP-Com'!$C45:L45),"error","ok")</f>
        <v>ok</v>
      </c>
      <c r="R35" s="300" t="str">
        <f>IF(SUM('DFP-CASH'!$C47:M47)&gt;SUM('DFP-Com'!$C45:M45),"error","ok")</f>
        <v>ok</v>
      </c>
      <c r="S35" s="300" t="str">
        <f>IF(SUM('DFP-CASH'!$C47:N47)&gt;SUM('DFP-Com'!$C45:N45),"error","ok")</f>
        <v>ok</v>
      </c>
    </row>
    <row r="36" spans="1:19" x14ac:dyDescent="0.25">
      <c r="A36" s="217" t="s">
        <v>140</v>
      </c>
      <c r="B36" s="255" t="str">
        <f>IF('DFP-Com'!Q46-'DFP-CASH'!Q48=0,"ok","error")</f>
        <v>error</v>
      </c>
      <c r="C36" s="300" t="str">
        <f>IF(SUM('DFP-CASH'!$C48:C48)&gt;SUM('DFP-Com'!$C46:D46),"error","ok")</f>
        <v>ok</v>
      </c>
      <c r="D36" s="300" t="str">
        <f>IF(SUM('DFP-CASH'!$C48:E48)&gt;SUM('DFP-Com'!$C46:E46),"error","ok")</f>
        <v>ok</v>
      </c>
      <c r="E36" s="300" t="str">
        <f>IF(SUM('DFP-CASH'!$C48:F48)&gt;SUM('DFP-Com'!$C46:F46),"error","ok")</f>
        <v>ok</v>
      </c>
      <c r="F36" s="300" t="str">
        <f>IF(SUM('DFP-CASH'!$C48:G48)&gt;SUM('DFP-Com'!$C46:G46),"error","ok")</f>
        <v>ok</v>
      </c>
      <c r="G36" s="300" t="str">
        <f>IF(SUM('DFP-CASH'!$C48:G48)&gt;SUM('DFP-Com'!$C46:G46),"error","ok")</f>
        <v>ok</v>
      </c>
      <c r="H36" s="300" t="str">
        <f>IF(SUM('DFP-CASH'!$C48:G48)&gt;SUM('DFP-Com'!$C46:G46),"error","ok")</f>
        <v>ok</v>
      </c>
      <c r="I36" s="300" t="str">
        <f>IF(SUM('DFP-CASH'!$C48:G48)&gt;SUM('DFP-Com'!$C46:G46),"error","ok")</f>
        <v>ok</v>
      </c>
      <c r="J36" s="300" t="str">
        <f>IF(SUM('DFP-CASH'!$C48:G48)&gt;SUM('DFP-Com'!$C46:G46),"error","ok")</f>
        <v>ok</v>
      </c>
      <c r="K36" s="300" t="str">
        <f>IF(SUM('DFP-CASH'!$C48:G48)&gt;SUM('DFP-Com'!$C46:G46),"error","ok")</f>
        <v>ok</v>
      </c>
      <c r="L36" s="300" t="str">
        <f>IF(SUM('DFP-CASH'!$C48:G48)&gt;SUM('DFP-Com'!$C46:G46),"error","ok")</f>
        <v>ok</v>
      </c>
      <c r="M36" s="300" t="str">
        <f>IF(SUM('DFP-CASH'!$C48:H48)&gt;SUM('DFP-Com'!$C46:H46),"error","ok")</f>
        <v>ok</v>
      </c>
      <c r="N36" s="300" t="str">
        <f>IF(SUM('DFP-CASH'!$C48:I48)&gt;SUM('DFP-Com'!$C46:I46),"error","ok")</f>
        <v>ok</v>
      </c>
      <c r="O36" s="300" t="str">
        <f>IF(SUM('DFP-CASH'!$C48:J48)&gt;SUM('DFP-Com'!$C46:J46),"error","ok")</f>
        <v>ok</v>
      </c>
      <c r="P36" s="300" t="str">
        <f>IF(SUM('DFP-CASH'!$C48:K48)&gt;SUM('DFP-Com'!$C46:K46),"error","ok")</f>
        <v>ok</v>
      </c>
      <c r="Q36" s="300" t="str">
        <f>IF(SUM('DFP-CASH'!$C48:L48)&gt;SUM('DFP-Com'!$C46:L46),"error","ok")</f>
        <v>ok</v>
      </c>
      <c r="R36" s="300" t="str">
        <f>IF(SUM('DFP-CASH'!$C48:M48)&gt;SUM('DFP-Com'!$C46:M46),"error","ok")</f>
        <v>ok</v>
      </c>
      <c r="S36" s="300" t="str">
        <f>IF(SUM('DFP-CASH'!$C48:N48)&gt;SUM('DFP-Com'!$C46:N46),"error","ok")</f>
        <v>ok</v>
      </c>
    </row>
    <row r="37" spans="1:19" x14ac:dyDescent="0.25">
      <c r="A37" s="217" t="s">
        <v>141</v>
      </c>
      <c r="B37" s="255" t="str">
        <f>IF('DFP-Com'!Q47-'DFP-CASH'!Q49=0,"ok","error")</f>
        <v>error</v>
      </c>
      <c r="C37" s="300" t="str">
        <f>IF(SUM('DFP-CASH'!$C49:C49)&gt;SUM('DFP-Com'!$C47:D47),"error","ok")</f>
        <v>error</v>
      </c>
      <c r="D37" s="300" t="str">
        <f>IF(SUM('DFP-CASH'!$C49:E49)&gt;SUM('DFP-Com'!$C47:E47),"error","ok")</f>
        <v>ok</v>
      </c>
      <c r="E37" s="300" t="str">
        <f>IF(SUM('DFP-CASH'!$C49:F49)&gt;SUM('DFP-Com'!$C47:F47),"error","ok")</f>
        <v>ok</v>
      </c>
      <c r="F37" s="300" t="str">
        <f>IF(SUM('DFP-CASH'!$C49:G49)&gt;SUM('DFP-Com'!$C47:G47),"error","ok")</f>
        <v>error</v>
      </c>
      <c r="G37" s="300" t="str">
        <f>IF(SUM('DFP-CASH'!$C49:G49)&gt;SUM('DFP-Com'!$C47:G47),"error","ok")</f>
        <v>error</v>
      </c>
      <c r="H37" s="300" t="str">
        <f>IF(SUM('DFP-CASH'!$C49:G49)&gt;SUM('DFP-Com'!$C47:G47),"error","ok")</f>
        <v>error</v>
      </c>
      <c r="I37" s="300" t="str">
        <f>IF(SUM('DFP-CASH'!$C49:G49)&gt;SUM('DFP-Com'!$C47:G47),"error","ok")</f>
        <v>error</v>
      </c>
      <c r="J37" s="300" t="str">
        <f>IF(SUM('DFP-CASH'!$C49:G49)&gt;SUM('DFP-Com'!$C47:G47),"error","ok")</f>
        <v>error</v>
      </c>
      <c r="K37" s="300" t="str">
        <f>IF(SUM('DFP-CASH'!$C49:G49)&gt;SUM('DFP-Com'!$C47:G47),"error","ok")</f>
        <v>error</v>
      </c>
      <c r="L37" s="300" t="str">
        <f>IF(SUM('DFP-CASH'!$C49:G49)&gt;SUM('DFP-Com'!$C47:G47),"error","ok")</f>
        <v>error</v>
      </c>
      <c r="M37" s="300" t="str">
        <f>IF(SUM('DFP-CASH'!$C49:H49)&gt;SUM('DFP-Com'!$C47:H47),"error","ok")</f>
        <v>error</v>
      </c>
      <c r="N37" s="300" t="str">
        <f>IF(SUM('DFP-CASH'!$C49:I49)&gt;SUM('DFP-Com'!$C47:I47),"error","ok")</f>
        <v>error</v>
      </c>
      <c r="O37" s="300" t="str">
        <f>IF(SUM('DFP-CASH'!$C49:J49)&gt;SUM('DFP-Com'!$C47:J47),"error","ok")</f>
        <v>error</v>
      </c>
      <c r="P37" s="300" t="str">
        <f>IF(SUM('DFP-CASH'!$C49:K49)&gt;SUM('DFP-Com'!$C47:K47),"error","ok")</f>
        <v>error</v>
      </c>
      <c r="Q37" s="300" t="str">
        <f>IF(SUM('DFP-CASH'!$C49:L49)&gt;SUM('DFP-Com'!$C47:L47),"error","ok")</f>
        <v>error</v>
      </c>
      <c r="R37" s="300" t="str">
        <f>IF(SUM('DFP-CASH'!$C49:M49)&gt;SUM('DFP-Com'!$C47:M47),"error","ok")</f>
        <v>error</v>
      </c>
      <c r="S37" s="300" t="str">
        <f>IF(SUM('DFP-CASH'!$C49:N49)&gt;SUM('DFP-Com'!$C47:N47),"error","ok")</f>
        <v>error</v>
      </c>
    </row>
    <row r="38" spans="1:19" x14ac:dyDescent="0.25">
      <c r="A38" s="217" t="s">
        <v>142</v>
      </c>
      <c r="B38" s="255" t="str">
        <f>IF('DFP-Com'!Q48-'DFP-CASH'!Q50=0,"ok","error")</f>
        <v>ok</v>
      </c>
      <c r="C38" s="300" t="str">
        <f>IF(SUM('DFP-CASH'!$C50:C50)&gt;SUM('DFP-Com'!$C48:D48),"error","ok")</f>
        <v>ok</v>
      </c>
      <c r="D38" s="300" t="str">
        <f>IF(SUM('DFP-CASH'!$C50:E50)&gt;SUM('DFP-Com'!$C48:E48),"error","ok")</f>
        <v>ok</v>
      </c>
      <c r="E38" s="300" t="str">
        <f>IF(SUM('DFP-CASH'!$C50:F50)&gt;SUM('DFP-Com'!$C48:F48),"error","ok")</f>
        <v>ok</v>
      </c>
      <c r="F38" s="300" t="str">
        <f>IF(SUM('DFP-CASH'!$C50:G50)&gt;SUM('DFP-Com'!$C48:G48),"error","ok")</f>
        <v>ok</v>
      </c>
      <c r="G38" s="300" t="str">
        <f>IF(SUM('DFP-CASH'!$C50:G50)&gt;SUM('DFP-Com'!$C48:G48),"error","ok")</f>
        <v>ok</v>
      </c>
      <c r="H38" s="300" t="str">
        <f>IF(SUM('DFP-CASH'!$C50:G50)&gt;SUM('DFP-Com'!$C48:G48),"error","ok")</f>
        <v>ok</v>
      </c>
      <c r="I38" s="300" t="str">
        <f>IF(SUM('DFP-CASH'!$C50:G50)&gt;SUM('DFP-Com'!$C48:G48),"error","ok")</f>
        <v>ok</v>
      </c>
      <c r="J38" s="300" t="str">
        <f>IF(SUM('DFP-CASH'!$C50:G50)&gt;SUM('DFP-Com'!$C48:G48),"error","ok")</f>
        <v>ok</v>
      </c>
      <c r="K38" s="300" t="str">
        <f>IF(SUM('DFP-CASH'!$C50:G50)&gt;SUM('DFP-Com'!$C48:G48),"error","ok")</f>
        <v>ok</v>
      </c>
      <c r="L38" s="300" t="str">
        <f>IF(SUM('DFP-CASH'!$C50:G50)&gt;SUM('DFP-Com'!$C48:G48),"error","ok")</f>
        <v>ok</v>
      </c>
      <c r="M38" s="300" t="str">
        <f>IF(SUM('DFP-CASH'!$C50:H50)&gt;SUM('DFP-Com'!$C48:H48),"error","ok")</f>
        <v>ok</v>
      </c>
      <c r="N38" s="300" t="str">
        <f>IF(SUM('DFP-CASH'!$C50:I50)&gt;SUM('DFP-Com'!$C48:I48),"error","ok")</f>
        <v>ok</v>
      </c>
      <c r="O38" s="300" t="str">
        <f>IF(SUM('DFP-CASH'!$C50:J50)&gt;SUM('DFP-Com'!$C48:J48),"error","ok")</f>
        <v>ok</v>
      </c>
      <c r="P38" s="300" t="str">
        <f>IF(SUM('DFP-CASH'!$C50:K50)&gt;SUM('DFP-Com'!$C48:K48),"error","ok")</f>
        <v>ok</v>
      </c>
      <c r="Q38" s="300" t="str">
        <f>IF(SUM('DFP-CASH'!$C50:L50)&gt;SUM('DFP-Com'!$C48:L48),"error","ok")</f>
        <v>ok</v>
      </c>
      <c r="R38" s="300" t="str">
        <f>IF(SUM('DFP-CASH'!$C50:M50)&gt;SUM('DFP-Com'!$C48:M48),"error","ok")</f>
        <v>ok</v>
      </c>
      <c r="S38" s="300" t="str">
        <f>IF(SUM('DFP-CASH'!$C50:N50)&gt;SUM('DFP-Com'!$C48:N48),"error","ok")</f>
        <v>ok</v>
      </c>
    </row>
    <row r="39" spans="1:19" x14ac:dyDescent="0.25">
      <c r="A39" s="217" t="s">
        <v>143</v>
      </c>
      <c r="B39" s="255" t="str">
        <f>IF('DFP-Com'!Q49-'DFP-CASH'!Q51=0,"ok","error")</f>
        <v>error</v>
      </c>
      <c r="C39" s="300" t="str">
        <f>IF(SUM('DFP-CASH'!$C51:C51)&gt;SUM('DFP-Com'!$C49:D49),"error","ok")</f>
        <v>ok</v>
      </c>
      <c r="D39" s="300" t="str">
        <f>IF(SUM('DFP-CASH'!$C51:E51)&gt;SUM('DFP-Com'!$C49:E49),"error","ok")</f>
        <v>ok</v>
      </c>
      <c r="E39" s="300" t="str">
        <f>IF(SUM('DFP-CASH'!$C51:F51)&gt;SUM('DFP-Com'!$C49:F49),"error","ok")</f>
        <v>ok</v>
      </c>
      <c r="F39" s="300" t="str">
        <f>IF(SUM('DFP-CASH'!$C51:G51)&gt;SUM('DFP-Com'!$C49:G49),"error","ok")</f>
        <v>ok</v>
      </c>
      <c r="G39" s="300" t="str">
        <f>IF(SUM('DFP-CASH'!$C51:G51)&gt;SUM('DFP-Com'!$C49:G49),"error","ok")</f>
        <v>ok</v>
      </c>
      <c r="H39" s="300" t="str">
        <f>IF(SUM('DFP-CASH'!$C51:G51)&gt;SUM('DFP-Com'!$C49:G49),"error","ok")</f>
        <v>ok</v>
      </c>
      <c r="I39" s="300" t="str">
        <f>IF(SUM('DFP-CASH'!$C51:G51)&gt;SUM('DFP-Com'!$C49:G49),"error","ok")</f>
        <v>ok</v>
      </c>
      <c r="J39" s="300" t="str">
        <f>IF(SUM('DFP-CASH'!$C51:G51)&gt;SUM('DFP-Com'!$C49:G49),"error","ok")</f>
        <v>ok</v>
      </c>
      <c r="K39" s="300" t="str">
        <f>IF(SUM('DFP-CASH'!$C51:G51)&gt;SUM('DFP-Com'!$C49:G49),"error","ok")</f>
        <v>ok</v>
      </c>
      <c r="L39" s="300" t="str">
        <f>IF(SUM('DFP-CASH'!$C51:G51)&gt;SUM('DFP-Com'!$C49:G49),"error","ok")</f>
        <v>ok</v>
      </c>
      <c r="M39" s="300" t="str">
        <f>IF(SUM('DFP-CASH'!$C51:H51)&gt;SUM('DFP-Com'!$C49:H49),"error","ok")</f>
        <v>error</v>
      </c>
      <c r="N39" s="300" t="str">
        <f>IF(SUM('DFP-CASH'!$C51:I51)&gt;SUM('DFP-Com'!$C49:I49),"error","ok")</f>
        <v>error</v>
      </c>
      <c r="O39" s="300" t="str">
        <f>IF(SUM('DFP-CASH'!$C51:J51)&gt;SUM('DFP-Com'!$C49:J49),"error","ok")</f>
        <v>error</v>
      </c>
      <c r="P39" s="300" t="str">
        <f>IF(SUM('DFP-CASH'!$C51:K51)&gt;SUM('DFP-Com'!$C49:K49),"error","ok")</f>
        <v>error</v>
      </c>
      <c r="Q39" s="300" t="str">
        <f>IF(SUM('DFP-CASH'!$C51:L51)&gt;SUM('DFP-Com'!$C49:L49),"error","ok")</f>
        <v>error</v>
      </c>
      <c r="R39" s="300" t="str">
        <f>IF(SUM('DFP-CASH'!$C51:M51)&gt;SUM('DFP-Com'!$C49:M49),"error","ok")</f>
        <v>error</v>
      </c>
      <c r="S39" s="300" t="str">
        <f>IF(SUM('DFP-CASH'!$C51:N51)&gt;SUM('DFP-Com'!$C49:N49),"error","ok")</f>
        <v>error</v>
      </c>
    </row>
    <row r="40" spans="1:19" x14ac:dyDescent="0.25">
      <c r="A40" s="67" t="s">
        <v>95</v>
      </c>
      <c r="B40" s="255" t="str">
        <f>IF('DFP-Com'!Q50-'DFP-CASH'!Q52=0,"ok","error")</f>
        <v>error</v>
      </c>
      <c r="C40" s="300" t="str">
        <f>IF(SUM('DFP-CASH'!$C52:C52)&gt;SUM('DFP-Com'!$C50:D50),"error","ok")</f>
        <v>ok</v>
      </c>
      <c r="D40" s="300" t="str">
        <f>IF(SUM('DFP-CASH'!$C52:E52)&gt;SUM('DFP-Com'!$C50:E50),"error","ok")</f>
        <v>ok</v>
      </c>
      <c r="E40" s="300" t="str">
        <f>IF(SUM('DFP-CASH'!$C52:F52)&gt;SUM('DFP-Com'!$C50:F50),"error","ok")</f>
        <v>ok</v>
      </c>
      <c r="F40" s="300" t="str">
        <f>IF(SUM('DFP-CASH'!$C52:G52)&gt;SUM('DFP-Com'!$C50:G50),"error","ok")</f>
        <v>ok</v>
      </c>
      <c r="G40" s="300" t="str">
        <f>IF(SUM('DFP-CASH'!$C52:G52)&gt;SUM('DFP-Com'!$C50:G50),"error","ok")</f>
        <v>ok</v>
      </c>
      <c r="H40" s="300" t="str">
        <f>IF(SUM('DFP-CASH'!$C52:G52)&gt;SUM('DFP-Com'!$C50:G50),"error","ok")</f>
        <v>ok</v>
      </c>
      <c r="I40" s="300" t="str">
        <f>IF(SUM('DFP-CASH'!$C52:G52)&gt;SUM('DFP-Com'!$C50:G50),"error","ok")</f>
        <v>ok</v>
      </c>
      <c r="J40" s="300" t="str">
        <f>IF(SUM('DFP-CASH'!$C52:G52)&gt;SUM('DFP-Com'!$C50:G50),"error","ok")</f>
        <v>ok</v>
      </c>
      <c r="K40" s="300" t="str">
        <f>IF(SUM('DFP-CASH'!$C52:G52)&gt;SUM('DFP-Com'!$C50:G50),"error","ok")</f>
        <v>ok</v>
      </c>
      <c r="L40" s="300" t="str">
        <f>IF(SUM('DFP-CASH'!$C52:G52)&gt;SUM('DFP-Com'!$C50:G50),"error","ok")</f>
        <v>ok</v>
      </c>
      <c r="M40" s="300" t="str">
        <f>IF(SUM('DFP-CASH'!$C52:H52)&gt;SUM('DFP-Com'!$C50:H50),"error","ok")</f>
        <v>ok</v>
      </c>
      <c r="N40" s="300" t="str">
        <f>IF(SUM('DFP-CASH'!$C52:I52)&gt;SUM('DFP-Com'!$C50:I50),"error","ok")</f>
        <v>ok</v>
      </c>
      <c r="O40" s="300" t="str">
        <f>IF(SUM('DFP-CASH'!$C52:J52)&gt;SUM('DFP-Com'!$C50:J50),"error","ok")</f>
        <v>ok</v>
      </c>
      <c r="P40" s="300" t="str">
        <f>IF(SUM('DFP-CASH'!$C52:K52)&gt;SUM('DFP-Com'!$C50:K50),"error","ok")</f>
        <v>ok</v>
      </c>
      <c r="Q40" s="300" t="str">
        <f>IF(SUM('DFP-CASH'!$C52:L52)&gt;SUM('DFP-Com'!$C50:L50),"error","ok")</f>
        <v>ok</v>
      </c>
      <c r="R40" s="300" t="str">
        <f>IF(SUM('DFP-CASH'!$C52:M52)&gt;SUM('DFP-Com'!$C50:M50),"error","ok")</f>
        <v>ok</v>
      </c>
      <c r="S40" s="300" t="str">
        <f>IF(SUM('DFP-CASH'!$C52:N52)&gt;SUM('DFP-Com'!$C50:N50),"error","ok")</f>
        <v>ok</v>
      </c>
    </row>
    <row r="41" spans="1:19" x14ac:dyDescent="0.25">
      <c r="A41" s="54"/>
      <c r="B41" s="255" t="str">
        <f>IF('DFP-Com'!Q51-'DFP-CASH'!Q53=0,"ok","error")</f>
        <v>ok</v>
      </c>
      <c r="C41" s="300" t="str">
        <f>IF(SUM('DFP-CASH'!$C53:C53)&gt;SUM('DFP-Com'!$C51:D51),"error","ok")</f>
        <v>ok</v>
      </c>
      <c r="D41" s="300" t="str">
        <f>IF(SUM('DFP-CASH'!$C53:E53)&gt;SUM('DFP-Com'!$C51:E51),"error","ok")</f>
        <v>ok</v>
      </c>
      <c r="E41" s="300" t="str">
        <f>IF(SUM('DFP-CASH'!$C53:F53)&gt;SUM('DFP-Com'!$C51:F51),"error","ok")</f>
        <v>ok</v>
      </c>
      <c r="F41" s="300" t="str">
        <f>IF(SUM('DFP-CASH'!$C53:G53)&gt;SUM('DFP-Com'!$C51:G51),"error","ok")</f>
        <v>ok</v>
      </c>
      <c r="G41" s="300" t="str">
        <f>IF(SUM('DFP-CASH'!$C53:G53)&gt;SUM('DFP-Com'!$C51:G51),"error","ok")</f>
        <v>ok</v>
      </c>
      <c r="H41" s="300" t="str">
        <f>IF(SUM('DFP-CASH'!$C53:G53)&gt;SUM('DFP-Com'!$C51:G51),"error","ok")</f>
        <v>ok</v>
      </c>
      <c r="I41" s="300" t="str">
        <f>IF(SUM('DFP-CASH'!$C53:G53)&gt;SUM('DFP-Com'!$C51:G51),"error","ok")</f>
        <v>ok</v>
      </c>
      <c r="J41" s="300" t="str">
        <f>IF(SUM('DFP-CASH'!$C53:G53)&gt;SUM('DFP-Com'!$C51:G51),"error","ok")</f>
        <v>ok</v>
      </c>
      <c r="K41" s="300" t="str">
        <f>IF(SUM('DFP-CASH'!$C53:G53)&gt;SUM('DFP-Com'!$C51:G51),"error","ok")</f>
        <v>ok</v>
      </c>
      <c r="L41" s="300" t="str">
        <f>IF(SUM('DFP-CASH'!$C53:G53)&gt;SUM('DFP-Com'!$C51:G51),"error","ok")</f>
        <v>ok</v>
      </c>
      <c r="M41" s="300" t="str">
        <f>IF(SUM('DFP-CASH'!$C53:H53)&gt;SUM('DFP-Com'!$C51:H51),"error","ok")</f>
        <v>ok</v>
      </c>
      <c r="N41" s="300" t="str">
        <f>IF(SUM('DFP-CASH'!$C53:I53)&gt;SUM('DFP-Com'!$C51:I51),"error","ok")</f>
        <v>ok</v>
      </c>
      <c r="O41" s="300" t="str">
        <f>IF(SUM('DFP-CASH'!$C53:J53)&gt;SUM('DFP-Com'!$C51:J51),"error","ok")</f>
        <v>ok</v>
      </c>
      <c r="P41" s="300" t="str">
        <f>IF(SUM('DFP-CASH'!$C53:K53)&gt;SUM('DFP-Com'!$C51:K51),"error","ok")</f>
        <v>ok</v>
      </c>
      <c r="Q41" s="300" t="str">
        <f>IF(SUM('DFP-CASH'!$C53:L53)&gt;SUM('DFP-Com'!$C51:L51),"error","ok")</f>
        <v>ok</v>
      </c>
      <c r="R41" s="300" t="str">
        <f>IF(SUM('DFP-CASH'!$C53:M53)&gt;SUM('DFP-Com'!$C51:M51),"error","ok")</f>
        <v>ok</v>
      </c>
      <c r="S41" s="300" t="str">
        <f>IF(SUM('DFP-CASH'!$C53:N53)&gt;SUM('DFP-Com'!$C51:N51),"error","ok")</f>
        <v>ok</v>
      </c>
    </row>
    <row r="42" spans="1:19" ht="16.5" x14ac:dyDescent="0.25">
      <c r="A42" s="23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300"/>
    <col min="2" max="2" width="30.5703125" style="300" customWidth="1"/>
    <col min="3" max="3" width="51.42578125" style="300" customWidth="1"/>
    <col min="4" max="4" width="14" style="300" customWidth="1"/>
    <col min="5" max="5" width="13.140625" style="300" customWidth="1"/>
    <col min="6" max="6" width="12.42578125" style="300" customWidth="1"/>
    <col min="7" max="7" width="10.42578125" style="300" customWidth="1"/>
    <col min="8" max="8" width="10.42578125" style="317" customWidth="1"/>
    <col min="9" max="21" width="10.42578125" style="300" customWidth="1"/>
    <col min="22" max="23" width="14" style="300" customWidth="1"/>
    <col min="24" max="24" width="11" style="300" customWidth="1"/>
    <col min="25" max="34" width="10.42578125" style="300" customWidth="1"/>
    <col min="35" max="35" width="12.42578125" style="300" customWidth="1"/>
    <col min="36" max="37" width="10.42578125" style="300" customWidth="1"/>
    <col min="38" max="38" width="12.5703125" style="300" customWidth="1"/>
    <col min="39" max="39" width="8.85546875" style="300"/>
    <col min="40" max="41" width="11.42578125" style="300" customWidth="1"/>
    <col min="42" max="42" width="12.140625" style="300" customWidth="1"/>
    <col min="43" max="44" width="11.42578125" style="300" customWidth="1"/>
    <col min="45" max="45" width="12.42578125" style="300" customWidth="1"/>
    <col min="46" max="54" width="11.42578125" style="300" customWidth="1"/>
    <col min="55" max="55" width="8.85546875" style="300"/>
    <col min="56" max="56" width="11.5703125" style="300" customWidth="1"/>
    <col min="57" max="16384" width="8.85546875" style="300"/>
  </cols>
  <sheetData>
    <row r="1" spans="1:56" x14ac:dyDescent="0.25">
      <c r="D1" s="236">
        <f>SUM(D2:D55)</f>
        <v>23584570</v>
      </c>
      <c r="F1" s="300" t="s">
        <v>168</v>
      </c>
      <c r="U1" s="300" t="s">
        <v>182</v>
      </c>
      <c r="X1" s="241" t="s">
        <v>210</v>
      </c>
      <c r="Y1" s="241"/>
      <c r="Z1" s="241"/>
      <c r="AA1" s="241"/>
      <c r="AB1" s="241"/>
      <c r="AC1" s="241"/>
      <c r="AD1" s="241"/>
      <c r="AE1" s="241"/>
      <c r="AF1" s="241"/>
      <c r="AG1" s="241"/>
      <c r="AH1" s="241"/>
      <c r="AI1" s="241"/>
      <c r="AJ1" s="241"/>
      <c r="AK1" s="241"/>
      <c r="AL1" s="241"/>
      <c r="AM1" s="242"/>
      <c r="AN1" s="241" t="s">
        <v>211</v>
      </c>
      <c r="AO1" s="241"/>
      <c r="AP1" s="241"/>
      <c r="AQ1" s="241"/>
      <c r="AR1" s="241"/>
      <c r="AS1" s="241"/>
      <c r="AT1" s="241"/>
      <c r="AU1" s="241"/>
      <c r="AV1" s="241"/>
      <c r="AW1" s="241"/>
      <c r="AX1" s="241"/>
      <c r="AY1" s="241"/>
      <c r="AZ1" s="241"/>
      <c r="BA1" s="241"/>
      <c r="BB1" s="241"/>
    </row>
    <row r="2" spans="1:56" x14ac:dyDescent="0.25">
      <c r="A2" s="300" t="s">
        <v>144</v>
      </c>
      <c r="C2" s="300" t="s">
        <v>164</v>
      </c>
      <c r="D2" s="300" t="s">
        <v>166</v>
      </c>
      <c r="F2" s="234">
        <v>42552</v>
      </c>
      <c r="G2" s="234">
        <v>42644</v>
      </c>
      <c r="H2" s="318">
        <v>42736</v>
      </c>
      <c r="I2" s="234">
        <v>42826</v>
      </c>
      <c r="J2" s="234">
        <v>42917</v>
      </c>
      <c r="K2" s="234">
        <v>43009</v>
      </c>
      <c r="L2" s="234">
        <v>43101</v>
      </c>
      <c r="M2" s="234">
        <v>43191</v>
      </c>
      <c r="N2" s="234">
        <v>43282</v>
      </c>
      <c r="O2" s="234">
        <v>43374</v>
      </c>
      <c r="P2" s="234">
        <v>43466</v>
      </c>
      <c r="Q2" s="234">
        <v>43556</v>
      </c>
      <c r="R2" s="234">
        <v>43647</v>
      </c>
      <c r="S2" s="234">
        <v>43739</v>
      </c>
      <c r="T2" s="234">
        <v>43831</v>
      </c>
      <c r="X2" s="243">
        <v>42552</v>
      </c>
      <c r="Y2" s="243">
        <v>42644</v>
      </c>
      <c r="Z2" s="243">
        <v>42736</v>
      </c>
      <c r="AA2" s="243">
        <v>42826</v>
      </c>
      <c r="AB2" s="243">
        <v>42917</v>
      </c>
      <c r="AC2" s="243">
        <v>43009</v>
      </c>
      <c r="AD2" s="243">
        <v>43101</v>
      </c>
      <c r="AE2" s="243">
        <v>43191</v>
      </c>
      <c r="AF2" s="243">
        <v>43282</v>
      </c>
      <c r="AG2" s="243">
        <v>43374</v>
      </c>
      <c r="AH2" s="243">
        <v>43466</v>
      </c>
      <c r="AI2" s="243">
        <v>43556</v>
      </c>
      <c r="AJ2" s="243">
        <v>43647</v>
      </c>
      <c r="AK2" s="243">
        <v>43739</v>
      </c>
      <c r="AL2" s="243">
        <v>43831</v>
      </c>
      <c r="AM2" s="242"/>
      <c r="AN2" s="243">
        <v>42552</v>
      </c>
      <c r="AO2" s="243">
        <v>42644</v>
      </c>
      <c r="AP2" s="243">
        <v>42736</v>
      </c>
      <c r="AQ2" s="243">
        <v>42826</v>
      </c>
      <c r="AR2" s="243">
        <v>42917</v>
      </c>
      <c r="AS2" s="243">
        <v>43009</v>
      </c>
      <c r="AT2" s="243">
        <v>43101</v>
      </c>
      <c r="AU2" s="243">
        <v>43191</v>
      </c>
      <c r="AV2" s="243">
        <v>43282</v>
      </c>
      <c r="AW2" s="243">
        <v>43374</v>
      </c>
      <c r="AX2" s="243">
        <v>43466</v>
      </c>
      <c r="AY2" s="243">
        <v>43556</v>
      </c>
      <c r="AZ2" s="243">
        <v>43647</v>
      </c>
      <c r="BA2" s="243">
        <v>43739</v>
      </c>
      <c r="BB2" s="243">
        <v>43831</v>
      </c>
      <c r="BD2" s="300" t="s">
        <v>218</v>
      </c>
    </row>
    <row r="3" spans="1:56" x14ac:dyDescent="0.25">
      <c r="A3" s="300" t="s">
        <v>144</v>
      </c>
      <c r="C3" s="300" t="s">
        <v>164</v>
      </c>
      <c r="E3" s="300" t="s">
        <v>167</v>
      </c>
      <c r="F3" s="300" t="s">
        <v>165</v>
      </c>
      <c r="G3" s="300" t="s">
        <v>169</v>
      </c>
      <c r="H3" s="317" t="s">
        <v>170</v>
      </c>
      <c r="I3" s="300" t="s">
        <v>171</v>
      </c>
      <c r="J3" s="300" t="s">
        <v>172</v>
      </c>
      <c r="K3" s="300" t="s">
        <v>173</v>
      </c>
      <c r="L3" s="300" t="s">
        <v>174</v>
      </c>
      <c r="M3" s="300" t="s">
        <v>175</v>
      </c>
      <c r="N3" s="300" t="s">
        <v>176</v>
      </c>
      <c r="O3" s="300" t="s">
        <v>177</v>
      </c>
      <c r="P3" s="300" t="s">
        <v>178</v>
      </c>
      <c r="Q3" s="300" t="s">
        <v>179</v>
      </c>
      <c r="R3" s="300" t="s">
        <v>180</v>
      </c>
      <c r="S3" s="300" t="s">
        <v>181</v>
      </c>
      <c r="T3" s="300" t="s">
        <v>183</v>
      </c>
      <c r="X3" s="241" t="s">
        <v>165</v>
      </c>
      <c r="Y3" s="241" t="s">
        <v>169</v>
      </c>
      <c r="Z3" s="241" t="s">
        <v>170</v>
      </c>
      <c r="AA3" s="241" t="s">
        <v>171</v>
      </c>
      <c r="AB3" s="241" t="s">
        <v>172</v>
      </c>
      <c r="AC3" s="241" t="s">
        <v>173</v>
      </c>
      <c r="AD3" s="241" t="s">
        <v>174</v>
      </c>
      <c r="AE3" s="241" t="s">
        <v>175</v>
      </c>
      <c r="AF3" s="241" t="s">
        <v>176</v>
      </c>
      <c r="AG3" s="241" t="s">
        <v>177</v>
      </c>
      <c r="AH3" s="241" t="s">
        <v>178</v>
      </c>
      <c r="AI3" s="241" t="s">
        <v>179</v>
      </c>
      <c r="AJ3" s="241" t="s">
        <v>180</v>
      </c>
      <c r="AK3" s="241" t="s">
        <v>181</v>
      </c>
      <c r="AL3" s="241" t="s">
        <v>183</v>
      </c>
      <c r="AM3" s="242"/>
      <c r="AN3" s="241" t="s">
        <v>165</v>
      </c>
      <c r="AO3" s="241" t="s">
        <v>169</v>
      </c>
      <c r="AP3" s="241" t="s">
        <v>170</v>
      </c>
      <c r="AQ3" s="241" t="s">
        <v>171</v>
      </c>
      <c r="AR3" s="241" t="s">
        <v>172</v>
      </c>
      <c r="AS3" s="241" t="s">
        <v>173</v>
      </c>
      <c r="AT3" s="241" t="s">
        <v>174</v>
      </c>
      <c r="AU3" s="241" t="s">
        <v>175</v>
      </c>
      <c r="AV3" s="241" t="s">
        <v>176</v>
      </c>
      <c r="AW3" s="241" t="s">
        <v>177</v>
      </c>
      <c r="AX3" s="241" t="s">
        <v>178</v>
      </c>
      <c r="AY3" s="241" t="s">
        <v>179</v>
      </c>
      <c r="AZ3" s="241" t="s">
        <v>180</v>
      </c>
      <c r="BA3" s="241" t="s">
        <v>181</v>
      </c>
      <c r="BB3" s="241" t="s">
        <v>183</v>
      </c>
    </row>
    <row r="4" spans="1:56" x14ac:dyDescent="0.25">
      <c r="A4" s="300" t="s">
        <v>145</v>
      </c>
      <c r="B4" s="248" t="str">
        <f>VLOOKUP(A4,'DFP-Com'!$A$16:$B$50,2,1)</f>
        <v xml:space="preserve">     1.1.a  Education Project Implementation Contract</v>
      </c>
      <c r="C4" s="300" t="s">
        <v>257</v>
      </c>
      <c r="D4" s="329">
        <v>8500000</v>
      </c>
      <c r="E4" s="300" t="s">
        <v>184</v>
      </c>
      <c r="H4" s="319"/>
      <c r="I4" s="235">
        <v>0.03</v>
      </c>
      <c r="J4" s="235">
        <v>0.05</v>
      </c>
      <c r="K4" s="235">
        <v>0.05</v>
      </c>
      <c r="L4" s="235">
        <v>0.05</v>
      </c>
      <c r="M4" s="235">
        <v>0.1</v>
      </c>
      <c r="N4" s="235">
        <v>0.1</v>
      </c>
      <c r="O4" s="235">
        <v>0.1</v>
      </c>
      <c r="P4" s="235">
        <v>0.1</v>
      </c>
      <c r="Q4" s="235">
        <v>0.1</v>
      </c>
      <c r="R4" s="235">
        <v>0.1</v>
      </c>
      <c r="S4" s="235">
        <v>0.1</v>
      </c>
      <c r="T4" s="235">
        <v>0.12</v>
      </c>
      <c r="U4" s="303">
        <f t="shared" ref="U4:U38" si="0">SUM(F4:T4)</f>
        <v>0.99999999999999989</v>
      </c>
      <c r="X4" s="305">
        <f t="shared" ref="X4:AL20" si="1">F4*$D4</f>
        <v>0</v>
      </c>
      <c r="Y4" s="305">
        <f t="shared" si="1"/>
        <v>0</v>
      </c>
      <c r="Z4" s="305">
        <f t="shared" si="1"/>
        <v>0</v>
      </c>
      <c r="AA4" s="305">
        <f t="shared" si="1"/>
        <v>255000</v>
      </c>
      <c r="AB4" s="305">
        <f t="shared" si="1"/>
        <v>425000</v>
      </c>
      <c r="AC4" s="305">
        <f t="shared" si="1"/>
        <v>425000</v>
      </c>
      <c r="AD4" s="305">
        <f t="shared" si="1"/>
        <v>425000</v>
      </c>
      <c r="AE4" s="305">
        <f t="shared" si="1"/>
        <v>850000</v>
      </c>
      <c r="AF4" s="305">
        <f t="shared" si="1"/>
        <v>850000</v>
      </c>
      <c r="AG4" s="305">
        <f t="shared" si="1"/>
        <v>850000</v>
      </c>
      <c r="AH4" s="305">
        <f t="shared" si="1"/>
        <v>850000</v>
      </c>
      <c r="AI4" s="305">
        <f t="shared" si="1"/>
        <v>850000</v>
      </c>
      <c r="AJ4" s="305">
        <f t="shared" si="1"/>
        <v>850000</v>
      </c>
      <c r="AK4" s="305">
        <f t="shared" si="1"/>
        <v>850000</v>
      </c>
      <c r="AL4" s="305">
        <f t="shared" si="1"/>
        <v>1020000</v>
      </c>
      <c r="AM4" s="242"/>
      <c r="AN4" s="305">
        <f t="shared" ref="AN4:BB19" si="2">IF(AN$3=$E4,$D4,0)</f>
        <v>0</v>
      </c>
      <c r="AO4" s="305">
        <f t="shared" si="2"/>
        <v>0</v>
      </c>
      <c r="AP4" s="305">
        <f t="shared" si="2"/>
        <v>8500000</v>
      </c>
      <c r="AQ4" s="305">
        <f t="shared" si="2"/>
        <v>0</v>
      </c>
      <c r="AR4" s="305">
        <f t="shared" si="2"/>
        <v>0</v>
      </c>
      <c r="AS4" s="305">
        <f t="shared" si="2"/>
        <v>0</v>
      </c>
      <c r="AT4" s="305">
        <f t="shared" si="2"/>
        <v>0</v>
      </c>
      <c r="AU4" s="305">
        <f t="shared" si="2"/>
        <v>0</v>
      </c>
      <c r="AV4" s="305">
        <f t="shared" si="2"/>
        <v>0</v>
      </c>
      <c r="AW4" s="305">
        <f t="shared" si="2"/>
        <v>0</v>
      </c>
      <c r="AX4" s="305">
        <f t="shared" si="2"/>
        <v>0</v>
      </c>
      <c r="AY4" s="305">
        <f t="shared" si="2"/>
        <v>0</v>
      </c>
      <c r="AZ4" s="305">
        <f t="shared" si="2"/>
        <v>0</v>
      </c>
      <c r="BA4" s="305">
        <f t="shared" si="2"/>
        <v>0</v>
      </c>
      <c r="BB4" s="305">
        <f t="shared" si="2"/>
        <v>0</v>
      </c>
      <c r="BD4" s="304">
        <f t="shared" ref="BD4:BD27" si="3">SUM(X4:AL4)-SUM(AN4:BB4)</f>
        <v>0</v>
      </c>
    </row>
    <row r="5" spans="1:56" x14ac:dyDescent="0.25">
      <c r="A5" s="300" t="s">
        <v>145</v>
      </c>
      <c r="B5" s="248" t="str">
        <f>VLOOKUP(A5,'DFP-Com'!$A$16:$B$50,2,1)</f>
        <v xml:space="preserve">     1.1.a  Education Project Implementation Contract</v>
      </c>
      <c r="C5" s="300" t="s">
        <v>187</v>
      </c>
      <c r="D5" s="328">
        <v>200000</v>
      </c>
      <c r="E5" s="300" t="s">
        <v>198</v>
      </c>
      <c r="L5" s="303">
        <v>0.25</v>
      </c>
      <c r="M5" s="303">
        <v>0.25</v>
      </c>
      <c r="N5" s="303">
        <v>0.25</v>
      </c>
      <c r="O5" s="303">
        <v>0.25</v>
      </c>
      <c r="U5" s="303">
        <f t="shared" si="0"/>
        <v>1</v>
      </c>
      <c r="X5" s="305">
        <f t="shared" si="1"/>
        <v>0</v>
      </c>
      <c r="Y5" s="305">
        <f t="shared" si="1"/>
        <v>0</v>
      </c>
      <c r="Z5" s="305">
        <f t="shared" si="1"/>
        <v>0</v>
      </c>
      <c r="AA5" s="305">
        <f t="shared" si="1"/>
        <v>0</v>
      </c>
      <c r="AB5" s="305">
        <f t="shared" si="1"/>
        <v>0</v>
      </c>
      <c r="AC5" s="305">
        <f t="shared" si="1"/>
        <v>0</v>
      </c>
      <c r="AD5" s="305">
        <f t="shared" si="1"/>
        <v>50000</v>
      </c>
      <c r="AE5" s="305">
        <f t="shared" si="1"/>
        <v>50000</v>
      </c>
      <c r="AF5" s="305">
        <f t="shared" si="1"/>
        <v>50000</v>
      </c>
      <c r="AG5" s="305">
        <f t="shared" si="1"/>
        <v>50000</v>
      </c>
      <c r="AH5" s="305">
        <f t="shared" si="1"/>
        <v>0</v>
      </c>
      <c r="AI5" s="305">
        <f t="shared" si="1"/>
        <v>0</v>
      </c>
      <c r="AJ5" s="305">
        <f t="shared" si="1"/>
        <v>0</v>
      </c>
      <c r="AK5" s="305">
        <f t="shared" si="1"/>
        <v>0</v>
      </c>
      <c r="AL5" s="305">
        <f t="shared" si="1"/>
        <v>0</v>
      </c>
      <c r="AM5" s="242"/>
      <c r="AN5" s="305">
        <f t="shared" si="2"/>
        <v>0</v>
      </c>
      <c r="AO5" s="305">
        <f t="shared" si="2"/>
        <v>0</v>
      </c>
      <c r="AP5" s="305">
        <f t="shared" si="2"/>
        <v>0</v>
      </c>
      <c r="AQ5" s="305">
        <f t="shared" si="2"/>
        <v>0</v>
      </c>
      <c r="AR5" s="305">
        <f t="shared" si="2"/>
        <v>0</v>
      </c>
      <c r="AS5" s="305">
        <f t="shared" si="2"/>
        <v>0</v>
      </c>
      <c r="AT5" s="305">
        <f t="shared" si="2"/>
        <v>200000</v>
      </c>
      <c r="AU5" s="305">
        <f t="shared" si="2"/>
        <v>0</v>
      </c>
      <c r="AV5" s="305">
        <f t="shared" si="2"/>
        <v>0</v>
      </c>
      <c r="AW5" s="305">
        <f t="shared" si="2"/>
        <v>0</v>
      </c>
      <c r="AX5" s="305">
        <f t="shared" si="2"/>
        <v>0</v>
      </c>
      <c r="AY5" s="305">
        <f t="shared" si="2"/>
        <v>0</v>
      </c>
      <c r="AZ5" s="305">
        <f t="shared" si="2"/>
        <v>0</v>
      </c>
      <c r="BA5" s="305">
        <f t="shared" si="2"/>
        <v>0</v>
      </c>
      <c r="BB5" s="305">
        <f t="shared" si="2"/>
        <v>0</v>
      </c>
      <c r="BD5" s="304">
        <f t="shared" si="3"/>
        <v>0</v>
      </c>
    </row>
    <row r="6" spans="1:56" x14ac:dyDescent="0.25">
      <c r="A6" s="300" t="s">
        <v>146</v>
      </c>
      <c r="B6" s="248" t="str">
        <f>VLOOKUP(A6,'DFP-Com'!$A$16:$B$50,2,1)</f>
        <v xml:space="preserve">     1.1.b  Grants to Universities for Teacher Training (Diplomados)</v>
      </c>
      <c r="C6" s="300" t="s">
        <v>185</v>
      </c>
      <c r="D6" s="236">
        <v>3000000</v>
      </c>
      <c r="E6" s="300" t="s">
        <v>186</v>
      </c>
      <c r="H6" s="319"/>
      <c r="I6" s="235"/>
      <c r="J6" s="235"/>
      <c r="K6" s="235"/>
      <c r="L6" s="235">
        <v>0.125</v>
      </c>
      <c r="M6" s="235">
        <v>0.125</v>
      </c>
      <c r="N6" s="235">
        <v>0.125</v>
      </c>
      <c r="O6" s="235">
        <v>0.125</v>
      </c>
      <c r="P6" s="235">
        <v>0.125</v>
      </c>
      <c r="Q6" s="235">
        <v>0.125</v>
      </c>
      <c r="R6" s="235">
        <v>0.125</v>
      </c>
      <c r="S6" s="235">
        <v>0.125</v>
      </c>
      <c r="T6" s="303"/>
      <c r="U6" s="303">
        <f t="shared" si="0"/>
        <v>1</v>
      </c>
      <c r="X6" s="305">
        <f t="shared" si="1"/>
        <v>0</v>
      </c>
      <c r="Y6" s="305">
        <f t="shared" si="1"/>
        <v>0</v>
      </c>
      <c r="Z6" s="305">
        <f t="shared" si="1"/>
        <v>0</v>
      </c>
      <c r="AA6" s="305">
        <f t="shared" si="1"/>
        <v>0</v>
      </c>
      <c r="AB6" s="305">
        <f t="shared" si="1"/>
        <v>0</v>
      </c>
      <c r="AC6" s="305">
        <f t="shared" si="1"/>
        <v>0</v>
      </c>
      <c r="AD6" s="305">
        <f t="shared" si="1"/>
        <v>375000</v>
      </c>
      <c r="AE6" s="305">
        <f t="shared" si="1"/>
        <v>375000</v>
      </c>
      <c r="AF6" s="305">
        <f t="shared" si="1"/>
        <v>375000</v>
      </c>
      <c r="AG6" s="305">
        <f t="shared" si="1"/>
        <v>375000</v>
      </c>
      <c r="AH6" s="305">
        <f t="shared" si="1"/>
        <v>375000</v>
      </c>
      <c r="AI6" s="305">
        <f t="shared" si="1"/>
        <v>375000</v>
      </c>
      <c r="AJ6" s="305">
        <f t="shared" si="1"/>
        <v>375000</v>
      </c>
      <c r="AK6" s="305">
        <f t="shared" si="1"/>
        <v>375000</v>
      </c>
      <c r="AL6" s="305">
        <f t="shared" si="1"/>
        <v>0</v>
      </c>
      <c r="AM6" s="242"/>
      <c r="AN6" s="305">
        <f t="shared" si="2"/>
        <v>0</v>
      </c>
      <c r="AO6" s="305">
        <f t="shared" si="2"/>
        <v>0</v>
      </c>
      <c r="AP6" s="305">
        <f t="shared" si="2"/>
        <v>0</v>
      </c>
      <c r="AQ6" s="305">
        <f t="shared" si="2"/>
        <v>0</v>
      </c>
      <c r="AR6" s="305">
        <f t="shared" si="2"/>
        <v>0</v>
      </c>
      <c r="AS6" s="305">
        <f t="shared" si="2"/>
        <v>3000000</v>
      </c>
      <c r="AT6" s="305">
        <f t="shared" si="2"/>
        <v>0</v>
      </c>
      <c r="AU6" s="305">
        <f t="shared" si="2"/>
        <v>0</v>
      </c>
      <c r="AV6" s="305">
        <f t="shared" si="2"/>
        <v>0</v>
      </c>
      <c r="AW6" s="305">
        <f t="shared" si="2"/>
        <v>0</v>
      </c>
      <c r="AX6" s="305">
        <f t="shared" si="2"/>
        <v>0</v>
      </c>
      <c r="AY6" s="305">
        <f t="shared" si="2"/>
        <v>0</v>
      </c>
      <c r="AZ6" s="305">
        <f t="shared" si="2"/>
        <v>0</v>
      </c>
      <c r="BA6" s="305">
        <f t="shared" si="2"/>
        <v>0</v>
      </c>
      <c r="BB6" s="305">
        <f t="shared" si="2"/>
        <v>0</v>
      </c>
      <c r="BD6" s="304">
        <f t="shared" si="3"/>
        <v>0</v>
      </c>
    </row>
    <row r="7" spans="1:56" x14ac:dyDescent="0.25">
      <c r="A7" s="300" t="s">
        <v>148</v>
      </c>
      <c r="B7" s="248" t="str">
        <f>VLOOKUP(A7,'DFP-Com'!$A$16:$B$50,2,1)</f>
        <v xml:space="preserve">     1.2.a  TVET</v>
      </c>
      <c r="C7" s="250" t="s">
        <v>228</v>
      </c>
      <c r="D7" s="306">
        <v>4000000</v>
      </c>
      <c r="E7" s="300" t="s">
        <v>213</v>
      </c>
      <c r="J7" s="303">
        <v>0.05</v>
      </c>
      <c r="K7" s="303">
        <v>0.1</v>
      </c>
      <c r="L7" s="303">
        <v>0.1</v>
      </c>
      <c r="M7" s="303">
        <v>0.1</v>
      </c>
      <c r="N7" s="303">
        <v>0.1</v>
      </c>
      <c r="O7" s="303">
        <v>0.1</v>
      </c>
      <c r="P7" s="303">
        <v>0.1</v>
      </c>
      <c r="Q7" s="303">
        <v>0.1</v>
      </c>
      <c r="R7" s="303">
        <v>0.1</v>
      </c>
      <c r="S7" s="303">
        <v>0.1</v>
      </c>
      <c r="T7" s="303">
        <v>0.05</v>
      </c>
      <c r="U7" s="303">
        <f t="shared" si="0"/>
        <v>0.99999999999999989</v>
      </c>
      <c r="X7" s="305">
        <f t="shared" si="1"/>
        <v>0</v>
      </c>
      <c r="Y7" s="305">
        <f t="shared" si="1"/>
        <v>0</v>
      </c>
      <c r="Z7" s="305">
        <f t="shared" si="1"/>
        <v>0</v>
      </c>
      <c r="AA7" s="305">
        <f t="shared" si="1"/>
        <v>0</v>
      </c>
      <c r="AB7" s="305">
        <f t="shared" si="1"/>
        <v>200000</v>
      </c>
      <c r="AC7" s="305">
        <f t="shared" si="1"/>
        <v>400000</v>
      </c>
      <c r="AD7" s="305">
        <f t="shared" si="1"/>
        <v>400000</v>
      </c>
      <c r="AE7" s="305">
        <f t="shared" si="1"/>
        <v>400000</v>
      </c>
      <c r="AF7" s="305">
        <f t="shared" si="1"/>
        <v>400000</v>
      </c>
      <c r="AG7" s="305">
        <f t="shared" si="1"/>
        <v>400000</v>
      </c>
      <c r="AH7" s="305">
        <f t="shared" si="1"/>
        <v>400000</v>
      </c>
      <c r="AI7" s="305">
        <f t="shared" si="1"/>
        <v>400000</v>
      </c>
      <c r="AJ7" s="305">
        <f t="shared" si="1"/>
        <v>400000</v>
      </c>
      <c r="AK7" s="305">
        <f t="shared" si="1"/>
        <v>400000</v>
      </c>
      <c r="AL7" s="305">
        <f t="shared" si="1"/>
        <v>200000</v>
      </c>
      <c r="AM7" s="242"/>
      <c r="AN7" s="305">
        <f t="shared" si="2"/>
        <v>0</v>
      </c>
      <c r="AO7" s="305">
        <f t="shared" si="2"/>
        <v>0</v>
      </c>
      <c r="AP7" s="305">
        <f t="shared" si="2"/>
        <v>0</v>
      </c>
      <c r="AQ7" s="305">
        <f t="shared" si="2"/>
        <v>0</v>
      </c>
      <c r="AR7" s="305">
        <f t="shared" si="2"/>
        <v>4000000</v>
      </c>
      <c r="AS7" s="305">
        <f t="shared" si="2"/>
        <v>0</v>
      </c>
      <c r="AT7" s="305">
        <f t="shared" si="2"/>
        <v>0</v>
      </c>
      <c r="AU7" s="305">
        <f t="shared" si="2"/>
        <v>0</v>
      </c>
      <c r="AV7" s="305">
        <f t="shared" si="2"/>
        <v>0</v>
      </c>
      <c r="AW7" s="305">
        <f t="shared" si="2"/>
        <v>0</v>
      </c>
      <c r="AX7" s="305">
        <f t="shared" si="2"/>
        <v>0</v>
      </c>
      <c r="AY7" s="305">
        <f t="shared" si="2"/>
        <v>0</v>
      </c>
      <c r="AZ7" s="305">
        <f t="shared" si="2"/>
        <v>0</v>
      </c>
      <c r="BA7" s="305">
        <f t="shared" si="2"/>
        <v>0</v>
      </c>
      <c r="BB7" s="305">
        <f t="shared" si="2"/>
        <v>0</v>
      </c>
      <c r="BD7" s="304">
        <f t="shared" si="3"/>
        <v>0</v>
      </c>
    </row>
    <row r="8" spans="1:56" x14ac:dyDescent="0.25">
      <c r="A8" s="300" t="s">
        <v>149</v>
      </c>
      <c r="B8" s="248" t="str">
        <f>VLOOKUP(A8,'DFP-Com'!$A$16:$B$50,2,1)</f>
        <v xml:space="preserve">     1.3.a  Education Project Implementation Contract</v>
      </c>
      <c r="C8" s="300" t="s">
        <v>256</v>
      </c>
      <c r="D8" s="329">
        <v>2500000</v>
      </c>
      <c r="E8" s="300" t="s">
        <v>184</v>
      </c>
      <c r="H8" s="319"/>
      <c r="I8" s="235">
        <v>0.03</v>
      </c>
      <c r="J8" s="235">
        <v>0.05</v>
      </c>
      <c r="K8" s="235">
        <v>0.05</v>
      </c>
      <c r="L8" s="235">
        <v>0.05</v>
      </c>
      <c r="M8" s="235">
        <v>0.1</v>
      </c>
      <c r="N8" s="235">
        <v>0.1</v>
      </c>
      <c r="O8" s="235">
        <v>0.1</v>
      </c>
      <c r="P8" s="235">
        <v>0.1</v>
      </c>
      <c r="Q8" s="235">
        <v>0.1</v>
      </c>
      <c r="R8" s="235">
        <v>0.1</v>
      </c>
      <c r="S8" s="235">
        <v>0.1</v>
      </c>
      <c r="T8" s="235">
        <v>0.12</v>
      </c>
      <c r="U8" s="303">
        <f t="shared" si="0"/>
        <v>0.99999999999999989</v>
      </c>
      <c r="X8" s="305">
        <f t="shared" si="1"/>
        <v>0</v>
      </c>
      <c r="Y8" s="305">
        <f t="shared" si="1"/>
        <v>0</v>
      </c>
      <c r="Z8" s="305">
        <f t="shared" si="1"/>
        <v>0</v>
      </c>
      <c r="AA8" s="305">
        <f t="shared" si="1"/>
        <v>75000</v>
      </c>
      <c r="AB8" s="305">
        <f t="shared" si="1"/>
        <v>125000</v>
      </c>
      <c r="AC8" s="305">
        <f t="shared" si="1"/>
        <v>125000</v>
      </c>
      <c r="AD8" s="305">
        <f t="shared" si="1"/>
        <v>125000</v>
      </c>
      <c r="AE8" s="305">
        <f t="shared" si="1"/>
        <v>250000</v>
      </c>
      <c r="AF8" s="305">
        <f t="shared" si="1"/>
        <v>250000</v>
      </c>
      <c r="AG8" s="305">
        <f t="shared" si="1"/>
        <v>250000</v>
      </c>
      <c r="AH8" s="305">
        <f t="shared" si="1"/>
        <v>250000</v>
      </c>
      <c r="AI8" s="305">
        <f t="shared" si="1"/>
        <v>250000</v>
      </c>
      <c r="AJ8" s="305">
        <f t="shared" si="1"/>
        <v>250000</v>
      </c>
      <c r="AK8" s="305">
        <f t="shared" si="1"/>
        <v>250000</v>
      </c>
      <c r="AL8" s="305">
        <f t="shared" si="1"/>
        <v>300000</v>
      </c>
      <c r="AM8" s="242"/>
      <c r="AN8" s="305">
        <f t="shared" si="2"/>
        <v>0</v>
      </c>
      <c r="AO8" s="305">
        <f t="shared" si="2"/>
        <v>0</v>
      </c>
      <c r="AP8" s="305">
        <f t="shared" si="2"/>
        <v>2500000</v>
      </c>
      <c r="AQ8" s="305">
        <f t="shared" si="2"/>
        <v>0</v>
      </c>
      <c r="AR8" s="305">
        <f t="shared" si="2"/>
        <v>0</v>
      </c>
      <c r="AS8" s="305">
        <f t="shared" si="2"/>
        <v>0</v>
      </c>
      <c r="AT8" s="305">
        <f t="shared" si="2"/>
        <v>0</v>
      </c>
      <c r="AU8" s="305">
        <f t="shared" si="2"/>
        <v>0</v>
      </c>
      <c r="AV8" s="305">
        <f t="shared" si="2"/>
        <v>0</v>
      </c>
      <c r="AW8" s="305">
        <f t="shared" si="2"/>
        <v>0</v>
      </c>
      <c r="AX8" s="305">
        <f t="shared" si="2"/>
        <v>0</v>
      </c>
      <c r="AY8" s="305">
        <f t="shared" si="2"/>
        <v>0</v>
      </c>
      <c r="AZ8" s="305">
        <f t="shared" si="2"/>
        <v>0</v>
      </c>
      <c r="BA8" s="305">
        <f t="shared" si="2"/>
        <v>0</v>
      </c>
      <c r="BB8" s="305">
        <f t="shared" si="2"/>
        <v>0</v>
      </c>
      <c r="BD8" s="304">
        <f t="shared" si="3"/>
        <v>0</v>
      </c>
    </row>
    <row r="9" spans="1:56" x14ac:dyDescent="0.25">
      <c r="A9" s="300" t="s">
        <v>152</v>
      </c>
      <c r="B9" s="312" t="str">
        <f>VLOOKUP(A9,'DFP-Com'!$A$16:$B$50,2,1)</f>
        <v xml:space="preserve">     2.1.a  Tax and Customs</v>
      </c>
      <c r="C9" s="300" t="s">
        <v>235</v>
      </c>
      <c r="D9" s="236">
        <v>140000</v>
      </c>
      <c r="E9" s="300" t="s">
        <v>216</v>
      </c>
      <c r="G9" s="303"/>
      <c r="H9" s="320"/>
      <c r="I9" s="303">
        <v>0.25</v>
      </c>
      <c r="J9" s="303">
        <v>0.25</v>
      </c>
      <c r="K9" s="303">
        <v>0.25</v>
      </c>
      <c r="L9" s="303">
        <v>0.25</v>
      </c>
      <c r="M9" s="303"/>
      <c r="N9" s="303"/>
      <c r="O9" s="303"/>
      <c r="P9" s="303"/>
      <c r="Q9" s="303"/>
      <c r="U9" s="303">
        <f t="shared" si="0"/>
        <v>1</v>
      </c>
      <c r="X9" s="305">
        <f t="shared" si="1"/>
        <v>0</v>
      </c>
      <c r="Y9" s="305">
        <f t="shared" si="1"/>
        <v>0</v>
      </c>
      <c r="Z9" s="305">
        <f t="shared" si="1"/>
        <v>0</v>
      </c>
      <c r="AA9" s="305">
        <f t="shared" si="1"/>
        <v>35000</v>
      </c>
      <c r="AB9" s="305">
        <f t="shared" si="1"/>
        <v>35000</v>
      </c>
      <c r="AC9" s="305">
        <f t="shared" si="1"/>
        <v>35000</v>
      </c>
      <c r="AD9" s="305">
        <f t="shared" si="1"/>
        <v>35000</v>
      </c>
      <c r="AE9" s="305">
        <f t="shared" si="1"/>
        <v>0</v>
      </c>
      <c r="AF9" s="305">
        <f t="shared" si="1"/>
        <v>0</v>
      </c>
      <c r="AG9" s="305">
        <f t="shared" si="1"/>
        <v>0</v>
      </c>
      <c r="AH9" s="305">
        <f t="shared" si="1"/>
        <v>0</v>
      </c>
      <c r="AI9" s="305">
        <f t="shared" si="1"/>
        <v>0</v>
      </c>
      <c r="AJ9" s="305">
        <f t="shared" si="1"/>
        <v>0</v>
      </c>
      <c r="AK9" s="305">
        <f t="shared" si="1"/>
        <v>0</v>
      </c>
      <c r="AL9" s="305">
        <f t="shared" si="1"/>
        <v>0</v>
      </c>
      <c r="AM9" s="242"/>
      <c r="AN9" s="305">
        <f t="shared" si="2"/>
        <v>0</v>
      </c>
      <c r="AO9" s="305">
        <f t="shared" si="2"/>
        <v>0</v>
      </c>
      <c r="AP9" s="305">
        <f t="shared" si="2"/>
        <v>0</v>
      </c>
      <c r="AQ9" s="305">
        <f t="shared" si="2"/>
        <v>140000</v>
      </c>
      <c r="AR9" s="305">
        <f t="shared" si="2"/>
        <v>0</v>
      </c>
      <c r="AS9" s="305">
        <f t="shared" si="2"/>
        <v>0</v>
      </c>
      <c r="AT9" s="305">
        <f t="shared" si="2"/>
        <v>0</v>
      </c>
      <c r="AU9" s="305">
        <f t="shared" si="2"/>
        <v>0</v>
      </c>
      <c r="AV9" s="305">
        <f t="shared" si="2"/>
        <v>0</v>
      </c>
      <c r="AW9" s="305">
        <f t="shared" si="2"/>
        <v>0</v>
      </c>
      <c r="AX9" s="305">
        <f t="shared" si="2"/>
        <v>0</v>
      </c>
      <c r="AY9" s="305">
        <f t="shared" si="2"/>
        <v>0</v>
      </c>
      <c r="AZ9" s="305">
        <f t="shared" si="2"/>
        <v>0</v>
      </c>
      <c r="BA9" s="305">
        <f t="shared" si="2"/>
        <v>0</v>
      </c>
      <c r="BB9" s="305">
        <f t="shared" si="2"/>
        <v>0</v>
      </c>
      <c r="BD9" s="304">
        <f t="shared" si="3"/>
        <v>0</v>
      </c>
    </row>
    <row r="10" spans="1:56" x14ac:dyDescent="0.25">
      <c r="A10" s="300" t="s">
        <v>152</v>
      </c>
      <c r="B10" s="312" t="str">
        <f>VLOOKUP(A10,'DFP-Com'!$A$16:$B$50,2,1)</f>
        <v xml:space="preserve">     2.1.a  Tax and Customs</v>
      </c>
      <c r="C10" s="300" t="s">
        <v>251</v>
      </c>
      <c r="D10" s="236">
        <v>140000</v>
      </c>
      <c r="E10" s="300" t="s">
        <v>198</v>
      </c>
      <c r="G10" s="303"/>
      <c r="H10" s="320"/>
      <c r="I10" s="303"/>
      <c r="J10" s="303"/>
      <c r="K10" s="303"/>
      <c r="L10" s="303">
        <v>0.25</v>
      </c>
      <c r="M10" s="303">
        <v>0.25</v>
      </c>
      <c r="N10" s="303">
        <v>0.25</v>
      </c>
      <c r="O10" s="303">
        <v>0.25</v>
      </c>
      <c r="P10" s="303"/>
      <c r="Q10" s="303"/>
      <c r="U10" s="303">
        <f t="shared" si="0"/>
        <v>1</v>
      </c>
      <c r="X10" s="305">
        <f t="shared" si="1"/>
        <v>0</v>
      </c>
      <c r="Y10" s="305">
        <f t="shared" si="1"/>
        <v>0</v>
      </c>
      <c r="Z10" s="305">
        <f t="shared" si="1"/>
        <v>0</v>
      </c>
      <c r="AA10" s="305">
        <f t="shared" si="1"/>
        <v>0</v>
      </c>
      <c r="AB10" s="305">
        <f t="shared" si="1"/>
        <v>0</v>
      </c>
      <c r="AC10" s="305">
        <f t="shared" si="1"/>
        <v>0</v>
      </c>
      <c r="AD10" s="305">
        <f t="shared" si="1"/>
        <v>35000</v>
      </c>
      <c r="AE10" s="305">
        <f t="shared" si="1"/>
        <v>35000</v>
      </c>
      <c r="AF10" s="305">
        <f t="shared" si="1"/>
        <v>35000</v>
      </c>
      <c r="AG10" s="305">
        <f t="shared" si="1"/>
        <v>35000</v>
      </c>
      <c r="AH10" s="305">
        <f t="shared" si="1"/>
        <v>0</v>
      </c>
      <c r="AI10" s="305">
        <f t="shared" si="1"/>
        <v>0</v>
      </c>
      <c r="AJ10" s="305">
        <f t="shared" si="1"/>
        <v>0</v>
      </c>
      <c r="AK10" s="305">
        <f t="shared" si="1"/>
        <v>0</v>
      </c>
      <c r="AL10" s="305">
        <f t="shared" si="1"/>
        <v>0</v>
      </c>
      <c r="AM10" s="242"/>
      <c r="AN10" s="305">
        <f t="shared" si="2"/>
        <v>0</v>
      </c>
      <c r="AO10" s="305">
        <f t="shared" si="2"/>
        <v>0</v>
      </c>
      <c r="AP10" s="305">
        <f t="shared" si="2"/>
        <v>0</v>
      </c>
      <c r="AQ10" s="305">
        <f t="shared" si="2"/>
        <v>0</v>
      </c>
      <c r="AR10" s="305">
        <f t="shared" si="2"/>
        <v>0</v>
      </c>
      <c r="AS10" s="305">
        <f t="shared" si="2"/>
        <v>0</v>
      </c>
      <c r="AT10" s="305">
        <f t="shared" si="2"/>
        <v>140000</v>
      </c>
      <c r="AU10" s="305">
        <f t="shared" si="2"/>
        <v>0</v>
      </c>
      <c r="AV10" s="305">
        <f t="shared" si="2"/>
        <v>0</v>
      </c>
      <c r="AW10" s="305">
        <f t="shared" si="2"/>
        <v>0</v>
      </c>
      <c r="AX10" s="305">
        <f t="shared" si="2"/>
        <v>0</v>
      </c>
      <c r="AY10" s="305">
        <f t="shared" si="2"/>
        <v>0</v>
      </c>
      <c r="AZ10" s="305">
        <f t="shared" si="2"/>
        <v>0</v>
      </c>
      <c r="BA10" s="305">
        <f t="shared" si="2"/>
        <v>0</v>
      </c>
      <c r="BB10" s="305">
        <f t="shared" si="2"/>
        <v>0</v>
      </c>
      <c r="BD10" s="304">
        <f t="shared" si="3"/>
        <v>0</v>
      </c>
    </row>
    <row r="11" spans="1:56" x14ac:dyDescent="0.25">
      <c r="A11" s="300" t="s">
        <v>152</v>
      </c>
      <c r="B11" s="312" t="str">
        <f>VLOOKUP(A11,'DFP-Com'!$A$16:$B$50,2,1)</f>
        <v xml:space="preserve">     2.1.a  Tax and Customs</v>
      </c>
      <c r="C11" s="300" t="s">
        <v>233</v>
      </c>
      <c r="D11" s="236">
        <v>4000</v>
      </c>
      <c r="E11" s="300" t="s">
        <v>184</v>
      </c>
      <c r="G11" s="303"/>
      <c r="H11" s="320">
        <v>1</v>
      </c>
      <c r="I11" s="303"/>
      <c r="J11" s="303"/>
      <c r="K11" s="303"/>
      <c r="L11" s="303"/>
      <c r="M11" s="303"/>
      <c r="N11" s="303"/>
      <c r="U11" s="303">
        <f t="shared" si="0"/>
        <v>1</v>
      </c>
      <c r="X11" s="305">
        <f t="shared" si="1"/>
        <v>0</v>
      </c>
      <c r="Y11" s="305">
        <f t="shared" si="1"/>
        <v>0</v>
      </c>
      <c r="Z11" s="305">
        <f t="shared" si="1"/>
        <v>4000</v>
      </c>
      <c r="AA11" s="305">
        <f t="shared" si="1"/>
        <v>0</v>
      </c>
      <c r="AB11" s="305">
        <f t="shared" si="1"/>
        <v>0</v>
      </c>
      <c r="AC11" s="305">
        <f t="shared" si="1"/>
        <v>0</v>
      </c>
      <c r="AD11" s="305">
        <f t="shared" si="1"/>
        <v>0</v>
      </c>
      <c r="AE11" s="305">
        <f t="shared" si="1"/>
        <v>0</v>
      </c>
      <c r="AF11" s="305">
        <f t="shared" si="1"/>
        <v>0</v>
      </c>
      <c r="AG11" s="305">
        <f t="shared" si="1"/>
        <v>0</v>
      </c>
      <c r="AH11" s="305">
        <f t="shared" si="1"/>
        <v>0</v>
      </c>
      <c r="AI11" s="305">
        <f t="shared" si="1"/>
        <v>0</v>
      </c>
      <c r="AJ11" s="305">
        <f t="shared" si="1"/>
        <v>0</v>
      </c>
      <c r="AK11" s="305">
        <f t="shared" si="1"/>
        <v>0</v>
      </c>
      <c r="AL11" s="305">
        <f t="shared" si="1"/>
        <v>0</v>
      </c>
      <c r="AM11" s="242"/>
      <c r="AN11" s="305">
        <f t="shared" si="2"/>
        <v>0</v>
      </c>
      <c r="AO11" s="305">
        <f t="shared" si="2"/>
        <v>0</v>
      </c>
      <c r="AP11" s="305">
        <f t="shared" si="2"/>
        <v>4000</v>
      </c>
      <c r="AQ11" s="305">
        <f t="shared" si="2"/>
        <v>0</v>
      </c>
      <c r="AR11" s="305">
        <f t="shared" si="2"/>
        <v>0</v>
      </c>
      <c r="AS11" s="305">
        <f t="shared" si="2"/>
        <v>0</v>
      </c>
      <c r="AT11" s="305">
        <f t="shared" si="2"/>
        <v>0</v>
      </c>
      <c r="AU11" s="305">
        <f t="shared" si="2"/>
        <v>0</v>
      </c>
      <c r="AV11" s="305">
        <f t="shared" si="2"/>
        <v>0</v>
      </c>
      <c r="AW11" s="305">
        <f t="shared" si="2"/>
        <v>0</v>
      </c>
      <c r="AX11" s="305">
        <f t="shared" si="2"/>
        <v>0</v>
      </c>
      <c r="AY11" s="305">
        <f t="shared" si="2"/>
        <v>0</v>
      </c>
      <c r="AZ11" s="305">
        <f t="shared" si="2"/>
        <v>0</v>
      </c>
      <c r="BA11" s="305">
        <f t="shared" si="2"/>
        <v>0</v>
      </c>
      <c r="BB11" s="305">
        <f t="shared" si="2"/>
        <v>0</v>
      </c>
      <c r="BD11" s="304">
        <f t="shared" si="3"/>
        <v>0</v>
      </c>
    </row>
    <row r="12" spans="1:56" x14ac:dyDescent="0.25">
      <c r="A12" s="300" t="s">
        <v>152</v>
      </c>
      <c r="B12" s="312" t="str">
        <f>VLOOKUP(A12,'DFP-Com'!$A$16:$B$50,2,1)</f>
        <v xml:space="preserve">     2.1.a  Tax and Customs</v>
      </c>
      <c r="C12" s="300" t="s">
        <v>234</v>
      </c>
      <c r="D12" s="236">
        <v>100000</v>
      </c>
      <c r="E12" s="300" t="s">
        <v>184</v>
      </c>
      <c r="G12" s="303"/>
      <c r="H12" s="320">
        <v>0.25</v>
      </c>
      <c r="I12" s="303">
        <v>0.25</v>
      </c>
      <c r="J12" s="303">
        <v>0.25</v>
      </c>
      <c r="K12" s="303">
        <v>0.25</v>
      </c>
      <c r="L12" s="303"/>
      <c r="M12" s="303"/>
      <c r="N12" s="303"/>
      <c r="U12" s="303">
        <f t="shared" si="0"/>
        <v>1</v>
      </c>
      <c r="X12" s="305">
        <f t="shared" si="1"/>
        <v>0</v>
      </c>
      <c r="Y12" s="305">
        <f t="shared" si="1"/>
        <v>0</v>
      </c>
      <c r="Z12" s="305">
        <f t="shared" si="1"/>
        <v>25000</v>
      </c>
      <c r="AA12" s="305">
        <f t="shared" si="1"/>
        <v>25000</v>
      </c>
      <c r="AB12" s="305">
        <f t="shared" si="1"/>
        <v>25000</v>
      </c>
      <c r="AC12" s="305">
        <f t="shared" si="1"/>
        <v>25000</v>
      </c>
      <c r="AD12" s="305">
        <f t="shared" si="1"/>
        <v>0</v>
      </c>
      <c r="AE12" s="305">
        <f t="shared" si="1"/>
        <v>0</v>
      </c>
      <c r="AF12" s="305">
        <f t="shared" si="1"/>
        <v>0</v>
      </c>
      <c r="AG12" s="305">
        <f t="shared" si="1"/>
        <v>0</v>
      </c>
      <c r="AH12" s="305">
        <f t="shared" si="1"/>
        <v>0</v>
      </c>
      <c r="AI12" s="305">
        <f t="shared" si="1"/>
        <v>0</v>
      </c>
      <c r="AJ12" s="305">
        <f t="shared" si="1"/>
        <v>0</v>
      </c>
      <c r="AK12" s="305">
        <f t="shared" si="1"/>
        <v>0</v>
      </c>
      <c r="AL12" s="305">
        <f t="shared" si="1"/>
        <v>0</v>
      </c>
      <c r="AM12" s="242"/>
      <c r="AN12" s="305">
        <f t="shared" si="2"/>
        <v>0</v>
      </c>
      <c r="AO12" s="305">
        <f t="shared" si="2"/>
        <v>0</v>
      </c>
      <c r="AP12" s="305">
        <f t="shared" si="2"/>
        <v>100000</v>
      </c>
      <c r="AQ12" s="305">
        <f t="shared" si="2"/>
        <v>0</v>
      </c>
      <c r="AR12" s="305">
        <f t="shared" si="2"/>
        <v>0</v>
      </c>
      <c r="AS12" s="305">
        <f t="shared" si="2"/>
        <v>0</v>
      </c>
      <c r="AT12" s="305">
        <f t="shared" si="2"/>
        <v>0</v>
      </c>
      <c r="AU12" s="305">
        <f t="shared" si="2"/>
        <v>0</v>
      </c>
      <c r="AV12" s="305">
        <f t="shared" si="2"/>
        <v>0</v>
      </c>
      <c r="AW12" s="305">
        <f t="shared" si="2"/>
        <v>0</v>
      </c>
      <c r="AX12" s="305">
        <f t="shared" si="2"/>
        <v>0</v>
      </c>
      <c r="AY12" s="305">
        <f t="shared" si="2"/>
        <v>0</v>
      </c>
      <c r="AZ12" s="305">
        <f t="shared" si="2"/>
        <v>0</v>
      </c>
      <c r="BA12" s="305">
        <f t="shared" si="2"/>
        <v>0</v>
      </c>
      <c r="BB12" s="305">
        <f t="shared" si="2"/>
        <v>0</v>
      </c>
      <c r="BD12" s="304">
        <f t="shared" si="3"/>
        <v>0</v>
      </c>
    </row>
    <row r="13" spans="1:56" x14ac:dyDescent="0.25">
      <c r="A13" s="300" t="s">
        <v>152</v>
      </c>
      <c r="B13" s="312" t="str">
        <f>VLOOKUP(A13,'DFP-Com'!$A$16:$B$50,2,1)</f>
        <v xml:space="preserve">     2.1.a  Tax and Customs</v>
      </c>
      <c r="D13" s="236"/>
      <c r="G13" s="303"/>
      <c r="H13" s="320"/>
      <c r="I13" s="303"/>
      <c r="J13" s="303"/>
      <c r="K13" s="303"/>
      <c r="L13" s="303"/>
      <c r="M13" s="303"/>
      <c r="N13" s="303"/>
      <c r="O13" s="303"/>
      <c r="P13" s="303"/>
      <c r="Q13" s="303"/>
      <c r="U13" s="303">
        <f t="shared" si="0"/>
        <v>0</v>
      </c>
      <c r="X13" s="305">
        <f t="shared" si="1"/>
        <v>0</v>
      </c>
      <c r="Y13" s="305">
        <f t="shared" si="1"/>
        <v>0</v>
      </c>
      <c r="Z13" s="305">
        <f t="shared" si="1"/>
        <v>0</v>
      </c>
      <c r="AA13" s="305">
        <f t="shared" si="1"/>
        <v>0</v>
      </c>
      <c r="AB13" s="305">
        <f t="shared" si="1"/>
        <v>0</v>
      </c>
      <c r="AC13" s="305">
        <f t="shared" si="1"/>
        <v>0</v>
      </c>
      <c r="AD13" s="305">
        <f t="shared" si="1"/>
        <v>0</v>
      </c>
      <c r="AE13" s="305">
        <f t="shared" si="1"/>
        <v>0</v>
      </c>
      <c r="AF13" s="305">
        <f t="shared" si="1"/>
        <v>0</v>
      </c>
      <c r="AG13" s="305">
        <f t="shared" si="1"/>
        <v>0</v>
      </c>
      <c r="AH13" s="305">
        <f t="shared" si="1"/>
        <v>0</v>
      </c>
      <c r="AI13" s="305">
        <f t="shared" si="1"/>
        <v>0</v>
      </c>
      <c r="AJ13" s="305">
        <f t="shared" si="1"/>
        <v>0</v>
      </c>
      <c r="AK13" s="305">
        <f t="shared" si="1"/>
        <v>0</v>
      </c>
      <c r="AL13" s="305">
        <f t="shared" si="1"/>
        <v>0</v>
      </c>
      <c r="AM13" s="242"/>
      <c r="AN13" s="305">
        <f t="shared" si="2"/>
        <v>0</v>
      </c>
      <c r="AO13" s="305">
        <f t="shared" si="2"/>
        <v>0</v>
      </c>
      <c r="AP13" s="305">
        <f t="shared" si="2"/>
        <v>0</v>
      </c>
      <c r="AQ13" s="305">
        <f t="shared" si="2"/>
        <v>0</v>
      </c>
      <c r="AR13" s="305">
        <f t="shared" si="2"/>
        <v>0</v>
      </c>
      <c r="AS13" s="305">
        <f t="shared" si="2"/>
        <v>0</v>
      </c>
      <c r="AT13" s="305">
        <f t="shared" si="2"/>
        <v>0</v>
      </c>
      <c r="AU13" s="305">
        <f t="shared" si="2"/>
        <v>0</v>
      </c>
      <c r="AV13" s="305">
        <f t="shared" si="2"/>
        <v>0</v>
      </c>
      <c r="AW13" s="305">
        <f t="shared" si="2"/>
        <v>0</v>
      </c>
      <c r="AX13" s="305">
        <f t="shared" si="2"/>
        <v>0</v>
      </c>
      <c r="AY13" s="305">
        <f t="shared" si="2"/>
        <v>0</v>
      </c>
      <c r="AZ13" s="305">
        <f t="shared" si="2"/>
        <v>0</v>
      </c>
      <c r="BA13" s="305">
        <f t="shared" si="2"/>
        <v>0</v>
      </c>
      <c r="BB13" s="305">
        <f t="shared" si="2"/>
        <v>0</v>
      </c>
      <c r="BD13" s="304">
        <f t="shared" si="3"/>
        <v>0</v>
      </c>
    </row>
    <row r="14" spans="1:56" x14ac:dyDescent="0.25">
      <c r="A14" s="300" t="s">
        <v>153</v>
      </c>
      <c r="B14" s="313" t="str">
        <f>VLOOKUP(A14,'DFP-Com'!$A$16:$B$50,2,1)</f>
        <v xml:space="preserve">     2.2.a  Advisors</v>
      </c>
      <c r="C14" s="300" t="s">
        <v>197</v>
      </c>
      <c r="D14" s="236">
        <v>150000</v>
      </c>
      <c r="E14" s="300" t="s">
        <v>184</v>
      </c>
      <c r="G14" s="303"/>
      <c r="H14" s="320">
        <v>0.25</v>
      </c>
      <c r="I14" s="303">
        <v>0.25</v>
      </c>
      <c r="J14" s="303">
        <v>0.25</v>
      </c>
      <c r="K14" s="303">
        <v>0.25</v>
      </c>
      <c r="U14" s="303">
        <f t="shared" si="0"/>
        <v>1</v>
      </c>
      <c r="X14" s="305">
        <f t="shared" si="1"/>
        <v>0</v>
      </c>
      <c r="Y14" s="305">
        <f t="shared" si="1"/>
        <v>0</v>
      </c>
      <c r="Z14" s="305">
        <f t="shared" si="1"/>
        <v>37500</v>
      </c>
      <c r="AA14" s="305">
        <f t="shared" si="1"/>
        <v>37500</v>
      </c>
      <c r="AB14" s="305">
        <f t="shared" si="1"/>
        <v>37500</v>
      </c>
      <c r="AC14" s="305">
        <f t="shared" si="1"/>
        <v>37500</v>
      </c>
      <c r="AD14" s="305">
        <f t="shared" si="1"/>
        <v>0</v>
      </c>
      <c r="AE14" s="305">
        <f t="shared" si="1"/>
        <v>0</v>
      </c>
      <c r="AF14" s="305">
        <f t="shared" si="1"/>
        <v>0</v>
      </c>
      <c r="AG14" s="305">
        <f t="shared" si="1"/>
        <v>0</v>
      </c>
      <c r="AH14" s="305">
        <f t="shared" si="1"/>
        <v>0</v>
      </c>
      <c r="AI14" s="305">
        <f t="shared" si="1"/>
        <v>0</v>
      </c>
      <c r="AJ14" s="305">
        <f t="shared" si="1"/>
        <v>0</v>
      </c>
      <c r="AK14" s="305">
        <f t="shared" si="1"/>
        <v>0</v>
      </c>
      <c r="AL14" s="305">
        <f t="shared" si="1"/>
        <v>0</v>
      </c>
      <c r="AM14" s="242"/>
      <c r="AN14" s="305">
        <f t="shared" si="2"/>
        <v>0</v>
      </c>
      <c r="AO14" s="305">
        <f t="shared" si="2"/>
        <v>0</v>
      </c>
      <c r="AP14" s="305">
        <f t="shared" si="2"/>
        <v>150000</v>
      </c>
      <c r="AQ14" s="305">
        <f t="shared" si="2"/>
        <v>0</v>
      </c>
      <c r="AR14" s="305">
        <f t="shared" si="2"/>
        <v>0</v>
      </c>
      <c r="AS14" s="305">
        <f t="shared" si="2"/>
        <v>0</v>
      </c>
      <c r="AT14" s="305">
        <f t="shared" si="2"/>
        <v>0</v>
      </c>
      <c r="AU14" s="305">
        <f t="shared" si="2"/>
        <v>0</v>
      </c>
      <c r="AV14" s="305">
        <f t="shared" si="2"/>
        <v>0</v>
      </c>
      <c r="AW14" s="305">
        <f t="shared" si="2"/>
        <v>0</v>
      </c>
      <c r="AX14" s="305">
        <f t="shared" si="2"/>
        <v>0</v>
      </c>
      <c r="AY14" s="305">
        <f t="shared" si="2"/>
        <v>0</v>
      </c>
      <c r="AZ14" s="305">
        <f t="shared" si="2"/>
        <v>0</v>
      </c>
      <c r="BA14" s="305">
        <f t="shared" si="2"/>
        <v>0</v>
      </c>
      <c r="BB14" s="305">
        <f t="shared" si="2"/>
        <v>0</v>
      </c>
      <c r="BD14" s="304">
        <f t="shared" si="3"/>
        <v>0</v>
      </c>
    </row>
    <row r="15" spans="1:56" x14ac:dyDescent="0.25">
      <c r="A15" s="300" t="s">
        <v>153</v>
      </c>
      <c r="B15" s="313" t="str">
        <f>VLOOKUP(A15,'DFP-Com'!$A$16:$B$50,2,1)</f>
        <v xml:space="preserve">     2.2.a  Advisors</v>
      </c>
      <c r="C15" s="300" t="s">
        <v>215</v>
      </c>
      <c r="D15" s="236">
        <v>150000</v>
      </c>
      <c r="E15" s="300" t="s">
        <v>186</v>
      </c>
      <c r="K15" s="303">
        <v>0.25</v>
      </c>
      <c r="L15" s="303">
        <v>0.25</v>
      </c>
      <c r="M15" s="303">
        <v>0.25</v>
      </c>
      <c r="N15" s="303">
        <v>0.25</v>
      </c>
      <c r="U15" s="303">
        <f t="shared" si="0"/>
        <v>1</v>
      </c>
      <c r="X15" s="305">
        <f t="shared" si="1"/>
        <v>0</v>
      </c>
      <c r="Y15" s="305">
        <f t="shared" si="1"/>
        <v>0</v>
      </c>
      <c r="Z15" s="305">
        <f t="shared" si="1"/>
        <v>0</v>
      </c>
      <c r="AA15" s="305">
        <f t="shared" si="1"/>
        <v>0</v>
      </c>
      <c r="AB15" s="305">
        <f t="shared" si="1"/>
        <v>0</v>
      </c>
      <c r="AC15" s="305">
        <f t="shared" si="1"/>
        <v>37500</v>
      </c>
      <c r="AD15" s="305">
        <f t="shared" si="1"/>
        <v>37500</v>
      </c>
      <c r="AE15" s="305">
        <f t="shared" si="1"/>
        <v>37500</v>
      </c>
      <c r="AF15" s="305">
        <f t="shared" si="1"/>
        <v>37500</v>
      </c>
      <c r="AG15" s="305">
        <f t="shared" si="1"/>
        <v>0</v>
      </c>
      <c r="AH15" s="305">
        <f t="shared" si="1"/>
        <v>0</v>
      </c>
      <c r="AI15" s="305">
        <f t="shared" si="1"/>
        <v>0</v>
      </c>
      <c r="AJ15" s="305">
        <f t="shared" si="1"/>
        <v>0</v>
      </c>
      <c r="AK15" s="305">
        <f t="shared" si="1"/>
        <v>0</v>
      </c>
      <c r="AL15" s="305">
        <f t="shared" si="1"/>
        <v>0</v>
      </c>
      <c r="AM15" s="242"/>
      <c r="AN15" s="305">
        <f t="shared" si="2"/>
        <v>0</v>
      </c>
      <c r="AO15" s="305">
        <f t="shared" si="2"/>
        <v>0</v>
      </c>
      <c r="AP15" s="305">
        <f t="shared" si="2"/>
        <v>0</v>
      </c>
      <c r="AQ15" s="305">
        <f t="shared" si="2"/>
        <v>0</v>
      </c>
      <c r="AR15" s="305">
        <f t="shared" si="2"/>
        <v>0</v>
      </c>
      <c r="AS15" s="305">
        <f t="shared" si="2"/>
        <v>150000</v>
      </c>
      <c r="AT15" s="305">
        <f t="shared" si="2"/>
        <v>0</v>
      </c>
      <c r="AU15" s="305">
        <f t="shared" si="2"/>
        <v>0</v>
      </c>
      <c r="AV15" s="305">
        <f t="shared" si="2"/>
        <v>0</v>
      </c>
      <c r="AW15" s="305">
        <f t="shared" si="2"/>
        <v>0</v>
      </c>
      <c r="AX15" s="305">
        <f t="shared" si="2"/>
        <v>0</v>
      </c>
      <c r="AY15" s="305">
        <f t="shared" si="2"/>
        <v>0</v>
      </c>
      <c r="AZ15" s="305">
        <f t="shared" si="2"/>
        <v>0</v>
      </c>
      <c r="BA15" s="305">
        <f t="shared" si="2"/>
        <v>0</v>
      </c>
      <c r="BB15" s="305">
        <f t="shared" si="2"/>
        <v>0</v>
      </c>
      <c r="BD15" s="304">
        <f t="shared" si="3"/>
        <v>0</v>
      </c>
    </row>
    <row r="16" spans="1:56" x14ac:dyDescent="0.25">
      <c r="A16" s="300" t="s">
        <v>153</v>
      </c>
      <c r="B16" s="313" t="str">
        <f>VLOOKUP(A16,'DFP-Com'!$A$16:$B$50,2,1)</f>
        <v xml:space="preserve">     2.2.a  Advisors</v>
      </c>
      <c r="C16" s="300" t="s">
        <v>189</v>
      </c>
      <c r="D16" s="236">
        <v>73500</v>
      </c>
      <c r="E16" s="300" t="s">
        <v>184</v>
      </c>
      <c r="F16" s="303"/>
      <c r="G16" s="303"/>
      <c r="H16" s="320">
        <v>0.16666666666666699</v>
      </c>
      <c r="I16" s="303">
        <v>0.25</v>
      </c>
      <c r="J16" s="303">
        <v>0.25</v>
      </c>
      <c r="K16" s="303">
        <v>0.25</v>
      </c>
      <c r="L16" s="303">
        <v>8.3333333333333329E-2</v>
      </c>
      <c r="M16" s="303"/>
      <c r="N16" s="303"/>
      <c r="O16" s="303"/>
      <c r="P16" s="303"/>
      <c r="Q16" s="303"/>
      <c r="U16" s="303">
        <f t="shared" si="0"/>
        <v>1.0000000000000002</v>
      </c>
      <c r="X16" s="254">
        <f t="shared" si="1"/>
        <v>0</v>
      </c>
      <c r="Y16" s="305">
        <f t="shared" si="1"/>
        <v>0</v>
      </c>
      <c r="Z16" s="305">
        <f t="shared" si="1"/>
        <v>12250.000000000024</v>
      </c>
      <c r="AA16" s="305">
        <f t="shared" si="1"/>
        <v>18375</v>
      </c>
      <c r="AB16" s="305">
        <f t="shared" si="1"/>
        <v>18375</v>
      </c>
      <c r="AC16" s="305">
        <f t="shared" si="1"/>
        <v>18375</v>
      </c>
      <c r="AD16" s="305">
        <f t="shared" si="1"/>
        <v>6125</v>
      </c>
      <c r="AE16" s="305">
        <f t="shared" si="1"/>
        <v>0</v>
      </c>
      <c r="AF16" s="305">
        <f t="shared" si="1"/>
        <v>0</v>
      </c>
      <c r="AG16" s="305">
        <f t="shared" si="1"/>
        <v>0</v>
      </c>
      <c r="AH16" s="305">
        <f t="shared" si="1"/>
        <v>0</v>
      </c>
      <c r="AI16" s="305">
        <f t="shared" si="1"/>
        <v>0</v>
      </c>
      <c r="AJ16" s="305">
        <f t="shared" si="1"/>
        <v>0</v>
      </c>
      <c r="AK16" s="305">
        <f t="shared" si="1"/>
        <v>0</v>
      </c>
      <c r="AL16" s="305">
        <f t="shared" si="1"/>
        <v>0</v>
      </c>
      <c r="AM16" s="242"/>
      <c r="AN16" s="305">
        <f t="shared" si="2"/>
        <v>0</v>
      </c>
      <c r="AO16" s="305">
        <f t="shared" si="2"/>
        <v>0</v>
      </c>
      <c r="AP16" s="305">
        <f t="shared" si="2"/>
        <v>73500</v>
      </c>
      <c r="AQ16" s="305">
        <f t="shared" si="2"/>
        <v>0</v>
      </c>
      <c r="AR16" s="305">
        <f t="shared" si="2"/>
        <v>0</v>
      </c>
      <c r="AS16" s="305">
        <f t="shared" si="2"/>
        <v>0</v>
      </c>
      <c r="AT16" s="305">
        <f t="shared" si="2"/>
        <v>0</v>
      </c>
      <c r="AU16" s="305">
        <f t="shared" si="2"/>
        <v>0</v>
      </c>
      <c r="AV16" s="305">
        <f t="shared" si="2"/>
        <v>0</v>
      </c>
      <c r="AW16" s="305">
        <f t="shared" si="2"/>
        <v>0</v>
      </c>
      <c r="AX16" s="305">
        <f t="shared" si="2"/>
        <v>0</v>
      </c>
      <c r="AY16" s="305">
        <f t="shared" si="2"/>
        <v>0</v>
      </c>
      <c r="AZ16" s="305">
        <f t="shared" si="2"/>
        <v>0</v>
      </c>
      <c r="BA16" s="305">
        <f t="shared" si="2"/>
        <v>0</v>
      </c>
      <c r="BB16" s="305">
        <f t="shared" si="2"/>
        <v>0</v>
      </c>
      <c r="BD16" s="304">
        <f t="shared" si="3"/>
        <v>0</v>
      </c>
    </row>
    <row r="17" spans="1:56" x14ac:dyDescent="0.25">
      <c r="A17" s="300" t="s">
        <v>153</v>
      </c>
      <c r="B17" s="313" t="str">
        <f>VLOOKUP(A17,'DFP-Com'!$A$16:$B$50,2,1)</f>
        <v xml:space="preserve">     2.2.a  Advisors</v>
      </c>
      <c r="C17" s="300" t="s">
        <v>236</v>
      </c>
      <c r="D17" s="236">
        <f>12250*12</f>
        <v>147000</v>
      </c>
      <c r="E17" s="300" t="s">
        <v>186</v>
      </c>
      <c r="F17" s="303"/>
      <c r="G17" s="303"/>
      <c r="H17" s="320"/>
      <c r="I17" s="303"/>
      <c r="J17" s="303"/>
      <c r="K17" s="303">
        <v>0.16666666666666699</v>
      </c>
      <c r="L17" s="303">
        <v>0.25</v>
      </c>
      <c r="M17" s="303">
        <v>0.25</v>
      </c>
      <c r="N17" s="303">
        <v>0.25</v>
      </c>
      <c r="O17" s="303">
        <v>8.3333333333333329E-2</v>
      </c>
      <c r="P17" s="303"/>
      <c r="Q17" s="303"/>
      <c r="U17" s="303">
        <f t="shared" si="0"/>
        <v>1.0000000000000002</v>
      </c>
      <c r="X17" s="254">
        <f t="shared" si="1"/>
        <v>0</v>
      </c>
      <c r="Y17" s="305">
        <f t="shared" si="1"/>
        <v>0</v>
      </c>
      <c r="Z17" s="305">
        <f t="shared" si="1"/>
        <v>0</v>
      </c>
      <c r="AA17" s="305">
        <f t="shared" si="1"/>
        <v>0</v>
      </c>
      <c r="AB17" s="305">
        <f t="shared" si="1"/>
        <v>0</v>
      </c>
      <c r="AC17" s="305">
        <f t="shared" si="1"/>
        <v>24500.000000000047</v>
      </c>
      <c r="AD17" s="305">
        <f t="shared" si="1"/>
        <v>36750</v>
      </c>
      <c r="AE17" s="305">
        <f t="shared" si="1"/>
        <v>36750</v>
      </c>
      <c r="AF17" s="305">
        <f t="shared" si="1"/>
        <v>36750</v>
      </c>
      <c r="AG17" s="305">
        <f t="shared" si="1"/>
        <v>12250</v>
      </c>
      <c r="AH17" s="305">
        <f t="shared" si="1"/>
        <v>0</v>
      </c>
      <c r="AI17" s="305">
        <f t="shared" si="1"/>
        <v>0</v>
      </c>
      <c r="AJ17" s="305">
        <f t="shared" si="1"/>
        <v>0</v>
      </c>
      <c r="AK17" s="305">
        <f t="shared" si="1"/>
        <v>0</v>
      </c>
      <c r="AL17" s="305">
        <f t="shared" si="1"/>
        <v>0</v>
      </c>
      <c r="AM17" s="242"/>
      <c r="AN17" s="305">
        <f t="shared" si="2"/>
        <v>0</v>
      </c>
      <c r="AO17" s="305">
        <f t="shared" si="2"/>
        <v>0</v>
      </c>
      <c r="AP17" s="305">
        <f t="shared" si="2"/>
        <v>0</v>
      </c>
      <c r="AQ17" s="305">
        <f t="shared" si="2"/>
        <v>0</v>
      </c>
      <c r="AR17" s="305">
        <f t="shared" si="2"/>
        <v>0</v>
      </c>
      <c r="AS17" s="305">
        <f t="shared" si="2"/>
        <v>147000</v>
      </c>
      <c r="AT17" s="305">
        <f t="shared" si="2"/>
        <v>0</v>
      </c>
      <c r="AU17" s="305">
        <f t="shared" si="2"/>
        <v>0</v>
      </c>
      <c r="AV17" s="305">
        <f t="shared" si="2"/>
        <v>0</v>
      </c>
      <c r="AW17" s="305">
        <f t="shared" si="2"/>
        <v>0</v>
      </c>
      <c r="AX17" s="305">
        <f t="shared" si="2"/>
        <v>0</v>
      </c>
      <c r="AY17" s="305">
        <f t="shared" si="2"/>
        <v>0</v>
      </c>
      <c r="AZ17" s="305">
        <f t="shared" si="2"/>
        <v>0</v>
      </c>
      <c r="BA17" s="305">
        <f t="shared" si="2"/>
        <v>0</v>
      </c>
      <c r="BB17" s="305">
        <f t="shared" si="2"/>
        <v>0</v>
      </c>
      <c r="BD17" s="304">
        <f t="shared" si="3"/>
        <v>0</v>
      </c>
    </row>
    <row r="18" spans="1:56" x14ac:dyDescent="0.25">
      <c r="A18" s="300" t="s">
        <v>153</v>
      </c>
      <c r="B18" s="313" t="str">
        <f>VLOOKUP(A18,'DFP-Com'!$A$16:$B$50,2,1)</f>
        <v xml:space="preserve">     2.2.a  Advisors</v>
      </c>
      <c r="C18" s="300" t="s">
        <v>237</v>
      </c>
      <c r="D18" s="236">
        <f>12250*12</f>
        <v>147000</v>
      </c>
      <c r="E18" s="300" t="s">
        <v>238</v>
      </c>
      <c r="F18" s="303"/>
      <c r="G18" s="303"/>
      <c r="H18" s="320"/>
      <c r="I18" s="303"/>
      <c r="J18" s="303"/>
      <c r="K18" s="303"/>
      <c r="L18" s="303"/>
      <c r="M18" s="303"/>
      <c r="N18" s="303"/>
      <c r="O18" s="303">
        <v>0.16666666666666699</v>
      </c>
      <c r="P18" s="303">
        <v>0.25</v>
      </c>
      <c r="Q18" s="303">
        <v>0.25</v>
      </c>
      <c r="R18" s="303">
        <v>0.25</v>
      </c>
      <c r="S18" s="303">
        <v>8.3333333333333329E-2</v>
      </c>
      <c r="U18" s="303">
        <f t="shared" si="0"/>
        <v>1.0000000000000002</v>
      </c>
      <c r="X18" s="254">
        <f t="shared" si="1"/>
        <v>0</v>
      </c>
      <c r="Y18" s="305">
        <f t="shared" si="1"/>
        <v>0</v>
      </c>
      <c r="Z18" s="305">
        <f t="shared" si="1"/>
        <v>0</v>
      </c>
      <c r="AA18" s="305">
        <f t="shared" si="1"/>
        <v>0</v>
      </c>
      <c r="AB18" s="305">
        <f t="shared" si="1"/>
        <v>0</v>
      </c>
      <c r="AC18" s="305">
        <f t="shared" si="1"/>
        <v>0</v>
      </c>
      <c r="AD18" s="305">
        <f t="shared" si="1"/>
        <v>0</v>
      </c>
      <c r="AE18" s="305">
        <f t="shared" si="1"/>
        <v>0</v>
      </c>
      <c r="AF18" s="305">
        <f t="shared" si="1"/>
        <v>0</v>
      </c>
      <c r="AG18" s="305">
        <f t="shared" si="1"/>
        <v>24500.000000000047</v>
      </c>
      <c r="AH18" s="305">
        <f t="shared" si="1"/>
        <v>36750</v>
      </c>
      <c r="AI18" s="305">
        <f t="shared" si="1"/>
        <v>36750</v>
      </c>
      <c r="AJ18" s="305">
        <f t="shared" si="1"/>
        <v>36750</v>
      </c>
      <c r="AK18" s="305">
        <f t="shared" si="1"/>
        <v>12250</v>
      </c>
      <c r="AL18" s="305">
        <f t="shared" si="1"/>
        <v>0</v>
      </c>
      <c r="AM18" s="242"/>
      <c r="AN18" s="305">
        <f t="shared" si="2"/>
        <v>0</v>
      </c>
      <c r="AO18" s="305">
        <f t="shared" si="2"/>
        <v>0</v>
      </c>
      <c r="AP18" s="305">
        <f t="shared" si="2"/>
        <v>0</v>
      </c>
      <c r="AQ18" s="305">
        <f t="shared" si="2"/>
        <v>0</v>
      </c>
      <c r="AR18" s="305">
        <f t="shared" si="2"/>
        <v>0</v>
      </c>
      <c r="AS18" s="305">
        <f t="shared" si="2"/>
        <v>0</v>
      </c>
      <c r="AT18" s="305">
        <f t="shared" si="2"/>
        <v>0</v>
      </c>
      <c r="AU18" s="305">
        <f t="shared" si="2"/>
        <v>147000</v>
      </c>
      <c r="AV18" s="305">
        <f t="shared" si="2"/>
        <v>0</v>
      </c>
      <c r="AW18" s="305">
        <f t="shared" si="2"/>
        <v>0</v>
      </c>
      <c r="AX18" s="305">
        <f t="shared" si="2"/>
        <v>0</v>
      </c>
      <c r="AY18" s="305">
        <f t="shared" si="2"/>
        <v>0</v>
      </c>
      <c r="AZ18" s="305">
        <f t="shared" si="2"/>
        <v>0</v>
      </c>
      <c r="BA18" s="305">
        <f t="shared" si="2"/>
        <v>0</v>
      </c>
      <c r="BB18" s="305">
        <f t="shared" si="2"/>
        <v>0</v>
      </c>
      <c r="BD18" s="304">
        <f t="shared" si="3"/>
        <v>0</v>
      </c>
    </row>
    <row r="19" spans="1:56" x14ac:dyDescent="0.25">
      <c r="A19" s="300" t="s">
        <v>153</v>
      </c>
      <c r="B19" s="313" t="str">
        <f>VLOOKUP(A19,'DFP-Com'!$A$16:$B$50,2,1)</f>
        <v xml:space="preserve">     2.2.a  Advisors</v>
      </c>
      <c r="C19" s="300" t="s">
        <v>190</v>
      </c>
      <c r="D19" s="236">
        <v>61250</v>
      </c>
      <c r="E19" s="300" t="s">
        <v>212</v>
      </c>
      <c r="F19" s="303"/>
      <c r="G19" s="303">
        <v>0.2</v>
      </c>
      <c r="H19" s="320">
        <v>0.6</v>
      </c>
      <c r="I19" s="303">
        <v>0.2</v>
      </c>
      <c r="J19" s="303"/>
      <c r="K19" s="303"/>
      <c r="L19" s="303"/>
      <c r="M19" s="303"/>
      <c r="N19" s="303"/>
      <c r="O19" s="303"/>
      <c r="P19" s="303"/>
      <c r="Q19" s="303"/>
      <c r="U19" s="303">
        <f t="shared" si="0"/>
        <v>1</v>
      </c>
      <c r="X19" s="305">
        <f t="shared" si="1"/>
        <v>0</v>
      </c>
      <c r="Y19" s="305">
        <f t="shared" si="1"/>
        <v>12250</v>
      </c>
      <c r="Z19" s="305">
        <f t="shared" si="1"/>
        <v>36750</v>
      </c>
      <c r="AA19" s="305">
        <f t="shared" si="1"/>
        <v>12250</v>
      </c>
      <c r="AB19" s="305">
        <f t="shared" si="1"/>
        <v>0</v>
      </c>
      <c r="AC19" s="305">
        <f t="shared" si="1"/>
        <v>0</v>
      </c>
      <c r="AD19" s="305">
        <f t="shared" si="1"/>
        <v>0</v>
      </c>
      <c r="AE19" s="305">
        <f t="shared" si="1"/>
        <v>0</v>
      </c>
      <c r="AF19" s="305">
        <f t="shared" si="1"/>
        <v>0</v>
      </c>
      <c r="AG19" s="305">
        <f t="shared" si="1"/>
        <v>0</v>
      </c>
      <c r="AH19" s="305">
        <f t="shared" si="1"/>
        <v>0</v>
      </c>
      <c r="AI19" s="305">
        <f t="shared" si="1"/>
        <v>0</v>
      </c>
      <c r="AJ19" s="305">
        <f t="shared" si="1"/>
        <v>0</v>
      </c>
      <c r="AK19" s="305">
        <f t="shared" si="1"/>
        <v>0</v>
      </c>
      <c r="AL19" s="305">
        <f t="shared" si="1"/>
        <v>0</v>
      </c>
      <c r="AM19" s="242"/>
      <c r="AN19" s="305">
        <f t="shared" si="2"/>
        <v>0</v>
      </c>
      <c r="AO19" s="305">
        <f t="shared" si="2"/>
        <v>61250</v>
      </c>
      <c r="AP19" s="305">
        <f t="shared" si="2"/>
        <v>0</v>
      </c>
      <c r="AQ19" s="305">
        <f t="shared" si="2"/>
        <v>0</v>
      </c>
      <c r="AR19" s="305">
        <f t="shared" si="2"/>
        <v>0</v>
      </c>
      <c r="AS19" s="305">
        <f t="shared" si="2"/>
        <v>0</v>
      </c>
      <c r="AT19" s="305">
        <f t="shared" si="2"/>
        <v>0</v>
      </c>
      <c r="AU19" s="305">
        <f t="shared" si="2"/>
        <v>0</v>
      </c>
      <c r="AV19" s="305">
        <f t="shared" si="2"/>
        <v>0</v>
      </c>
      <c r="AW19" s="305">
        <f t="shared" si="2"/>
        <v>0</v>
      </c>
      <c r="AX19" s="305">
        <f t="shared" si="2"/>
        <v>0</v>
      </c>
      <c r="AY19" s="305">
        <f t="shared" si="2"/>
        <v>0</v>
      </c>
      <c r="AZ19" s="305">
        <f t="shared" si="2"/>
        <v>0</v>
      </c>
      <c r="BA19" s="305">
        <f t="shared" si="2"/>
        <v>0</v>
      </c>
      <c r="BB19" s="305">
        <f t="shared" si="2"/>
        <v>0</v>
      </c>
      <c r="BD19" s="304">
        <f t="shared" si="3"/>
        <v>0</v>
      </c>
    </row>
    <row r="20" spans="1:56" x14ac:dyDescent="0.25">
      <c r="A20" s="300" t="s">
        <v>154</v>
      </c>
      <c r="B20" s="313" t="str">
        <f>VLOOKUP(A20,'DFP-Com'!$A$16:$B$50,2,1)</f>
        <v xml:space="preserve">     2.2.b  Feasiblity Studies/  Transaction Advisory Services</v>
      </c>
      <c r="C20" s="300" t="s">
        <v>191</v>
      </c>
      <c r="D20" s="236">
        <v>500000</v>
      </c>
      <c r="E20" s="300" t="s">
        <v>184</v>
      </c>
      <c r="F20" s="303"/>
      <c r="G20" s="303"/>
      <c r="H20" s="320">
        <v>0.25</v>
      </c>
      <c r="I20" s="303">
        <v>0.25</v>
      </c>
      <c r="J20" s="303">
        <v>0.25</v>
      </c>
      <c r="K20" s="303">
        <v>0.25</v>
      </c>
      <c r="L20" s="303"/>
      <c r="M20" s="303"/>
      <c r="N20" s="303"/>
      <c r="U20" s="303">
        <f t="shared" si="0"/>
        <v>1</v>
      </c>
      <c r="X20" s="305">
        <f t="shared" si="1"/>
        <v>0</v>
      </c>
      <c r="Y20" s="305">
        <f t="shared" si="1"/>
        <v>0</v>
      </c>
      <c r="Z20" s="305">
        <f t="shared" si="1"/>
        <v>125000</v>
      </c>
      <c r="AA20" s="305">
        <f t="shared" si="1"/>
        <v>125000</v>
      </c>
      <c r="AB20" s="305">
        <f t="shared" si="1"/>
        <v>125000</v>
      </c>
      <c r="AC20" s="305">
        <f t="shared" si="1"/>
        <v>125000</v>
      </c>
      <c r="AD20" s="305">
        <f t="shared" si="1"/>
        <v>0</v>
      </c>
      <c r="AE20" s="305">
        <f t="shared" si="1"/>
        <v>0</v>
      </c>
      <c r="AF20" s="305">
        <f t="shared" si="1"/>
        <v>0</v>
      </c>
      <c r="AG20" s="305">
        <f t="shared" si="1"/>
        <v>0</v>
      </c>
      <c r="AH20" s="305">
        <f t="shared" si="1"/>
        <v>0</v>
      </c>
      <c r="AI20" s="305">
        <f t="shared" si="1"/>
        <v>0</v>
      </c>
      <c r="AJ20" s="305">
        <f t="shared" si="1"/>
        <v>0</v>
      </c>
      <c r="AK20" s="305">
        <f t="shared" si="1"/>
        <v>0</v>
      </c>
      <c r="AL20" s="305">
        <f t="shared" si="1"/>
        <v>0</v>
      </c>
      <c r="AM20" s="242"/>
      <c r="AN20" s="305">
        <f t="shared" ref="AN20:BB35" si="4">IF(AN$3=$E20,$D20,0)</f>
        <v>0</v>
      </c>
      <c r="AO20" s="305">
        <f t="shared" si="4"/>
        <v>0</v>
      </c>
      <c r="AP20" s="305">
        <f t="shared" si="4"/>
        <v>500000</v>
      </c>
      <c r="AQ20" s="305">
        <f t="shared" si="4"/>
        <v>0</v>
      </c>
      <c r="AR20" s="305">
        <f t="shared" si="4"/>
        <v>0</v>
      </c>
      <c r="AS20" s="305">
        <f t="shared" si="4"/>
        <v>0</v>
      </c>
      <c r="AT20" s="305">
        <f t="shared" si="4"/>
        <v>0</v>
      </c>
      <c r="AU20" s="305">
        <f t="shared" si="4"/>
        <v>0</v>
      </c>
      <c r="AV20" s="305">
        <f t="shared" si="4"/>
        <v>0</v>
      </c>
      <c r="AW20" s="305">
        <f t="shared" si="4"/>
        <v>0</v>
      </c>
      <c r="AX20" s="305">
        <f t="shared" si="4"/>
        <v>0</v>
      </c>
      <c r="AY20" s="305">
        <f t="shared" si="4"/>
        <v>0</v>
      </c>
      <c r="AZ20" s="305">
        <f t="shared" si="4"/>
        <v>0</v>
      </c>
      <c r="BA20" s="305">
        <f t="shared" si="4"/>
        <v>0</v>
      </c>
      <c r="BB20" s="305">
        <f t="shared" si="4"/>
        <v>0</v>
      </c>
      <c r="BD20" s="304">
        <f t="shared" si="3"/>
        <v>0</v>
      </c>
    </row>
    <row r="21" spans="1:56" x14ac:dyDescent="0.25">
      <c r="A21" s="300" t="s">
        <v>154</v>
      </c>
      <c r="B21" s="313" t="str">
        <f>VLOOKUP(A21,'DFP-Com'!$A$16:$B$50,2,1)</f>
        <v xml:space="preserve">     2.2.b  Feasiblity Studies/  Transaction Advisory Services</v>
      </c>
      <c r="C21" s="300" t="s">
        <v>192</v>
      </c>
      <c r="D21" s="236">
        <v>200000</v>
      </c>
      <c r="E21" s="300" t="s">
        <v>184</v>
      </c>
      <c r="F21" s="303"/>
      <c r="G21" s="303"/>
      <c r="H21" s="320"/>
      <c r="I21" s="303"/>
      <c r="J21" s="303">
        <v>0.25</v>
      </c>
      <c r="K21" s="303">
        <v>0.25</v>
      </c>
      <c r="L21" s="303">
        <v>0.25</v>
      </c>
      <c r="M21" s="303">
        <v>0.25</v>
      </c>
      <c r="U21" s="303">
        <f t="shared" si="0"/>
        <v>1</v>
      </c>
      <c r="X21" s="305">
        <f t="shared" ref="X21:AL37" si="5">F21*$D21</f>
        <v>0</v>
      </c>
      <c r="Y21" s="305">
        <f t="shared" si="5"/>
        <v>0</v>
      </c>
      <c r="Z21" s="305">
        <f t="shared" si="5"/>
        <v>0</v>
      </c>
      <c r="AA21" s="305">
        <f t="shared" si="5"/>
        <v>0</v>
      </c>
      <c r="AB21" s="305">
        <f t="shared" si="5"/>
        <v>50000</v>
      </c>
      <c r="AC21" s="305">
        <f t="shared" si="5"/>
        <v>50000</v>
      </c>
      <c r="AD21" s="305">
        <f t="shared" si="5"/>
        <v>50000</v>
      </c>
      <c r="AE21" s="305">
        <f t="shared" si="5"/>
        <v>50000</v>
      </c>
      <c r="AF21" s="305">
        <f t="shared" si="5"/>
        <v>0</v>
      </c>
      <c r="AG21" s="305">
        <f t="shared" si="5"/>
        <v>0</v>
      </c>
      <c r="AH21" s="305">
        <f t="shared" si="5"/>
        <v>0</v>
      </c>
      <c r="AI21" s="305">
        <f t="shared" si="5"/>
        <v>0</v>
      </c>
      <c r="AJ21" s="305">
        <f t="shared" si="5"/>
        <v>0</v>
      </c>
      <c r="AK21" s="305">
        <f t="shared" si="5"/>
        <v>0</v>
      </c>
      <c r="AL21" s="305">
        <f t="shared" si="5"/>
        <v>0</v>
      </c>
      <c r="AM21" s="242"/>
      <c r="AN21" s="305">
        <f t="shared" si="4"/>
        <v>0</v>
      </c>
      <c r="AO21" s="305">
        <f t="shared" si="4"/>
        <v>0</v>
      </c>
      <c r="AP21" s="305">
        <f t="shared" si="4"/>
        <v>200000</v>
      </c>
      <c r="AQ21" s="305">
        <f t="shared" si="4"/>
        <v>0</v>
      </c>
      <c r="AR21" s="305">
        <f t="shared" si="4"/>
        <v>0</v>
      </c>
      <c r="AS21" s="305">
        <f t="shared" si="4"/>
        <v>0</v>
      </c>
      <c r="AT21" s="305">
        <f t="shared" si="4"/>
        <v>0</v>
      </c>
      <c r="AU21" s="305">
        <f t="shared" si="4"/>
        <v>0</v>
      </c>
      <c r="AV21" s="305">
        <f t="shared" si="4"/>
        <v>0</v>
      </c>
      <c r="AW21" s="305">
        <f t="shared" si="4"/>
        <v>0</v>
      </c>
      <c r="AX21" s="305">
        <f t="shared" si="4"/>
        <v>0</v>
      </c>
      <c r="AY21" s="305">
        <f t="shared" si="4"/>
        <v>0</v>
      </c>
      <c r="AZ21" s="305">
        <f t="shared" si="4"/>
        <v>0</v>
      </c>
      <c r="BA21" s="305">
        <f t="shared" si="4"/>
        <v>0</v>
      </c>
      <c r="BB21" s="305">
        <f t="shared" si="4"/>
        <v>0</v>
      </c>
      <c r="BD21" s="304">
        <f t="shared" si="3"/>
        <v>0</v>
      </c>
    </row>
    <row r="22" spans="1:56" x14ac:dyDescent="0.25">
      <c r="A22" s="300" t="s">
        <v>154</v>
      </c>
      <c r="B22" s="313" t="str">
        <f>VLOOKUP(A22,'DFP-Com'!$A$16:$B$50,2,1)</f>
        <v xml:space="preserve">     2.2.b  Feasiblity Studies/  Transaction Advisory Services</v>
      </c>
      <c r="C22" s="300" t="s">
        <v>193</v>
      </c>
      <c r="D22" s="236">
        <v>350000</v>
      </c>
      <c r="U22" s="303">
        <f t="shared" si="0"/>
        <v>0</v>
      </c>
      <c r="X22" s="305">
        <f t="shared" si="5"/>
        <v>0</v>
      </c>
      <c r="Y22" s="305">
        <f t="shared" si="5"/>
        <v>0</v>
      </c>
      <c r="Z22" s="305">
        <f t="shared" si="5"/>
        <v>0</v>
      </c>
      <c r="AA22" s="305">
        <f t="shared" si="5"/>
        <v>0</v>
      </c>
      <c r="AB22" s="305">
        <f t="shared" si="5"/>
        <v>0</v>
      </c>
      <c r="AC22" s="305">
        <f t="shared" si="5"/>
        <v>0</v>
      </c>
      <c r="AD22" s="305">
        <f t="shared" si="5"/>
        <v>0</v>
      </c>
      <c r="AE22" s="305">
        <f t="shared" si="5"/>
        <v>0</v>
      </c>
      <c r="AF22" s="305">
        <f t="shared" si="5"/>
        <v>0</v>
      </c>
      <c r="AG22" s="305">
        <f t="shared" si="5"/>
        <v>0</v>
      </c>
      <c r="AH22" s="305">
        <f t="shared" si="5"/>
        <v>0</v>
      </c>
      <c r="AI22" s="305">
        <f t="shared" si="5"/>
        <v>0</v>
      </c>
      <c r="AJ22" s="305">
        <f t="shared" si="5"/>
        <v>0</v>
      </c>
      <c r="AK22" s="305">
        <f t="shared" si="5"/>
        <v>0</v>
      </c>
      <c r="AL22" s="305">
        <f t="shared" si="5"/>
        <v>0</v>
      </c>
      <c r="AM22" s="242"/>
      <c r="AN22" s="305">
        <f t="shared" si="4"/>
        <v>0</v>
      </c>
      <c r="AO22" s="305">
        <f t="shared" si="4"/>
        <v>0</v>
      </c>
      <c r="AP22" s="305">
        <f t="shared" si="4"/>
        <v>0</v>
      </c>
      <c r="AQ22" s="305">
        <f t="shared" si="4"/>
        <v>0</v>
      </c>
      <c r="AR22" s="305">
        <f t="shared" si="4"/>
        <v>0</v>
      </c>
      <c r="AS22" s="305">
        <f t="shared" si="4"/>
        <v>0</v>
      </c>
      <c r="AT22" s="305">
        <f t="shared" si="4"/>
        <v>0</v>
      </c>
      <c r="AU22" s="305">
        <f t="shared" si="4"/>
        <v>0</v>
      </c>
      <c r="AV22" s="305">
        <f t="shared" si="4"/>
        <v>0</v>
      </c>
      <c r="AW22" s="305">
        <f t="shared" si="4"/>
        <v>0</v>
      </c>
      <c r="AX22" s="305">
        <f t="shared" si="4"/>
        <v>0</v>
      </c>
      <c r="AY22" s="305">
        <f t="shared" si="4"/>
        <v>0</v>
      </c>
      <c r="AZ22" s="305">
        <f t="shared" si="4"/>
        <v>0</v>
      </c>
      <c r="BA22" s="305">
        <f t="shared" si="4"/>
        <v>0</v>
      </c>
      <c r="BB22" s="305">
        <f t="shared" si="4"/>
        <v>0</v>
      </c>
      <c r="BD22" s="304">
        <f t="shared" si="3"/>
        <v>0</v>
      </c>
    </row>
    <row r="23" spans="1:56" x14ac:dyDescent="0.25">
      <c r="A23" s="300" t="s">
        <v>154</v>
      </c>
      <c r="B23" s="313" t="str">
        <f>VLOOKUP(A23,'DFP-Com'!$A$16:$B$50,2,1)</f>
        <v xml:space="preserve">     2.2.b  Feasiblity Studies/  Transaction Advisory Services</v>
      </c>
      <c r="C23" s="300" t="s">
        <v>194</v>
      </c>
      <c r="D23" s="236">
        <v>200000</v>
      </c>
      <c r="E23" s="300" t="s">
        <v>216</v>
      </c>
      <c r="I23" s="303">
        <v>0.25</v>
      </c>
      <c r="J23" s="303">
        <v>0.25</v>
      </c>
      <c r="K23" s="303">
        <v>0.25</v>
      </c>
      <c r="L23" s="303">
        <v>0.25</v>
      </c>
      <c r="U23" s="303">
        <f t="shared" si="0"/>
        <v>1</v>
      </c>
      <c r="X23" s="305">
        <f t="shared" si="5"/>
        <v>0</v>
      </c>
      <c r="Y23" s="305">
        <f t="shared" si="5"/>
        <v>0</v>
      </c>
      <c r="Z23" s="305">
        <f t="shared" si="5"/>
        <v>0</v>
      </c>
      <c r="AA23" s="305">
        <f t="shared" si="5"/>
        <v>50000</v>
      </c>
      <c r="AB23" s="305">
        <f t="shared" si="5"/>
        <v>50000</v>
      </c>
      <c r="AC23" s="305">
        <f t="shared" si="5"/>
        <v>50000</v>
      </c>
      <c r="AD23" s="305">
        <f t="shared" si="5"/>
        <v>50000</v>
      </c>
      <c r="AE23" s="305">
        <f t="shared" si="5"/>
        <v>0</v>
      </c>
      <c r="AF23" s="305">
        <f t="shared" si="5"/>
        <v>0</v>
      </c>
      <c r="AG23" s="305">
        <f t="shared" si="5"/>
        <v>0</v>
      </c>
      <c r="AH23" s="305">
        <f t="shared" si="5"/>
        <v>0</v>
      </c>
      <c r="AI23" s="305">
        <f t="shared" si="5"/>
        <v>0</v>
      </c>
      <c r="AJ23" s="305">
        <f t="shared" si="5"/>
        <v>0</v>
      </c>
      <c r="AK23" s="305">
        <f t="shared" si="5"/>
        <v>0</v>
      </c>
      <c r="AL23" s="305">
        <f t="shared" si="5"/>
        <v>0</v>
      </c>
      <c r="AM23" s="242"/>
      <c r="AN23" s="305">
        <f t="shared" si="4"/>
        <v>0</v>
      </c>
      <c r="AO23" s="305">
        <f t="shared" si="4"/>
        <v>0</v>
      </c>
      <c r="AP23" s="305">
        <f t="shared" si="4"/>
        <v>0</v>
      </c>
      <c r="AQ23" s="305">
        <f t="shared" si="4"/>
        <v>200000</v>
      </c>
      <c r="AR23" s="305">
        <f t="shared" si="4"/>
        <v>0</v>
      </c>
      <c r="AS23" s="305">
        <f t="shared" si="4"/>
        <v>0</v>
      </c>
      <c r="AT23" s="305">
        <f t="shared" si="4"/>
        <v>0</v>
      </c>
      <c r="AU23" s="305">
        <f t="shared" si="4"/>
        <v>0</v>
      </c>
      <c r="AV23" s="305">
        <f t="shared" si="4"/>
        <v>0</v>
      </c>
      <c r="AW23" s="305">
        <f t="shared" si="4"/>
        <v>0</v>
      </c>
      <c r="AX23" s="305">
        <f t="shared" si="4"/>
        <v>0</v>
      </c>
      <c r="AY23" s="305">
        <f t="shared" si="4"/>
        <v>0</v>
      </c>
      <c r="AZ23" s="305">
        <f t="shared" si="4"/>
        <v>0</v>
      </c>
      <c r="BA23" s="305">
        <f t="shared" si="4"/>
        <v>0</v>
      </c>
      <c r="BB23" s="305">
        <f t="shared" si="4"/>
        <v>0</v>
      </c>
      <c r="BD23" s="304">
        <f t="shared" si="3"/>
        <v>0</v>
      </c>
    </row>
    <row r="24" spans="1:56" x14ac:dyDescent="0.25">
      <c r="A24" s="300" t="s">
        <v>154</v>
      </c>
      <c r="B24" s="313" t="str">
        <f>VLOOKUP(A24,'DFP-Com'!$A$16:$B$50,2,1)</f>
        <v xml:space="preserve">     2.2.b  Feasiblity Studies/  Transaction Advisory Services</v>
      </c>
      <c r="C24" s="300" t="s">
        <v>195</v>
      </c>
      <c r="D24" s="236">
        <v>350000</v>
      </c>
      <c r="E24" s="300" t="s">
        <v>216</v>
      </c>
      <c r="H24" s="320"/>
      <c r="I24" s="303">
        <v>0.25</v>
      </c>
      <c r="J24" s="303">
        <v>0.25</v>
      </c>
      <c r="K24" s="303">
        <v>0.25</v>
      </c>
      <c r="L24" s="303">
        <v>0.25</v>
      </c>
      <c r="U24" s="303">
        <f t="shared" si="0"/>
        <v>1</v>
      </c>
      <c r="X24" s="305">
        <f t="shared" si="5"/>
        <v>0</v>
      </c>
      <c r="Y24" s="305">
        <f t="shared" si="5"/>
        <v>0</v>
      </c>
      <c r="Z24" s="305">
        <f t="shared" si="5"/>
        <v>0</v>
      </c>
      <c r="AA24" s="305">
        <f t="shared" si="5"/>
        <v>87500</v>
      </c>
      <c r="AB24" s="305">
        <f t="shared" si="5"/>
        <v>87500</v>
      </c>
      <c r="AC24" s="305">
        <f t="shared" si="5"/>
        <v>87500</v>
      </c>
      <c r="AD24" s="305">
        <f t="shared" si="5"/>
        <v>87500</v>
      </c>
      <c r="AE24" s="305">
        <f t="shared" si="5"/>
        <v>0</v>
      </c>
      <c r="AF24" s="305">
        <f t="shared" si="5"/>
        <v>0</v>
      </c>
      <c r="AG24" s="305">
        <f t="shared" si="5"/>
        <v>0</v>
      </c>
      <c r="AH24" s="305">
        <f t="shared" si="5"/>
        <v>0</v>
      </c>
      <c r="AI24" s="305">
        <f t="shared" si="5"/>
        <v>0</v>
      </c>
      <c r="AJ24" s="305">
        <f t="shared" si="5"/>
        <v>0</v>
      </c>
      <c r="AK24" s="305">
        <f t="shared" si="5"/>
        <v>0</v>
      </c>
      <c r="AL24" s="305">
        <f t="shared" si="5"/>
        <v>0</v>
      </c>
      <c r="AM24" s="242"/>
      <c r="AN24" s="305">
        <f t="shared" si="4"/>
        <v>0</v>
      </c>
      <c r="AO24" s="305">
        <f t="shared" si="4"/>
        <v>0</v>
      </c>
      <c r="AP24" s="305">
        <f t="shared" si="4"/>
        <v>0</v>
      </c>
      <c r="AQ24" s="305">
        <f t="shared" si="4"/>
        <v>350000</v>
      </c>
      <c r="AR24" s="305">
        <f t="shared" si="4"/>
        <v>0</v>
      </c>
      <c r="AS24" s="305">
        <f t="shared" si="4"/>
        <v>0</v>
      </c>
      <c r="AT24" s="305">
        <f t="shared" si="4"/>
        <v>0</v>
      </c>
      <c r="AU24" s="305">
        <f t="shared" si="4"/>
        <v>0</v>
      </c>
      <c r="AV24" s="305">
        <f t="shared" si="4"/>
        <v>0</v>
      </c>
      <c r="AW24" s="305">
        <f t="shared" si="4"/>
        <v>0</v>
      </c>
      <c r="AX24" s="305">
        <f t="shared" si="4"/>
        <v>0</v>
      </c>
      <c r="AY24" s="305">
        <f t="shared" si="4"/>
        <v>0</v>
      </c>
      <c r="AZ24" s="305">
        <f t="shared" si="4"/>
        <v>0</v>
      </c>
      <c r="BA24" s="305">
        <f t="shared" si="4"/>
        <v>0</v>
      </c>
      <c r="BB24" s="305">
        <f t="shared" si="4"/>
        <v>0</v>
      </c>
      <c r="BD24" s="304">
        <f t="shared" si="3"/>
        <v>0</v>
      </c>
    </row>
    <row r="25" spans="1:56" x14ac:dyDescent="0.25">
      <c r="A25" s="300" t="s">
        <v>154</v>
      </c>
      <c r="B25" s="313" t="str">
        <f>VLOOKUP(A25,'DFP-Com'!$A$16:$B$50,2,1)</f>
        <v xml:space="preserve">     2.2.b  Feasiblity Studies/  Transaction Advisory Services</v>
      </c>
      <c r="C25" s="300" t="s">
        <v>196</v>
      </c>
      <c r="D25" s="236">
        <v>50000</v>
      </c>
      <c r="E25" s="300" t="s">
        <v>213</v>
      </c>
      <c r="J25" s="303">
        <v>0.25</v>
      </c>
      <c r="K25" s="303">
        <v>0.25</v>
      </c>
      <c r="L25" s="303">
        <v>0.25</v>
      </c>
      <c r="M25" s="303">
        <v>0.25</v>
      </c>
      <c r="U25" s="303">
        <f t="shared" si="0"/>
        <v>1</v>
      </c>
      <c r="X25" s="305">
        <f t="shared" si="5"/>
        <v>0</v>
      </c>
      <c r="Y25" s="305">
        <f t="shared" si="5"/>
        <v>0</v>
      </c>
      <c r="Z25" s="305">
        <f t="shared" si="5"/>
        <v>0</v>
      </c>
      <c r="AA25" s="305">
        <f t="shared" si="5"/>
        <v>0</v>
      </c>
      <c r="AB25" s="305">
        <f t="shared" si="5"/>
        <v>12500</v>
      </c>
      <c r="AC25" s="305">
        <f t="shared" si="5"/>
        <v>12500</v>
      </c>
      <c r="AD25" s="305">
        <f t="shared" si="5"/>
        <v>12500</v>
      </c>
      <c r="AE25" s="305">
        <f t="shared" si="5"/>
        <v>12500</v>
      </c>
      <c r="AF25" s="305">
        <f t="shared" si="5"/>
        <v>0</v>
      </c>
      <c r="AG25" s="305">
        <f t="shared" si="5"/>
        <v>0</v>
      </c>
      <c r="AH25" s="305">
        <f t="shared" si="5"/>
        <v>0</v>
      </c>
      <c r="AI25" s="305">
        <f t="shared" si="5"/>
        <v>0</v>
      </c>
      <c r="AJ25" s="305">
        <f t="shared" si="5"/>
        <v>0</v>
      </c>
      <c r="AK25" s="305">
        <f t="shared" si="5"/>
        <v>0</v>
      </c>
      <c r="AL25" s="305">
        <f t="shared" si="5"/>
        <v>0</v>
      </c>
      <c r="AM25" s="242"/>
      <c r="AN25" s="305">
        <f t="shared" si="4"/>
        <v>0</v>
      </c>
      <c r="AO25" s="305">
        <f t="shared" si="4"/>
        <v>0</v>
      </c>
      <c r="AP25" s="305">
        <f t="shared" si="4"/>
        <v>0</v>
      </c>
      <c r="AQ25" s="305">
        <f t="shared" si="4"/>
        <v>0</v>
      </c>
      <c r="AR25" s="305">
        <f t="shared" si="4"/>
        <v>50000</v>
      </c>
      <c r="AS25" s="305">
        <f t="shared" si="4"/>
        <v>0</v>
      </c>
      <c r="AT25" s="305">
        <f t="shared" si="4"/>
        <v>0</v>
      </c>
      <c r="AU25" s="305">
        <f t="shared" si="4"/>
        <v>0</v>
      </c>
      <c r="AV25" s="305">
        <f t="shared" si="4"/>
        <v>0</v>
      </c>
      <c r="AW25" s="305">
        <f t="shared" si="4"/>
        <v>0</v>
      </c>
      <c r="AX25" s="305">
        <f t="shared" si="4"/>
        <v>0</v>
      </c>
      <c r="AY25" s="305">
        <f t="shared" si="4"/>
        <v>0</v>
      </c>
      <c r="AZ25" s="305">
        <f t="shared" si="4"/>
        <v>0</v>
      </c>
      <c r="BA25" s="305">
        <f t="shared" si="4"/>
        <v>0</v>
      </c>
      <c r="BB25" s="305">
        <f t="shared" si="4"/>
        <v>0</v>
      </c>
      <c r="BD25" s="304">
        <f t="shared" si="3"/>
        <v>0</v>
      </c>
    </row>
    <row r="26" spans="1:56" x14ac:dyDescent="0.25">
      <c r="A26" s="300" t="s">
        <v>156</v>
      </c>
      <c r="B26" s="259" t="str">
        <f>VLOOKUP(A26,'DFP-Com'!$A$16:$B$50,2,1)</f>
        <v xml:space="preserve">     3.1.a  Student Assessment</v>
      </c>
      <c r="C26" s="250" t="s">
        <v>229</v>
      </c>
      <c r="D26" s="306">
        <v>100000</v>
      </c>
      <c r="E26" s="300" t="s">
        <v>216</v>
      </c>
      <c r="H26" s="320"/>
      <c r="I26" s="303">
        <v>0.25</v>
      </c>
      <c r="J26" s="303">
        <v>0.25</v>
      </c>
      <c r="K26" s="303">
        <v>0.25</v>
      </c>
      <c r="L26" s="303">
        <v>0.25</v>
      </c>
      <c r="U26" s="303">
        <f t="shared" si="0"/>
        <v>1</v>
      </c>
      <c r="X26" s="305">
        <f t="shared" si="5"/>
        <v>0</v>
      </c>
      <c r="Y26" s="305">
        <f t="shared" si="5"/>
        <v>0</v>
      </c>
      <c r="Z26" s="305">
        <f t="shared" si="5"/>
        <v>0</v>
      </c>
      <c r="AA26" s="305">
        <f t="shared" si="5"/>
        <v>25000</v>
      </c>
      <c r="AB26" s="305">
        <f t="shared" si="5"/>
        <v>25000</v>
      </c>
      <c r="AC26" s="305">
        <f t="shared" si="5"/>
        <v>25000</v>
      </c>
      <c r="AD26" s="305">
        <f t="shared" si="5"/>
        <v>25000</v>
      </c>
      <c r="AE26" s="305">
        <f t="shared" si="5"/>
        <v>0</v>
      </c>
      <c r="AF26" s="305">
        <f t="shared" si="5"/>
        <v>0</v>
      </c>
      <c r="AG26" s="305">
        <f t="shared" si="5"/>
        <v>0</v>
      </c>
      <c r="AH26" s="305">
        <f t="shared" si="5"/>
        <v>0</v>
      </c>
      <c r="AI26" s="305">
        <f t="shared" si="5"/>
        <v>0</v>
      </c>
      <c r="AJ26" s="305">
        <f t="shared" si="5"/>
        <v>0</v>
      </c>
      <c r="AK26" s="305">
        <f t="shared" si="5"/>
        <v>0</v>
      </c>
      <c r="AL26" s="305">
        <f t="shared" si="5"/>
        <v>0</v>
      </c>
      <c r="AM26" s="242"/>
      <c r="AN26" s="305">
        <f t="shared" si="4"/>
        <v>0</v>
      </c>
      <c r="AO26" s="305">
        <f t="shared" si="4"/>
        <v>0</v>
      </c>
      <c r="AP26" s="305">
        <f t="shared" si="4"/>
        <v>0</v>
      </c>
      <c r="AQ26" s="305">
        <f t="shared" si="4"/>
        <v>100000</v>
      </c>
      <c r="AR26" s="305">
        <f t="shared" si="4"/>
        <v>0</v>
      </c>
      <c r="AS26" s="305">
        <f t="shared" si="4"/>
        <v>0</v>
      </c>
      <c r="AT26" s="305">
        <f t="shared" si="4"/>
        <v>0</v>
      </c>
      <c r="AU26" s="305">
        <f t="shared" si="4"/>
        <v>0</v>
      </c>
      <c r="AV26" s="305">
        <f t="shared" si="4"/>
        <v>0</v>
      </c>
      <c r="AW26" s="305">
        <f t="shared" si="4"/>
        <v>0</v>
      </c>
      <c r="AX26" s="305">
        <f t="shared" si="4"/>
        <v>0</v>
      </c>
      <c r="AY26" s="305">
        <f t="shared" si="4"/>
        <v>0</v>
      </c>
      <c r="AZ26" s="305">
        <f t="shared" si="4"/>
        <v>0</v>
      </c>
      <c r="BA26" s="305">
        <f t="shared" si="4"/>
        <v>0</v>
      </c>
      <c r="BB26" s="305">
        <f t="shared" si="4"/>
        <v>0</v>
      </c>
      <c r="BD26" s="304">
        <f t="shared" si="3"/>
        <v>0</v>
      </c>
    </row>
    <row r="27" spans="1:56" x14ac:dyDescent="0.25">
      <c r="A27" s="300" t="s">
        <v>156</v>
      </c>
      <c r="B27" s="259" t="str">
        <f>VLOOKUP(A27,'DFP-Com'!$A$16:$B$50,2,1)</f>
        <v xml:space="preserve">     3.1.a  Student Assessment</v>
      </c>
      <c r="C27" s="250" t="s">
        <v>229</v>
      </c>
      <c r="D27" s="306">
        <v>500000</v>
      </c>
      <c r="E27" s="300" t="s">
        <v>253</v>
      </c>
      <c r="Q27" s="303">
        <v>0.25</v>
      </c>
      <c r="R27" s="303">
        <v>0.25</v>
      </c>
      <c r="S27" s="303">
        <v>0.25</v>
      </c>
      <c r="T27" s="303">
        <v>0.25</v>
      </c>
      <c r="U27" s="303">
        <f t="shared" si="0"/>
        <v>1</v>
      </c>
      <c r="X27" s="305">
        <f t="shared" si="5"/>
        <v>0</v>
      </c>
      <c r="Y27" s="305">
        <f t="shared" si="5"/>
        <v>0</v>
      </c>
      <c r="Z27" s="305">
        <f t="shared" si="5"/>
        <v>0</v>
      </c>
      <c r="AA27" s="305">
        <f t="shared" si="5"/>
        <v>0</v>
      </c>
      <c r="AB27" s="305">
        <f t="shared" si="5"/>
        <v>0</v>
      </c>
      <c r="AC27" s="305">
        <f t="shared" si="5"/>
        <v>0</v>
      </c>
      <c r="AD27" s="305">
        <f t="shared" si="5"/>
        <v>0</v>
      </c>
      <c r="AE27" s="305">
        <f t="shared" si="5"/>
        <v>0</v>
      </c>
      <c r="AF27" s="305">
        <f t="shared" si="5"/>
        <v>0</v>
      </c>
      <c r="AG27" s="305">
        <f t="shared" si="5"/>
        <v>0</v>
      </c>
      <c r="AH27" s="305">
        <f t="shared" si="5"/>
        <v>0</v>
      </c>
      <c r="AI27" s="305">
        <f t="shared" si="5"/>
        <v>125000</v>
      </c>
      <c r="AJ27" s="305">
        <f t="shared" si="5"/>
        <v>125000</v>
      </c>
      <c r="AK27" s="305">
        <f t="shared" si="5"/>
        <v>125000</v>
      </c>
      <c r="AL27" s="305">
        <f t="shared" si="5"/>
        <v>125000</v>
      </c>
      <c r="AM27" s="242"/>
      <c r="AN27" s="305">
        <f t="shared" si="4"/>
        <v>0</v>
      </c>
      <c r="AO27" s="305">
        <f t="shared" si="4"/>
        <v>0</v>
      </c>
      <c r="AP27" s="305">
        <f t="shared" si="4"/>
        <v>0</v>
      </c>
      <c r="AQ27" s="305">
        <f t="shared" si="4"/>
        <v>0</v>
      </c>
      <c r="AR27" s="305">
        <f t="shared" si="4"/>
        <v>0</v>
      </c>
      <c r="AS27" s="305">
        <f t="shared" si="4"/>
        <v>0</v>
      </c>
      <c r="AT27" s="305">
        <f t="shared" si="4"/>
        <v>0</v>
      </c>
      <c r="AU27" s="305">
        <f t="shared" si="4"/>
        <v>0</v>
      </c>
      <c r="AV27" s="305">
        <f t="shared" si="4"/>
        <v>0</v>
      </c>
      <c r="AW27" s="305">
        <f t="shared" si="4"/>
        <v>0</v>
      </c>
      <c r="AX27" s="305">
        <f t="shared" si="4"/>
        <v>0</v>
      </c>
      <c r="AY27" s="305">
        <f t="shared" si="4"/>
        <v>500000</v>
      </c>
      <c r="AZ27" s="305">
        <f t="shared" si="4"/>
        <v>0</v>
      </c>
      <c r="BA27" s="305">
        <f t="shared" si="4"/>
        <v>0</v>
      </c>
      <c r="BB27" s="305">
        <f t="shared" si="4"/>
        <v>0</v>
      </c>
      <c r="BD27" s="304">
        <f t="shared" si="3"/>
        <v>0</v>
      </c>
    </row>
    <row r="28" spans="1:56" x14ac:dyDescent="0.25">
      <c r="A28" s="300" t="s">
        <v>156</v>
      </c>
      <c r="B28" s="259" t="str">
        <f>VLOOKUP(A28,'DFP-Com'!$A$16:$B$50,2,1)</f>
        <v xml:space="preserve">     3.1.a  Student Assessment</v>
      </c>
      <c r="C28" s="300" t="s">
        <v>240</v>
      </c>
      <c r="D28" s="236">
        <v>7200</v>
      </c>
      <c r="E28" s="300" t="s">
        <v>216</v>
      </c>
      <c r="H28" s="320"/>
      <c r="I28" s="303">
        <v>0.3</v>
      </c>
      <c r="J28" s="303">
        <v>0.7</v>
      </c>
      <c r="K28" s="303"/>
      <c r="Q28" s="303"/>
      <c r="R28" s="303"/>
      <c r="S28" s="303"/>
      <c r="T28" s="303"/>
      <c r="U28" s="303">
        <f t="shared" si="0"/>
        <v>1</v>
      </c>
      <c r="X28" s="305">
        <f t="shared" si="5"/>
        <v>0</v>
      </c>
      <c r="Y28" s="305">
        <f t="shared" si="5"/>
        <v>0</v>
      </c>
      <c r="Z28" s="305">
        <f t="shared" si="5"/>
        <v>0</v>
      </c>
      <c r="AA28" s="305">
        <f t="shared" si="5"/>
        <v>2160</v>
      </c>
      <c r="AB28" s="305">
        <f t="shared" si="5"/>
        <v>5040</v>
      </c>
      <c r="AC28" s="305">
        <f t="shared" si="5"/>
        <v>0</v>
      </c>
      <c r="AD28" s="305">
        <f t="shared" si="5"/>
        <v>0</v>
      </c>
      <c r="AE28" s="305">
        <f t="shared" si="5"/>
        <v>0</v>
      </c>
      <c r="AF28" s="305">
        <f t="shared" si="5"/>
        <v>0</v>
      </c>
      <c r="AG28" s="305">
        <f t="shared" si="5"/>
        <v>0</v>
      </c>
      <c r="AH28" s="305">
        <f t="shared" si="5"/>
        <v>0</v>
      </c>
      <c r="AI28" s="305">
        <f t="shared" si="5"/>
        <v>0</v>
      </c>
      <c r="AJ28" s="305">
        <f t="shared" si="5"/>
        <v>0</v>
      </c>
      <c r="AK28" s="305">
        <f t="shared" si="5"/>
        <v>0</v>
      </c>
      <c r="AL28" s="305">
        <f t="shared" si="5"/>
        <v>0</v>
      </c>
      <c r="AM28" s="242"/>
      <c r="AN28" s="305">
        <f t="shared" si="4"/>
        <v>0</v>
      </c>
      <c r="AO28" s="305">
        <f t="shared" si="4"/>
        <v>0</v>
      </c>
      <c r="AP28" s="305">
        <f t="shared" si="4"/>
        <v>0</v>
      </c>
      <c r="AQ28" s="305">
        <f t="shared" si="4"/>
        <v>7200</v>
      </c>
      <c r="AR28" s="305">
        <f t="shared" si="4"/>
        <v>0</v>
      </c>
      <c r="AS28" s="305">
        <f t="shared" si="4"/>
        <v>0</v>
      </c>
      <c r="AT28" s="305">
        <f t="shared" si="4"/>
        <v>0</v>
      </c>
      <c r="AU28" s="305">
        <f t="shared" si="4"/>
        <v>0</v>
      </c>
      <c r="AV28" s="305">
        <f t="shared" si="4"/>
        <v>0</v>
      </c>
      <c r="AW28" s="305">
        <f t="shared" si="4"/>
        <v>0</v>
      </c>
      <c r="AX28" s="305">
        <f t="shared" si="4"/>
        <v>0</v>
      </c>
      <c r="AY28" s="305">
        <f t="shared" si="4"/>
        <v>0</v>
      </c>
      <c r="AZ28" s="305">
        <f t="shared" si="4"/>
        <v>0</v>
      </c>
      <c r="BA28" s="305">
        <f t="shared" si="4"/>
        <v>0</v>
      </c>
      <c r="BB28" s="305">
        <f t="shared" si="4"/>
        <v>0</v>
      </c>
      <c r="BD28" s="304"/>
    </row>
    <row r="29" spans="1:56" x14ac:dyDescent="0.25">
      <c r="A29" s="300" t="s">
        <v>156</v>
      </c>
      <c r="B29" s="259" t="str">
        <f>VLOOKUP(A29,'DFP-Com'!$A$16:$B$50,2,1)</f>
        <v xml:space="preserve">     3.1.a  Student Assessment</v>
      </c>
      <c r="C29" s="300" t="s">
        <v>241</v>
      </c>
      <c r="D29" s="236">
        <v>19200</v>
      </c>
      <c r="E29" s="300" t="s">
        <v>216</v>
      </c>
      <c r="H29" s="320"/>
      <c r="I29" s="303">
        <v>0.3</v>
      </c>
      <c r="J29" s="303">
        <v>0.7</v>
      </c>
      <c r="K29" s="303"/>
      <c r="Q29" s="303"/>
      <c r="R29" s="303"/>
      <c r="S29" s="303"/>
      <c r="T29" s="303"/>
      <c r="U29" s="303">
        <f t="shared" si="0"/>
        <v>1</v>
      </c>
      <c r="X29" s="305">
        <f t="shared" si="5"/>
        <v>0</v>
      </c>
      <c r="Y29" s="305">
        <f t="shared" si="5"/>
        <v>0</v>
      </c>
      <c r="Z29" s="305">
        <f t="shared" si="5"/>
        <v>0</v>
      </c>
      <c r="AA29" s="305">
        <f t="shared" si="5"/>
        <v>5760</v>
      </c>
      <c r="AB29" s="305">
        <f t="shared" si="5"/>
        <v>13440</v>
      </c>
      <c r="AC29" s="305">
        <f t="shared" si="5"/>
        <v>0</v>
      </c>
      <c r="AD29" s="305">
        <f t="shared" si="5"/>
        <v>0</v>
      </c>
      <c r="AE29" s="305">
        <f t="shared" si="5"/>
        <v>0</v>
      </c>
      <c r="AF29" s="305">
        <f t="shared" si="5"/>
        <v>0</v>
      </c>
      <c r="AG29" s="305">
        <f t="shared" si="5"/>
        <v>0</v>
      </c>
      <c r="AH29" s="305">
        <f t="shared" si="5"/>
        <v>0</v>
      </c>
      <c r="AI29" s="305">
        <f t="shared" si="5"/>
        <v>0</v>
      </c>
      <c r="AJ29" s="305">
        <f t="shared" si="5"/>
        <v>0</v>
      </c>
      <c r="AK29" s="305">
        <f t="shared" si="5"/>
        <v>0</v>
      </c>
      <c r="AL29" s="305">
        <f t="shared" si="5"/>
        <v>0</v>
      </c>
      <c r="AM29" s="242"/>
      <c r="AN29" s="305">
        <f t="shared" si="4"/>
        <v>0</v>
      </c>
      <c r="AO29" s="305">
        <f t="shared" si="4"/>
        <v>0</v>
      </c>
      <c r="AP29" s="305">
        <f t="shared" si="4"/>
        <v>0</v>
      </c>
      <c r="AQ29" s="305">
        <f t="shared" si="4"/>
        <v>19200</v>
      </c>
      <c r="AR29" s="305">
        <f t="shared" si="4"/>
        <v>0</v>
      </c>
      <c r="AS29" s="305">
        <f t="shared" si="4"/>
        <v>0</v>
      </c>
      <c r="AT29" s="305">
        <f t="shared" si="4"/>
        <v>0</v>
      </c>
      <c r="AU29" s="305">
        <f t="shared" si="4"/>
        <v>0</v>
      </c>
      <c r="AV29" s="305">
        <f t="shared" si="4"/>
        <v>0</v>
      </c>
      <c r="AW29" s="305">
        <f t="shared" si="4"/>
        <v>0</v>
      </c>
      <c r="AX29" s="305">
        <f t="shared" si="4"/>
        <v>0</v>
      </c>
      <c r="AY29" s="305">
        <f t="shared" si="4"/>
        <v>0</v>
      </c>
      <c r="AZ29" s="305">
        <f t="shared" si="4"/>
        <v>0</v>
      </c>
      <c r="BA29" s="305">
        <f t="shared" si="4"/>
        <v>0</v>
      </c>
      <c r="BB29" s="305">
        <f t="shared" si="4"/>
        <v>0</v>
      </c>
      <c r="BD29" s="304"/>
    </row>
    <row r="30" spans="1:56" x14ac:dyDescent="0.25">
      <c r="A30" s="300" t="s">
        <v>156</v>
      </c>
      <c r="B30" s="259" t="str">
        <f>VLOOKUP(A30,'DFP-Com'!$A$16:$B$50,2,1)</f>
        <v xml:space="preserve">     3.1.a  Student Assessment</v>
      </c>
      <c r="C30" s="300" t="s">
        <v>242</v>
      </c>
      <c r="D30" s="236">
        <v>8000</v>
      </c>
      <c r="E30" s="300" t="s">
        <v>184</v>
      </c>
      <c r="H30" s="320">
        <v>0.5</v>
      </c>
      <c r="I30" s="303">
        <v>0.5</v>
      </c>
      <c r="Q30" s="303"/>
      <c r="R30" s="303"/>
      <c r="S30" s="303"/>
      <c r="T30" s="303"/>
      <c r="U30" s="303">
        <f t="shared" si="0"/>
        <v>1</v>
      </c>
      <c r="X30" s="305">
        <f t="shared" si="5"/>
        <v>0</v>
      </c>
      <c r="Y30" s="305">
        <f t="shared" si="5"/>
        <v>0</v>
      </c>
      <c r="Z30" s="305">
        <f t="shared" si="5"/>
        <v>4000</v>
      </c>
      <c r="AA30" s="305">
        <f t="shared" si="5"/>
        <v>4000</v>
      </c>
      <c r="AB30" s="305">
        <f t="shared" si="5"/>
        <v>0</v>
      </c>
      <c r="AC30" s="305">
        <f t="shared" si="5"/>
        <v>0</v>
      </c>
      <c r="AD30" s="305">
        <f t="shared" si="5"/>
        <v>0</v>
      </c>
      <c r="AE30" s="305">
        <f t="shared" si="5"/>
        <v>0</v>
      </c>
      <c r="AF30" s="305">
        <f t="shared" si="5"/>
        <v>0</v>
      </c>
      <c r="AG30" s="305">
        <f t="shared" si="5"/>
        <v>0</v>
      </c>
      <c r="AH30" s="305">
        <f t="shared" si="5"/>
        <v>0</v>
      </c>
      <c r="AI30" s="305">
        <f t="shared" si="5"/>
        <v>0</v>
      </c>
      <c r="AJ30" s="305">
        <f t="shared" si="5"/>
        <v>0</v>
      </c>
      <c r="AK30" s="305">
        <f t="shared" si="5"/>
        <v>0</v>
      </c>
      <c r="AL30" s="305">
        <f t="shared" si="5"/>
        <v>0</v>
      </c>
      <c r="AM30" s="242"/>
      <c r="AN30" s="305">
        <f t="shared" si="4"/>
        <v>0</v>
      </c>
      <c r="AO30" s="305">
        <f t="shared" si="4"/>
        <v>0</v>
      </c>
      <c r="AP30" s="305">
        <f t="shared" si="4"/>
        <v>8000</v>
      </c>
      <c r="AQ30" s="305">
        <f t="shared" si="4"/>
        <v>0</v>
      </c>
      <c r="AR30" s="305">
        <f t="shared" si="4"/>
        <v>0</v>
      </c>
      <c r="AS30" s="305">
        <f t="shared" si="4"/>
        <v>0</v>
      </c>
      <c r="AT30" s="305">
        <f t="shared" si="4"/>
        <v>0</v>
      </c>
      <c r="AU30" s="305">
        <f t="shared" si="4"/>
        <v>0</v>
      </c>
      <c r="AV30" s="305">
        <f t="shared" si="4"/>
        <v>0</v>
      </c>
      <c r="AW30" s="305">
        <f t="shared" si="4"/>
        <v>0</v>
      </c>
      <c r="AX30" s="305">
        <f t="shared" si="4"/>
        <v>0</v>
      </c>
      <c r="AY30" s="305">
        <f t="shared" si="4"/>
        <v>0</v>
      </c>
      <c r="AZ30" s="305">
        <f t="shared" si="4"/>
        <v>0</v>
      </c>
      <c r="BA30" s="305">
        <f t="shared" si="4"/>
        <v>0</v>
      </c>
      <c r="BB30" s="305">
        <f t="shared" si="4"/>
        <v>0</v>
      </c>
      <c r="BD30" s="304"/>
    </row>
    <row r="31" spans="1:56" x14ac:dyDescent="0.25">
      <c r="A31" s="300" t="s">
        <v>156</v>
      </c>
      <c r="B31" s="259" t="str">
        <f>VLOOKUP(A31,'DFP-Com'!$A$16:$B$50,2,1)</f>
        <v xml:space="preserve">     3.1.a  Student Assessment</v>
      </c>
      <c r="C31" s="300" t="s">
        <v>243</v>
      </c>
      <c r="D31" s="236">
        <v>72000</v>
      </c>
      <c r="E31" s="300" t="s">
        <v>184</v>
      </c>
      <c r="H31" s="320">
        <v>8.3333333333333301E-2</v>
      </c>
      <c r="I31" s="303">
        <v>8.3333333333333301E-2</v>
      </c>
      <c r="J31" s="303">
        <v>8.3333333333333301E-2</v>
      </c>
      <c r="K31" s="303">
        <v>8.3333333333333301E-2</v>
      </c>
      <c r="L31" s="303">
        <v>8.3333333333333301E-2</v>
      </c>
      <c r="M31" s="303">
        <v>8.3333333333333301E-2</v>
      </c>
      <c r="N31" s="303">
        <v>8.3333333333333301E-2</v>
      </c>
      <c r="O31" s="303">
        <v>8.3333333333333301E-2</v>
      </c>
      <c r="P31" s="303">
        <v>8.3333333333333301E-2</v>
      </c>
      <c r="Q31" s="303">
        <v>8.3333333333333301E-2</v>
      </c>
      <c r="R31" s="303">
        <v>8.3333333333333301E-2</v>
      </c>
      <c r="S31" s="303">
        <v>8.3333333333333301E-2</v>
      </c>
      <c r="T31" s="303"/>
      <c r="U31" s="303">
        <f t="shared" si="0"/>
        <v>0.99999999999999944</v>
      </c>
      <c r="X31" s="305">
        <f t="shared" si="5"/>
        <v>0</v>
      </c>
      <c r="Y31" s="305">
        <f t="shared" si="5"/>
        <v>0</v>
      </c>
      <c r="Z31" s="305">
        <f t="shared" si="5"/>
        <v>5999.9999999999973</v>
      </c>
      <c r="AA31" s="305">
        <f t="shared" si="5"/>
        <v>5999.9999999999973</v>
      </c>
      <c r="AB31" s="305">
        <f t="shared" si="5"/>
        <v>5999.9999999999973</v>
      </c>
      <c r="AC31" s="305">
        <f t="shared" si="5"/>
        <v>5999.9999999999973</v>
      </c>
      <c r="AD31" s="305">
        <f t="shared" si="5"/>
        <v>5999.9999999999973</v>
      </c>
      <c r="AE31" s="305">
        <f t="shared" si="5"/>
        <v>5999.9999999999973</v>
      </c>
      <c r="AF31" s="305">
        <f t="shared" si="5"/>
        <v>5999.9999999999973</v>
      </c>
      <c r="AG31" s="305">
        <f t="shared" si="5"/>
        <v>5999.9999999999973</v>
      </c>
      <c r="AH31" s="305">
        <f t="shared" si="5"/>
        <v>5999.9999999999973</v>
      </c>
      <c r="AI31" s="305">
        <f t="shared" si="5"/>
        <v>5999.9999999999973</v>
      </c>
      <c r="AJ31" s="305">
        <f t="shared" si="5"/>
        <v>5999.9999999999973</v>
      </c>
      <c r="AK31" s="305">
        <f t="shared" si="5"/>
        <v>5999.9999999999973</v>
      </c>
      <c r="AL31" s="305">
        <f t="shared" si="5"/>
        <v>0</v>
      </c>
      <c r="AM31" s="242"/>
      <c r="AN31" s="305">
        <f t="shared" si="4"/>
        <v>0</v>
      </c>
      <c r="AO31" s="305">
        <f t="shared" si="4"/>
        <v>0</v>
      </c>
      <c r="AP31" s="305">
        <f t="shared" si="4"/>
        <v>72000</v>
      </c>
      <c r="AQ31" s="305">
        <f t="shared" si="4"/>
        <v>0</v>
      </c>
      <c r="AR31" s="305">
        <f t="shared" si="4"/>
        <v>0</v>
      </c>
      <c r="AS31" s="305">
        <f t="shared" si="4"/>
        <v>0</v>
      </c>
      <c r="AT31" s="305">
        <f t="shared" si="4"/>
        <v>0</v>
      </c>
      <c r="AU31" s="305">
        <f t="shared" si="4"/>
        <v>0</v>
      </c>
      <c r="AV31" s="305">
        <f t="shared" si="4"/>
        <v>0</v>
      </c>
      <c r="AW31" s="305">
        <f t="shared" si="4"/>
        <v>0</v>
      </c>
      <c r="AX31" s="305">
        <f t="shared" si="4"/>
        <v>0</v>
      </c>
      <c r="AY31" s="305">
        <f t="shared" si="4"/>
        <v>0</v>
      </c>
      <c r="AZ31" s="305">
        <f t="shared" si="4"/>
        <v>0</v>
      </c>
      <c r="BA31" s="305">
        <f t="shared" si="4"/>
        <v>0</v>
      </c>
      <c r="BB31" s="305">
        <f t="shared" si="4"/>
        <v>0</v>
      </c>
      <c r="BD31" s="304"/>
    </row>
    <row r="32" spans="1:56" x14ac:dyDescent="0.25">
      <c r="A32" s="300" t="s">
        <v>157</v>
      </c>
      <c r="B32" s="259" t="str">
        <f>VLOOKUP(A32,'DFP-Com'!$A$16:$B$50,2,1)</f>
        <v xml:space="preserve">     3.1.b  Teacher Evaluations</v>
      </c>
      <c r="C32" s="250" t="s">
        <v>229</v>
      </c>
      <c r="D32" s="236">
        <v>100000</v>
      </c>
      <c r="E32" s="300" t="s">
        <v>216</v>
      </c>
      <c r="I32" s="303">
        <v>0.25</v>
      </c>
      <c r="J32" s="303">
        <v>0.25</v>
      </c>
      <c r="K32" s="303">
        <v>0.25</v>
      </c>
      <c r="L32" s="303">
        <v>0.25</v>
      </c>
      <c r="U32" s="303">
        <f t="shared" si="0"/>
        <v>1</v>
      </c>
      <c r="X32" s="305">
        <f t="shared" si="5"/>
        <v>0</v>
      </c>
      <c r="Y32" s="305">
        <f t="shared" si="5"/>
        <v>0</v>
      </c>
      <c r="Z32" s="305">
        <f t="shared" si="5"/>
        <v>0</v>
      </c>
      <c r="AA32" s="305">
        <f t="shared" si="5"/>
        <v>25000</v>
      </c>
      <c r="AB32" s="305">
        <f t="shared" si="5"/>
        <v>25000</v>
      </c>
      <c r="AC32" s="305">
        <f t="shared" si="5"/>
        <v>25000</v>
      </c>
      <c r="AD32" s="305">
        <f t="shared" si="5"/>
        <v>25000</v>
      </c>
      <c r="AE32" s="305">
        <f t="shared" si="5"/>
        <v>0</v>
      </c>
      <c r="AF32" s="305">
        <f t="shared" si="5"/>
        <v>0</v>
      </c>
      <c r="AG32" s="305">
        <f t="shared" si="5"/>
        <v>0</v>
      </c>
      <c r="AH32" s="305">
        <f t="shared" si="5"/>
        <v>0</v>
      </c>
      <c r="AI32" s="305">
        <f t="shared" si="5"/>
        <v>0</v>
      </c>
      <c r="AJ32" s="305">
        <f t="shared" si="5"/>
        <v>0</v>
      </c>
      <c r="AK32" s="305">
        <f t="shared" si="5"/>
        <v>0</v>
      </c>
      <c r="AL32" s="305">
        <f t="shared" si="5"/>
        <v>0</v>
      </c>
      <c r="AM32" s="242"/>
      <c r="AN32" s="305">
        <f t="shared" si="4"/>
        <v>0</v>
      </c>
      <c r="AO32" s="305">
        <f t="shared" si="4"/>
        <v>0</v>
      </c>
      <c r="AP32" s="305">
        <f t="shared" si="4"/>
        <v>0</v>
      </c>
      <c r="AQ32" s="305">
        <f t="shared" si="4"/>
        <v>100000</v>
      </c>
      <c r="AR32" s="305">
        <f t="shared" si="4"/>
        <v>0</v>
      </c>
      <c r="AS32" s="305">
        <f t="shared" si="4"/>
        <v>0</v>
      </c>
      <c r="AT32" s="305">
        <f t="shared" si="4"/>
        <v>0</v>
      </c>
      <c r="AU32" s="305">
        <f t="shared" si="4"/>
        <v>0</v>
      </c>
      <c r="AV32" s="305">
        <f t="shared" si="4"/>
        <v>0</v>
      </c>
      <c r="AW32" s="305">
        <f t="shared" si="4"/>
        <v>0</v>
      </c>
      <c r="AX32" s="305">
        <f t="shared" si="4"/>
        <v>0</v>
      </c>
      <c r="AY32" s="305">
        <f t="shared" si="4"/>
        <v>0</v>
      </c>
      <c r="AZ32" s="305">
        <f t="shared" si="4"/>
        <v>0</v>
      </c>
      <c r="BA32" s="305">
        <f t="shared" si="4"/>
        <v>0</v>
      </c>
      <c r="BB32" s="305">
        <f t="shared" si="4"/>
        <v>0</v>
      </c>
      <c r="BD32" s="304">
        <f t="shared" ref="BD32:BD38" si="6">SUM(X32:AL32)-SUM(AN32:BB32)</f>
        <v>0</v>
      </c>
    </row>
    <row r="33" spans="1:56" x14ac:dyDescent="0.25">
      <c r="A33" s="300" t="s">
        <v>157</v>
      </c>
      <c r="B33" s="259" t="str">
        <f>VLOOKUP(A33,'DFP-Com'!$A$16:$B$50,2,1)</f>
        <v xml:space="preserve">     3.1.b  Teacher Evaluations</v>
      </c>
      <c r="C33" s="250" t="s">
        <v>229</v>
      </c>
      <c r="D33" s="236">
        <v>200000</v>
      </c>
      <c r="E33" s="300" t="s">
        <v>230</v>
      </c>
      <c r="Q33" s="303">
        <v>0.25</v>
      </c>
      <c r="R33" s="303">
        <v>0.25</v>
      </c>
      <c r="S33" s="303">
        <v>0.25</v>
      </c>
      <c r="T33" s="303">
        <v>0.25</v>
      </c>
      <c r="U33" s="303">
        <f t="shared" si="0"/>
        <v>1</v>
      </c>
      <c r="X33" s="305">
        <f t="shared" si="5"/>
        <v>0</v>
      </c>
      <c r="Y33" s="305">
        <f t="shared" si="5"/>
        <v>0</v>
      </c>
      <c r="Z33" s="305">
        <f t="shared" si="5"/>
        <v>0</v>
      </c>
      <c r="AA33" s="305">
        <f t="shared" si="5"/>
        <v>0</v>
      </c>
      <c r="AB33" s="305">
        <f t="shared" si="5"/>
        <v>0</v>
      </c>
      <c r="AC33" s="305">
        <f t="shared" si="5"/>
        <v>0</v>
      </c>
      <c r="AD33" s="305">
        <f t="shared" si="5"/>
        <v>0</v>
      </c>
      <c r="AE33" s="305">
        <f t="shared" si="5"/>
        <v>0</v>
      </c>
      <c r="AF33" s="305">
        <f t="shared" si="5"/>
        <v>0</v>
      </c>
      <c r="AG33" s="305">
        <f t="shared" si="5"/>
        <v>0</v>
      </c>
      <c r="AH33" s="305">
        <f t="shared" si="5"/>
        <v>0</v>
      </c>
      <c r="AI33" s="305">
        <f t="shared" si="5"/>
        <v>50000</v>
      </c>
      <c r="AJ33" s="305">
        <f t="shared" si="5"/>
        <v>50000</v>
      </c>
      <c r="AK33" s="305">
        <f t="shared" si="5"/>
        <v>50000</v>
      </c>
      <c r="AL33" s="305">
        <f t="shared" si="5"/>
        <v>50000</v>
      </c>
      <c r="AM33" s="242"/>
      <c r="AN33" s="305">
        <f t="shared" si="4"/>
        <v>0</v>
      </c>
      <c r="AO33" s="305">
        <f t="shared" si="4"/>
        <v>0</v>
      </c>
      <c r="AP33" s="305">
        <f t="shared" si="4"/>
        <v>0</v>
      </c>
      <c r="AQ33" s="305">
        <f t="shared" si="4"/>
        <v>0</v>
      </c>
      <c r="AR33" s="305">
        <f t="shared" si="4"/>
        <v>0</v>
      </c>
      <c r="AS33" s="305">
        <f t="shared" si="4"/>
        <v>0</v>
      </c>
      <c r="AT33" s="305">
        <f t="shared" si="4"/>
        <v>0</v>
      </c>
      <c r="AU33" s="305">
        <f t="shared" si="4"/>
        <v>0</v>
      </c>
      <c r="AV33" s="305">
        <f t="shared" si="4"/>
        <v>0</v>
      </c>
      <c r="AW33" s="305">
        <f t="shared" si="4"/>
        <v>0</v>
      </c>
      <c r="AX33" s="305">
        <f t="shared" si="4"/>
        <v>0</v>
      </c>
      <c r="AY33" s="305">
        <f t="shared" si="4"/>
        <v>0</v>
      </c>
      <c r="AZ33" s="305">
        <f t="shared" si="4"/>
        <v>0</v>
      </c>
      <c r="BA33" s="305">
        <f t="shared" si="4"/>
        <v>0</v>
      </c>
      <c r="BB33" s="305">
        <f t="shared" si="4"/>
        <v>200000</v>
      </c>
      <c r="BD33" s="304">
        <f t="shared" si="6"/>
        <v>0</v>
      </c>
    </row>
    <row r="34" spans="1:56" x14ac:dyDescent="0.25">
      <c r="A34" s="300" t="s">
        <v>158</v>
      </c>
      <c r="B34" s="259" t="str">
        <f>VLOOKUP(A34,'DFP-Com'!$A$16:$B$50,2,1)</f>
        <v xml:space="preserve">     3.1.c  Voc Ed Tracer Studies</v>
      </c>
      <c r="C34" s="250" t="s">
        <v>229</v>
      </c>
      <c r="D34" s="236">
        <v>100000</v>
      </c>
      <c r="E34" s="300" t="s">
        <v>198</v>
      </c>
      <c r="L34" s="303">
        <v>0.25</v>
      </c>
      <c r="M34" s="303">
        <v>0.25</v>
      </c>
      <c r="N34" s="303">
        <v>0.25</v>
      </c>
      <c r="O34" s="303">
        <v>0.25</v>
      </c>
      <c r="U34" s="303">
        <f t="shared" si="0"/>
        <v>1</v>
      </c>
      <c r="X34" s="305">
        <f t="shared" si="5"/>
        <v>0</v>
      </c>
      <c r="Y34" s="305">
        <f t="shared" si="5"/>
        <v>0</v>
      </c>
      <c r="Z34" s="305">
        <f t="shared" si="5"/>
        <v>0</v>
      </c>
      <c r="AA34" s="305">
        <f t="shared" si="5"/>
        <v>0</v>
      </c>
      <c r="AB34" s="305">
        <f t="shared" si="5"/>
        <v>0</v>
      </c>
      <c r="AC34" s="305">
        <f t="shared" si="5"/>
        <v>0</v>
      </c>
      <c r="AD34" s="305">
        <f t="shared" si="5"/>
        <v>25000</v>
      </c>
      <c r="AE34" s="305">
        <f t="shared" si="5"/>
        <v>25000</v>
      </c>
      <c r="AF34" s="305">
        <f t="shared" si="5"/>
        <v>25000</v>
      </c>
      <c r="AG34" s="305">
        <f t="shared" si="5"/>
        <v>25000</v>
      </c>
      <c r="AH34" s="305">
        <f t="shared" si="5"/>
        <v>0</v>
      </c>
      <c r="AI34" s="305">
        <f t="shared" si="5"/>
        <v>0</v>
      </c>
      <c r="AJ34" s="305">
        <f t="shared" si="5"/>
        <v>0</v>
      </c>
      <c r="AK34" s="305">
        <f t="shared" si="5"/>
        <v>0</v>
      </c>
      <c r="AL34" s="305">
        <f t="shared" si="5"/>
        <v>0</v>
      </c>
      <c r="AM34" s="242"/>
      <c r="AN34" s="305">
        <f t="shared" si="4"/>
        <v>0</v>
      </c>
      <c r="AO34" s="305">
        <f t="shared" si="4"/>
        <v>0</v>
      </c>
      <c r="AP34" s="305">
        <f t="shared" si="4"/>
        <v>0</v>
      </c>
      <c r="AQ34" s="305">
        <f t="shared" si="4"/>
        <v>0</v>
      </c>
      <c r="AR34" s="305">
        <f t="shared" si="4"/>
        <v>0</v>
      </c>
      <c r="AS34" s="305">
        <f t="shared" si="4"/>
        <v>0</v>
      </c>
      <c r="AT34" s="305">
        <f t="shared" si="4"/>
        <v>100000</v>
      </c>
      <c r="AU34" s="305">
        <f t="shared" si="4"/>
        <v>0</v>
      </c>
      <c r="AV34" s="305">
        <f t="shared" si="4"/>
        <v>0</v>
      </c>
      <c r="AW34" s="305">
        <f t="shared" si="4"/>
        <v>0</v>
      </c>
      <c r="AX34" s="305">
        <f t="shared" si="4"/>
        <v>0</v>
      </c>
      <c r="AY34" s="305">
        <f t="shared" si="4"/>
        <v>0</v>
      </c>
      <c r="AZ34" s="305">
        <f t="shared" si="4"/>
        <v>0</v>
      </c>
      <c r="BA34" s="305">
        <f t="shared" si="4"/>
        <v>0</v>
      </c>
      <c r="BB34" s="305">
        <f t="shared" si="4"/>
        <v>0</v>
      </c>
      <c r="BD34" s="304">
        <f t="shared" si="6"/>
        <v>0</v>
      </c>
    </row>
    <row r="35" spans="1:56" x14ac:dyDescent="0.25">
      <c r="A35" s="300" t="s">
        <v>158</v>
      </c>
      <c r="B35" s="259" t="str">
        <f>VLOOKUP(A35,'DFP-Com'!$A$16:$B$50,2,1)</f>
        <v xml:space="preserve">     3.1.c  Voc Ed Tracer Studies</v>
      </c>
      <c r="C35" s="250" t="s">
        <v>229</v>
      </c>
      <c r="D35" s="236">
        <v>200000</v>
      </c>
      <c r="E35" s="300" t="s">
        <v>230</v>
      </c>
      <c r="Q35" s="303">
        <v>0.25</v>
      </c>
      <c r="R35" s="303">
        <v>0.25</v>
      </c>
      <c r="S35" s="303">
        <v>0.25</v>
      </c>
      <c r="T35" s="303">
        <v>0.25</v>
      </c>
      <c r="U35" s="303">
        <f t="shared" si="0"/>
        <v>1</v>
      </c>
      <c r="X35" s="305">
        <f t="shared" si="5"/>
        <v>0</v>
      </c>
      <c r="Y35" s="305">
        <f t="shared" si="5"/>
        <v>0</v>
      </c>
      <c r="Z35" s="305">
        <f t="shared" si="5"/>
        <v>0</v>
      </c>
      <c r="AA35" s="305">
        <f t="shared" si="5"/>
        <v>0</v>
      </c>
      <c r="AB35" s="305">
        <f t="shared" si="5"/>
        <v>0</v>
      </c>
      <c r="AC35" s="305">
        <f t="shared" si="5"/>
        <v>0</v>
      </c>
      <c r="AD35" s="305">
        <f t="shared" si="5"/>
        <v>0</v>
      </c>
      <c r="AE35" s="305">
        <f t="shared" si="5"/>
        <v>0</v>
      </c>
      <c r="AF35" s="305">
        <f t="shared" si="5"/>
        <v>0</v>
      </c>
      <c r="AG35" s="305">
        <f t="shared" si="5"/>
        <v>0</v>
      </c>
      <c r="AH35" s="305">
        <f t="shared" si="5"/>
        <v>0</v>
      </c>
      <c r="AI35" s="305">
        <f t="shared" si="5"/>
        <v>50000</v>
      </c>
      <c r="AJ35" s="305">
        <f t="shared" si="5"/>
        <v>50000</v>
      </c>
      <c r="AK35" s="305">
        <f t="shared" si="5"/>
        <v>50000</v>
      </c>
      <c r="AL35" s="305">
        <f t="shared" si="5"/>
        <v>50000</v>
      </c>
      <c r="AM35" s="242"/>
      <c r="AN35" s="305">
        <f t="shared" si="4"/>
        <v>0</v>
      </c>
      <c r="AO35" s="305">
        <f t="shared" si="4"/>
        <v>0</v>
      </c>
      <c r="AP35" s="305">
        <f t="shared" si="4"/>
        <v>0</v>
      </c>
      <c r="AQ35" s="305">
        <f t="shared" si="4"/>
        <v>0</v>
      </c>
      <c r="AR35" s="305">
        <f t="shared" si="4"/>
        <v>0</v>
      </c>
      <c r="AS35" s="305">
        <f t="shared" si="4"/>
        <v>0</v>
      </c>
      <c r="AT35" s="305">
        <f t="shared" si="4"/>
        <v>0</v>
      </c>
      <c r="AU35" s="305">
        <f t="shared" si="4"/>
        <v>0</v>
      </c>
      <c r="AV35" s="305">
        <f t="shared" si="4"/>
        <v>0</v>
      </c>
      <c r="AW35" s="305">
        <f t="shared" si="4"/>
        <v>0</v>
      </c>
      <c r="AX35" s="305">
        <f t="shared" si="4"/>
        <v>0</v>
      </c>
      <c r="AY35" s="305">
        <f t="shared" si="4"/>
        <v>0</v>
      </c>
      <c r="AZ35" s="305">
        <f t="shared" si="4"/>
        <v>0</v>
      </c>
      <c r="BA35" s="305">
        <f t="shared" si="4"/>
        <v>0</v>
      </c>
      <c r="BB35" s="305">
        <f t="shared" si="4"/>
        <v>200000</v>
      </c>
      <c r="BD35" s="304">
        <f t="shared" si="6"/>
        <v>0</v>
      </c>
    </row>
    <row r="36" spans="1:56" x14ac:dyDescent="0.25">
      <c r="A36" s="300" t="s">
        <v>159</v>
      </c>
      <c r="B36" s="259" t="str">
        <f>VLOOKUP(A36,'DFP-Com'!$A$16:$B$50,2,1)</f>
        <v xml:space="preserve">     3.1 d Other</v>
      </c>
      <c r="C36" s="250" t="s">
        <v>229</v>
      </c>
      <c r="D36" s="236">
        <v>200000</v>
      </c>
      <c r="E36" s="300" t="s">
        <v>230</v>
      </c>
      <c r="Q36" s="303">
        <v>0.25</v>
      </c>
      <c r="R36" s="303">
        <v>0.25</v>
      </c>
      <c r="S36" s="303">
        <v>0.25</v>
      </c>
      <c r="T36" s="303">
        <v>0.25</v>
      </c>
      <c r="U36" s="303">
        <f t="shared" si="0"/>
        <v>1</v>
      </c>
      <c r="X36" s="305">
        <f t="shared" si="5"/>
        <v>0</v>
      </c>
      <c r="Y36" s="305">
        <f t="shared" si="5"/>
        <v>0</v>
      </c>
      <c r="Z36" s="305">
        <f t="shared" si="5"/>
        <v>0</v>
      </c>
      <c r="AA36" s="305">
        <f t="shared" si="5"/>
        <v>0</v>
      </c>
      <c r="AB36" s="305">
        <f t="shared" si="5"/>
        <v>0</v>
      </c>
      <c r="AC36" s="305">
        <f t="shared" si="5"/>
        <v>0</v>
      </c>
      <c r="AD36" s="305">
        <f t="shared" si="5"/>
        <v>0</v>
      </c>
      <c r="AE36" s="305">
        <f t="shared" si="5"/>
        <v>0</v>
      </c>
      <c r="AF36" s="305">
        <f t="shared" si="5"/>
        <v>0</v>
      </c>
      <c r="AG36" s="305">
        <f t="shared" si="5"/>
        <v>0</v>
      </c>
      <c r="AH36" s="305">
        <f t="shared" si="5"/>
        <v>0</v>
      </c>
      <c r="AI36" s="305">
        <f t="shared" si="5"/>
        <v>50000</v>
      </c>
      <c r="AJ36" s="305">
        <f t="shared" si="5"/>
        <v>50000</v>
      </c>
      <c r="AK36" s="305">
        <f t="shared" si="5"/>
        <v>50000</v>
      </c>
      <c r="AL36" s="305">
        <f t="shared" si="5"/>
        <v>50000</v>
      </c>
      <c r="AM36" s="242"/>
      <c r="AN36" s="305">
        <f t="shared" ref="AN36:BB38" si="7">IF(AN$3=$E36,$D36,0)</f>
        <v>0</v>
      </c>
      <c r="AO36" s="305">
        <f t="shared" si="7"/>
        <v>0</v>
      </c>
      <c r="AP36" s="305">
        <f t="shared" si="7"/>
        <v>0</v>
      </c>
      <c r="AQ36" s="305">
        <f t="shared" si="7"/>
        <v>0</v>
      </c>
      <c r="AR36" s="305">
        <f t="shared" si="7"/>
        <v>0</v>
      </c>
      <c r="AS36" s="305">
        <f t="shared" si="7"/>
        <v>0</v>
      </c>
      <c r="AT36" s="305">
        <f t="shared" si="7"/>
        <v>0</v>
      </c>
      <c r="AU36" s="305">
        <f t="shared" si="7"/>
        <v>0</v>
      </c>
      <c r="AV36" s="305">
        <f t="shared" si="7"/>
        <v>0</v>
      </c>
      <c r="AW36" s="305">
        <f t="shared" si="7"/>
        <v>0</v>
      </c>
      <c r="AX36" s="305">
        <f t="shared" si="7"/>
        <v>0</v>
      </c>
      <c r="AY36" s="305">
        <f t="shared" si="7"/>
        <v>0</v>
      </c>
      <c r="AZ36" s="305">
        <f t="shared" si="7"/>
        <v>0</v>
      </c>
      <c r="BA36" s="305">
        <f t="shared" si="7"/>
        <v>0</v>
      </c>
      <c r="BB36" s="305">
        <f t="shared" si="7"/>
        <v>200000</v>
      </c>
      <c r="BD36" s="304">
        <f t="shared" si="6"/>
        <v>0</v>
      </c>
    </row>
    <row r="37" spans="1:56" x14ac:dyDescent="0.25">
      <c r="A37" s="300" t="s">
        <v>162</v>
      </c>
      <c r="B37" s="259" t="str">
        <f>VLOOKUP(A37,'DFP-Com'!$A$16:$B$50,2,1)</f>
        <v xml:space="preserve">     4.1.c  Audit</v>
      </c>
      <c r="C37" s="250" t="s">
        <v>200</v>
      </c>
      <c r="D37" s="326">
        <v>90000</v>
      </c>
      <c r="E37" s="300" t="s">
        <v>213</v>
      </c>
      <c r="K37" s="240"/>
      <c r="L37" s="240">
        <f>1/6</f>
        <v>0.16666666666666666</v>
      </c>
      <c r="M37" s="240">
        <f>1/6</f>
        <v>0.16666666666666666</v>
      </c>
      <c r="P37" s="240">
        <f>1/6</f>
        <v>0.16666666666666666</v>
      </c>
      <c r="Q37" s="240">
        <f>1/6</f>
        <v>0.16666666666666666</v>
      </c>
      <c r="T37" s="240">
        <f>1/3</f>
        <v>0.33333333333333331</v>
      </c>
      <c r="U37" s="303">
        <f t="shared" si="0"/>
        <v>1</v>
      </c>
      <c r="X37" s="305">
        <f t="shared" si="5"/>
        <v>0</v>
      </c>
      <c r="Y37" s="305">
        <f t="shared" si="5"/>
        <v>0</v>
      </c>
      <c r="Z37" s="305">
        <f t="shared" si="5"/>
        <v>0</v>
      </c>
      <c r="AA37" s="305">
        <f t="shared" si="5"/>
        <v>0</v>
      </c>
      <c r="AB37" s="305">
        <f t="shared" si="5"/>
        <v>0</v>
      </c>
      <c r="AC37" s="305">
        <f t="shared" si="5"/>
        <v>0</v>
      </c>
      <c r="AD37" s="305">
        <f t="shared" si="5"/>
        <v>15000</v>
      </c>
      <c r="AE37" s="305">
        <f t="shared" si="5"/>
        <v>15000</v>
      </c>
      <c r="AF37" s="305">
        <f t="shared" si="5"/>
        <v>0</v>
      </c>
      <c r="AG37" s="305">
        <f t="shared" si="5"/>
        <v>0</v>
      </c>
      <c r="AH37" s="305">
        <f t="shared" si="5"/>
        <v>15000</v>
      </c>
      <c r="AI37" s="305">
        <f t="shared" si="5"/>
        <v>15000</v>
      </c>
      <c r="AJ37" s="305">
        <f t="shared" si="5"/>
        <v>0</v>
      </c>
      <c r="AK37" s="305">
        <f t="shared" si="5"/>
        <v>0</v>
      </c>
      <c r="AL37" s="305">
        <f t="shared" si="5"/>
        <v>30000</v>
      </c>
      <c r="AM37" s="242"/>
      <c r="AN37" s="305">
        <f t="shared" si="7"/>
        <v>0</v>
      </c>
      <c r="AO37" s="305">
        <f t="shared" si="7"/>
        <v>0</v>
      </c>
      <c r="AP37" s="305">
        <f t="shared" si="7"/>
        <v>0</v>
      </c>
      <c r="AQ37" s="305">
        <f t="shared" si="7"/>
        <v>0</v>
      </c>
      <c r="AR37" s="305">
        <f t="shared" si="7"/>
        <v>90000</v>
      </c>
      <c r="AS37" s="305">
        <f t="shared" si="7"/>
        <v>0</v>
      </c>
      <c r="AT37" s="305">
        <f t="shared" si="7"/>
        <v>0</v>
      </c>
      <c r="AU37" s="305">
        <f t="shared" si="7"/>
        <v>0</v>
      </c>
      <c r="AV37" s="305">
        <f t="shared" si="7"/>
        <v>0</v>
      </c>
      <c r="AW37" s="305">
        <f t="shared" si="7"/>
        <v>0</v>
      </c>
      <c r="AX37" s="305">
        <f t="shared" si="7"/>
        <v>0</v>
      </c>
      <c r="AY37" s="305">
        <f t="shared" si="7"/>
        <v>0</v>
      </c>
      <c r="AZ37" s="305">
        <f t="shared" si="7"/>
        <v>0</v>
      </c>
      <c r="BA37" s="305">
        <f t="shared" si="7"/>
        <v>0</v>
      </c>
      <c r="BB37" s="305">
        <f t="shared" si="7"/>
        <v>0</v>
      </c>
      <c r="BD37" s="304">
        <f t="shared" si="6"/>
        <v>0</v>
      </c>
    </row>
    <row r="38" spans="1:56" x14ac:dyDescent="0.25">
      <c r="A38" s="300" t="s">
        <v>163</v>
      </c>
      <c r="B38" s="259" t="str">
        <f>VLOOKUP(A38,'DFP-Com'!$A$16:$B$50,2,1)</f>
        <v xml:space="preserve">     4.1.d  Other</v>
      </c>
      <c r="C38" s="250" t="s">
        <v>201</v>
      </c>
      <c r="D38" s="316">
        <v>11500</v>
      </c>
      <c r="E38" s="300" t="s">
        <v>212</v>
      </c>
      <c r="G38" s="315">
        <v>0.67</v>
      </c>
      <c r="H38" s="321">
        <v>0.33</v>
      </c>
      <c r="U38" s="303">
        <f t="shared" si="0"/>
        <v>1</v>
      </c>
      <c r="X38" s="305">
        <f t="shared" ref="X38:AL38" si="8">F38*$D38</f>
        <v>0</v>
      </c>
      <c r="Y38" s="305">
        <f t="shared" si="8"/>
        <v>7705.0000000000009</v>
      </c>
      <c r="Z38" s="305">
        <f t="shared" si="8"/>
        <v>3795</v>
      </c>
      <c r="AA38" s="305">
        <f t="shared" si="8"/>
        <v>0</v>
      </c>
      <c r="AB38" s="305">
        <f t="shared" si="8"/>
        <v>0</v>
      </c>
      <c r="AC38" s="305">
        <f t="shared" si="8"/>
        <v>0</v>
      </c>
      <c r="AD38" s="305">
        <f t="shared" si="8"/>
        <v>0</v>
      </c>
      <c r="AE38" s="305">
        <f t="shared" si="8"/>
        <v>0</v>
      </c>
      <c r="AF38" s="305">
        <f t="shared" si="8"/>
        <v>0</v>
      </c>
      <c r="AG38" s="305">
        <f t="shared" si="8"/>
        <v>0</v>
      </c>
      <c r="AH38" s="305">
        <f t="shared" si="8"/>
        <v>0</v>
      </c>
      <c r="AI38" s="305">
        <f t="shared" si="8"/>
        <v>0</v>
      </c>
      <c r="AJ38" s="305">
        <f t="shared" si="8"/>
        <v>0</v>
      </c>
      <c r="AK38" s="305">
        <f t="shared" si="8"/>
        <v>0</v>
      </c>
      <c r="AL38" s="305">
        <f t="shared" si="8"/>
        <v>0</v>
      </c>
      <c r="AM38" s="242"/>
      <c r="AN38" s="305">
        <f t="shared" si="7"/>
        <v>0</v>
      </c>
      <c r="AO38" s="305">
        <f t="shared" si="7"/>
        <v>11500</v>
      </c>
      <c r="AP38" s="305">
        <f t="shared" si="7"/>
        <v>0</v>
      </c>
      <c r="AQ38" s="305">
        <f t="shared" si="7"/>
        <v>0</v>
      </c>
      <c r="AR38" s="305">
        <f t="shared" si="7"/>
        <v>0</v>
      </c>
      <c r="AS38" s="305">
        <f t="shared" si="7"/>
        <v>0</v>
      </c>
      <c r="AT38" s="305">
        <f t="shared" si="7"/>
        <v>0</v>
      </c>
      <c r="AU38" s="305">
        <f t="shared" si="7"/>
        <v>0</v>
      </c>
      <c r="AV38" s="305">
        <f t="shared" si="7"/>
        <v>0</v>
      </c>
      <c r="AW38" s="305">
        <f t="shared" si="7"/>
        <v>0</v>
      </c>
      <c r="AX38" s="305">
        <f t="shared" si="7"/>
        <v>0</v>
      </c>
      <c r="AY38" s="305">
        <f t="shared" si="7"/>
        <v>0</v>
      </c>
      <c r="AZ38" s="305">
        <f t="shared" si="7"/>
        <v>0</v>
      </c>
      <c r="BA38" s="305">
        <f t="shared" si="7"/>
        <v>0</v>
      </c>
      <c r="BB38" s="305">
        <f t="shared" si="7"/>
        <v>0</v>
      </c>
      <c r="BD38" s="304">
        <f t="shared" si="6"/>
        <v>0</v>
      </c>
    </row>
    <row r="39" spans="1:56" x14ac:dyDescent="0.25">
      <c r="B39" s="259"/>
      <c r="C39" s="250"/>
      <c r="D39" s="236"/>
      <c r="Q39" s="303"/>
      <c r="R39" s="303"/>
      <c r="S39" s="303"/>
      <c r="T39" s="303"/>
      <c r="U39" s="303"/>
      <c r="X39" s="305"/>
      <c r="Y39" s="305"/>
      <c r="Z39" s="305"/>
      <c r="AA39" s="305"/>
      <c r="AB39" s="305"/>
      <c r="AC39" s="305"/>
      <c r="AD39" s="305"/>
      <c r="AE39" s="305"/>
      <c r="AF39" s="305"/>
      <c r="AG39" s="305"/>
      <c r="AH39" s="305"/>
      <c r="AI39" s="305"/>
      <c r="AJ39" s="305"/>
      <c r="AK39" s="305"/>
      <c r="AL39" s="305"/>
      <c r="AM39" s="242"/>
      <c r="AN39" s="305"/>
      <c r="AO39" s="305"/>
      <c r="AP39" s="305"/>
      <c r="AQ39" s="305"/>
      <c r="AR39" s="305"/>
      <c r="AS39" s="305"/>
      <c r="AT39" s="305"/>
      <c r="AU39" s="305"/>
      <c r="AV39" s="305"/>
      <c r="AW39" s="305"/>
      <c r="AX39" s="305"/>
      <c r="AY39" s="305"/>
      <c r="AZ39" s="305"/>
      <c r="BA39" s="305"/>
      <c r="BB39" s="305"/>
      <c r="BD39" s="304"/>
    </row>
    <row r="40" spans="1:56" x14ac:dyDescent="0.25">
      <c r="B40" s="239" t="e">
        <f>VLOOKUP(A40,'DFP-Com'!$A$16:$B$50,2,1)</f>
        <v>#N/A</v>
      </c>
      <c r="C40" s="300" t="s">
        <v>217</v>
      </c>
      <c r="D40" s="236"/>
      <c r="X40" s="305">
        <f t="shared" ref="X40:AL40" si="9">F40*$D40</f>
        <v>0</v>
      </c>
      <c r="Y40" s="305">
        <f t="shared" si="9"/>
        <v>0</v>
      </c>
      <c r="Z40" s="305">
        <f t="shared" si="9"/>
        <v>0</v>
      </c>
      <c r="AA40" s="305">
        <f t="shared" si="9"/>
        <v>0</v>
      </c>
      <c r="AB40" s="305">
        <f t="shared" si="9"/>
        <v>0</v>
      </c>
      <c r="AC40" s="305">
        <f t="shared" si="9"/>
        <v>0</v>
      </c>
      <c r="AD40" s="305">
        <f t="shared" si="9"/>
        <v>0</v>
      </c>
      <c r="AE40" s="305">
        <f t="shared" si="9"/>
        <v>0</v>
      </c>
      <c r="AF40" s="305">
        <f t="shared" si="9"/>
        <v>0</v>
      </c>
      <c r="AG40" s="305">
        <f t="shared" si="9"/>
        <v>0</v>
      </c>
      <c r="AH40" s="305">
        <f t="shared" si="9"/>
        <v>0</v>
      </c>
      <c r="AI40" s="305">
        <f t="shared" si="9"/>
        <v>0</v>
      </c>
      <c r="AJ40" s="305">
        <f t="shared" si="9"/>
        <v>0</v>
      </c>
      <c r="AK40" s="305">
        <f t="shared" si="9"/>
        <v>0</v>
      </c>
      <c r="AL40" s="305">
        <f t="shared" si="9"/>
        <v>0</v>
      </c>
      <c r="AM40" s="242"/>
      <c r="AN40" s="305">
        <f t="shared" ref="AN40:BB40" si="10">IF(AN$3=$E40,$D40,0)</f>
        <v>0</v>
      </c>
      <c r="AO40" s="305">
        <f t="shared" si="10"/>
        <v>0</v>
      </c>
      <c r="AP40" s="305">
        <f t="shared" si="10"/>
        <v>0</v>
      </c>
      <c r="AQ40" s="305">
        <f t="shared" si="10"/>
        <v>0</v>
      </c>
      <c r="AR40" s="305">
        <f t="shared" si="10"/>
        <v>0</v>
      </c>
      <c r="AS40" s="305">
        <f t="shared" si="10"/>
        <v>0</v>
      </c>
      <c r="AT40" s="305">
        <f t="shared" si="10"/>
        <v>0</v>
      </c>
      <c r="AU40" s="305">
        <f t="shared" si="10"/>
        <v>0</v>
      </c>
      <c r="AV40" s="305">
        <f t="shared" si="10"/>
        <v>0</v>
      </c>
      <c r="AW40" s="305">
        <f t="shared" si="10"/>
        <v>0</v>
      </c>
      <c r="AX40" s="305">
        <f t="shared" si="10"/>
        <v>0</v>
      </c>
      <c r="AY40" s="305">
        <f t="shared" si="10"/>
        <v>0</v>
      </c>
      <c r="AZ40" s="305">
        <f t="shared" si="10"/>
        <v>0</v>
      </c>
      <c r="BA40" s="305">
        <f t="shared" si="10"/>
        <v>0</v>
      </c>
      <c r="BB40" s="305">
        <f t="shared" si="10"/>
        <v>0</v>
      </c>
      <c r="BD40" s="304">
        <f t="shared" ref="BD40:BD55" si="11">SUM(X40:AL40)-SUM(AN40:BB40)</f>
        <v>0</v>
      </c>
    </row>
    <row r="41" spans="1:56" x14ac:dyDescent="0.25">
      <c r="D41" s="300" t="s">
        <v>182</v>
      </c>
      <c r="F41" s="300" t="s">
        <v>165</v>
      </c>
      <c r="G41" s="300" t="s">
        <v>169</v>
      </c>
      <c r="H41" s="317" t="s">
        <v>170</v>
      </c>
      <c r="I41" s="300" t="s">
        <v>171</v>
      </c>
      <c r="J41" s="300" t="s">
        <v>172</v>
      </c>
      <c r="K41" s="300" t="s">
        <v>173</v>
      </c>
      <c r="L41" s="300" t="s">
        <v>174</v>
      </c>
      <c r="M41" s="300" t="s">
        <v>175</v>
      </c>
      <c r="N41" s="300" t="s">
        <v>176</v>
      </c>
      <c r="O41" s="300" t="s">
        <v>177</v>
      </c>
      <c r="P41" s="300" t="s">
        <v>178</v>
      </c>
      <c r="Q41" s="300" t="s">
        <v>179</v>
      </c>
      <c r="R41" s="300" t="s">
        <v>180</v>
      </c>
      <c r="S41" s="300" t="s">
        <v>181</v>
      </c>
      <c r="T41" s="300" t="s">
        <v>183</v>
      </c>
      <c r="U41" s="300" t="s">
        <v>182</v>
      </c>
      <c r="X41" s="305"/>
      <c r="Y41" s="305"/>
      <c r="Z41" s="305"/>
      <c r="AA41" s="305"/>
      <c r="AB41" s="305"/>
      <c r="AC41" s="305"/>
      <c r="AD41" s="305"/>
      <c r="AE41" s="305"/>
      <c r="AF41" s="305"/>
      <c r="AG41" s="305"/>
      <c r="AH41" s="305"/>
      <c r="AI41" s="305"/>
      <c r="AJ41" s="305"/>
      <c r="AK41" s="305"/>
      <c r="AL41" s="305"/>
      <c r="AM41" s="242"/>
      <c r="AN41" s="242"/>
      <c r="AO41" s="242"/>
      <c r="AP41" s="242"/>
      <c r="AQ41" s="242"/>
      <c r="AR41" s="242"/>
      <c r="AS41" s="242"/>
      <c r="AT41" s="242"/>
      <c r="AU41" s="242"/>
      <c r="AV41" s="242"/>
      <c r="AW41" s="242"/>
      <c r="AX41" s="242"/>
      <c r="AY41" s="242"/>
      <c r="AZ41" s="242"/>
      <c r="BA41" s="242"/>
      <c r="BB41" s="242"/>
      <c r="BD41" s="304">
        <f t="shared" si="11"/>
        <v>0</v>
      </c>
    </row>
    <row r="42" spans="1:56" x14ac:dyDescent="0.25">
      <c r="A42" s="238" t="s">
        <v>209</v>
      </c>
      <c r="B42" s="238"/>
      <c r="D42" s="236"/>
      <c r="X42" s="254"/>
      <c r="Y42" s="305"/>
      <c r="Z42" s="305"/>
      <c r="AA42" s="305"/>
      <c r="AB42" s="305"/>
      <c r="AC42" s="305"/>
      <c r="AD42" s="305"/>
      <c r="AE42" s="305"/>
      <c r="AF42" s="305"/>
      <c r="AG42" s="305"/>
      <c r="AH42" s="305"/>
      <c r="AI42" s="305"/>
      <c r="AJ42" s="305"/>
      <c r="AK42" s="305"/>
      <c r="AL42" s="305"/>
      <c r="AM42" s="242"/>
      <c r="AN42" s="241" t="s">
        <v>165</v>
      </c>
      <c r="AO42" s="241" t="s">
        <v>169</v>
      </c>
      <c r="AP42" s="241" t="s">
        <v>170</v>
      </c>
      <c r="AQ42" s="241" t="s">
        <v>171</v>
      </c>
      <c r="AR42" s="241" t="s">
        <v>165</v>
      </c>
      <c r="AS42" s="241" t="s">
        <v>169</v>
      </c>
      <c r="AT42" s="241" t="s">
        <v>170</v>
      </c>
      <c r="AU42" s="241" t="s">
        <v>171</v>
      </c>
      <c r="AV42" s="241" t="s">
        <v>165</v>
      </c>
      <c r="AW42" s="241" t="s">
        <v>169</v>
      </c>
      <c r="AX42" s="241" t="s">
        <v>170</v>
      </c>
      <c r="AY42" s="241" t="s">
        <v>171</v>
      </c>
      <c r="AZ42" s="241" t="s">
        <v>165</v>
      </c>
      <c r="BA42" s="241" t="s">
        <v>169</v>
      </c>
      <c r="BB42" s="241" t="s">
        <v>170</v>
      </c>
      <c r="BD42" s="304">
        <f t="shared" si="11"/>
        <v>0</v>
      </c>
    </row>
    <row r="43" spans="1:56" x14ac:dyDescent="0.25">
      <c r="A43" s="300" t="s">
        <v>150</v>
      </c>
      <c r="B43" s="248" t="str">
        <f>VLOOKUP(A43,'DFP-Com'!$A$16:$B$50,2,1)</f>
        <v xml:space="preserve">     1.3.b  Education Project Coordination team*</v>
      </c>
      <c r="C43" s="300" t="s">
        <v>188</v>
      </c>
      <c r="D43" s="236">
        <f t="shared" ref="D43:D49" si="12">SUM(F43:T43)</f>
        <v>121400</v>
      </c>
      <c r="E43" s="300" t="s">
        <v>212</v>
      </c>
      <c r="G43" s="307">
        <v>4400</v>
      </c>
      <c r="H43" s="322">
        <v>9000</v>
      </c>
      <c r="I43" s="307">
        <v>9000</v>
      </c>
      <c r="J43" s="307">
        <v>9000</v>
      </c>
      <c r="K43" s="307">
        <v>9000</v>
      </c>
      <c r="L43" s="307">
        <v>9000</v>
      </c>
      <c r="M43" s="307">
        <v>9000</v>
      </c>
      <c r="N43" s="307">
        <v>9000</v>
      </c>
      <c r="O43" s="307">
        <v>9000</v>
      </c>
      <c r="P43" s="307">
        <v>9000</v>
      </c>
      <c r="Q43" s="307">
        <v>9000</v>
      </c>
      <c r="R43" s="307">
        <v>9000</v>
      </c>
      <c r="S43" s="307">
        <v>9000</v>
      </c>
      <c r="T43" s="307">
        <v>9000</v>
      </c>
      <c r="U43" s="307">
        <f>SUM(F43:T43)</f>
        <v>121400</v>
      </c>
      <c r="X43" s="254">
        <f t="shared" ref="X43:AL51" si="13">F43</f>
        <v>0</v>
      </c>
      <c r="Y43" s="305">
        <f t="shared" si="13"/>
        <v>4400</v>
      </c>
      <c r="Z43" s="305">
        <f t="shared" si="13"/>
        <v>9000</v>
      </c>
      <c r="AA43" s="305">
        <f t="shared" si="13"/>
        <v>9000</v>
      </c>
      <c r="AB43" s="305">
        <f t="shared" si="13"/>
        <v>9000</v>
      </c>
      <c r="AC43" s="305">
        <f t="shared" si="13"/>
        <v>9000</v>
      </c>
      <c r="AD43" s="305">
        <f t="shared" si="13"/>
        <v>9000</v>
      </c>
      <c r="AE43" s="305">
        <f t="shared" si="13"/>
        <v>9000</v>
      </c>
      <c r="AF43" s="305">
        <f t="shared" si="13"/>
        <v>9000</v>
      </c>
      <c r="AG43" s="305">
        <f t="shared" si="13"/>
        <v>9000</v>
      </c>
      <c r="AH43" s="305">
        <f t="shared" si="13"/>
        <v>9000</v>
      </c>
      <c r="AI43" s="305">
        <f t="shared" si="13"/>
        <v>9000</v>
      </c>
      <c r="AJ43" s="305">
        <f t="shared" si="13"/>
        <v>9000</v>
      </c>
      <c r="AK43" s="305">
        <f t="shared" si="13"/>
        <v>9000</v>
      </c>
      <c r="AL43" s="305">
        <f t="shared" si="13"/>
        <v>9000</v>
      </c>
      <c r="AM43" s="242"/>
      <c r="AN43" s="305">
        <f>IF(AN$42=$E43,SUM(X43:AA43),0)</f>
        <v>0</v>
      </c>
      <c r="AO43" s="305">
        <f t="shared" ref="AO43:AY51" si="14">IF(AO$42=$E43,SUM(Y43:AB43),0)</f>
        <v>31400</v>
      </c>
      <c r="AP43" s="305">
        <f t="shared" si="14"/>
        <v>0</v>
      </c>
      <c r="AQ43" s="305">
        <f t="shared" si="14"/>
        <v>0</v>
      </c>
      <c r="AR43" s="305">
        <f t="shared" si="14"/>
        <v>0</v>
      </c>
      <c r="AS43" s="305">
        <f t="shared" si="14"/>
        <v>36000</v>
      </c>
      <c r="AT43" s="305">
        <f t="shared" si="14"/>
        <v>0</v>
      </c>
      <c r="AU43" s="305">
        <f t="shared" si="14"/>
        <v>0</v>
      </c>
      <c r="AV43" s="305">
        <f t="shared" si="14"/>
        <v>0</v>
      </c>
      <c r="AW43" s="305">
        <f t="shared" si="14"/>
        <v>36000</v>
      </c>
      <c r="AX43" s="305">
        <f t="shared" si="14"/>
        <v>0</v>
      </c>
      <c r="AY43" s="305">
        <f t="shared" si="14"/>
        <v>0</v>
      </c>
      <c r="AZ43" s="305">
        <f>IF(AZ$42=$E43,SUM(AJ43:$AL43),0)</f>
        <v>0</v>
      </c>
      <c r="BA43" s="305">
        <f>IF(BA$42=$E43,SUM(AK43:$AL43),0)</f>
        <v>18000</v>
      </c>
      <c r="BB43" s="305">
        <f>IF(BB$42=$E43,SUM(AL43:$AL43),0)</f>
        <v>0</v>
      </c>
      <c r="BD43" s="304">
        <f t="shared" si="11"/>
        <v>0</v>
      </c>
    </row>
    <row r="44" spans="1:56" x14ac:dyDescent="0.25">
      <c r="A44" s="300" t="s">
        <v>150</v>
      </c>
      <c r="B44" s="248" t="str">
        <f>VLOOKUP(A44,'DFP-Com'!$A$16:$B$50,2,1)</f>
        <v xml:space="preserve">     1.3.b  Education Project Coordination team*</v>
      </c>
      <c r="C44" s="300" t="s">
        <v>207</v>
      </c>
      <c r="D44" s="236">
        <f t="shared" si="12"/>
        <v>57000</v>
      </c>
      <c r="E44" s="300" t="s">
        <v>184</v>
      </c>
      <c r="G44" s="300">
        <v>0</v>
      </c>
      <c r="H44" s="322">
        <v>3000</v>
      </c>
      <c r="I44" s="307">
        <v>4500</v>
      </c>
      <c r="J44" s="307">
        <v>4500</v>
      </c>
      <c r="K44" s="307">
        <v>4500</v>
      </c>
      <c r="L44" s="307">
        <v>4500</v>
      </c>
      <c r="M44" s="307">
        <v>4500</v>
      </c>
      <c r="N44" s="307">
        <v>4500</v>
      </c>
      <c r="O44" s="307">
        <v>4500</v>
      </c>
      <c r="P44" s="307">
        <v>4500</v>
      </c>
      <c r="Q44" s="307">
        <v>4500</v>
      </c>
      <c r="R44" s="307">
        <v>4500</v>
      </c>
      <c r="S44" s="307">
        <v>4500</v>
      </c>
      <c r="T44" s="307">
        <v>4500</v>
      </c>
      <c r="U44" s="307">
        <f t="shared" ref="U44:U55" si="15">SUM(F44:T44)</f>
        <v>57000</v>
      </c>
      <c r="X44" s="254">
        <f t="shared" si="13"/>
        <v>0</v>
      </c>
      <c r="Y44" s="305">
        <f t="shared" si="13"/>
        <v>0</v>
      </c>
      <c r="Z44" s="305">
        <f t="shared" si="13"/>
        <v>3000</v>
      </c>
      <c r="AA44" s="305">
        <f t="shared" si="13"/>
        <v>4500</v>
      </c>
      <c r="AB44" s="305">
        <f t="shared" si="13"/>
        <v>4500</v>
      </c>
      <c r="AC44" s="305">
        <f t="shared" si="13"/>
        <v>4500</v>
      </c>
      <c r="AD44" s="305">
        <f t="shared" si="13"/>
        <v>4500</v>
      </c>
      <c r="AE44" s="305">
        <f t="shared" si="13"/>
        <v>4500</v>
      </c>
      <c r="AF44" s="305">
        <f t="shared" si="13"/>
        <v>4500</v>
      </c>
      <c r="AG44" s="305">
        <f t="shared" si="13"/>
        <v>4500</v>
      </c>
      <c r="AH44" s="305">
        <f t="shared" si="13"/>
        <v>4500</v>
      </c>
      <c r="AI44" s="305">
        <f t="shared" si="13"/>
        <v>4500</v>
      </c>
      <c r="AJ44" s="305">
        <f t="shared" si="13"/>
        <v>4500</v>
      </c>
      <c r="AK44" s="305">
        <f t="shared" si="13"/>
        <v>4500</v>
      </c>
      <c r="AL44" s="305">
        <f t="shared" si="13"/>
        <v>4500</v>
      </c>
      <c r="AM44" s="242"/>
      <c r="AN44" s="305">
        <f t="shared" ref="AN44:AN51" si="16">IF(AN$42=$E44,SUM(X44:AA44),0)</f>
        <v>0</v>
      </c>
      <c r="AO44" s="305">
        <f t="shared" si="14"/>
        <v>0</v>
      </c>
      <c r="AP44" s="305">
        <f t="shared" si="14"/>
        <v>16500</v>
      </c>
      <c r="AQ44" s="305">
        <f t="shared" si="14"/>
        <v>0</v>
      </c>
      <c r="AR44" s="305">
        <f t="shared" si="14"/>
        <v>0</v>
      </c>
      <c r="AS44" s="305">
        <f t="shared" si="14"/>
        <v>0</v>
      </c>
      <c r="AT44" s="305">
        <f t="shared" si="14"/>
        <v>18000</v>
      </c>
      <c r="AU44" s="305">
        <f t="shared" si="14"/>
        <v>0</v>
      </c>
      <c r="AV44" s="305">
        <f t="shared" si="14"/>
        <v>0</v>
      </c>
      <c r="AW44" s="305">
        <f t="shared" si="14"/>
        <v>0</v>
      </c>
      <c r="AX44" s="305">
        <f t="shared" si="14"/>
        <v>18000</v>
      </c>
      <c r="AY44" s="305">
        <f t="shared" si="14"/>
        <v>0</v>
      </c>
      <c r="AZ44" s="305">
        <f>IF(AZ$42=$E44,SUM(AJ44:$AL44),0)</f>
        <v>0</v>
      </c>
      <c r="BA44" s="305">
        <f>IF(BA$42=$E44,SUM(AK44:$AL44),0)</f>
        <v>0</v>
      </c>
      <c r="BB44" s="305">
        <f>IF(BB$42=$E44,SUM(AL44:$AL44),0)</f>
        <v>4500</v>
      </c>
      <c r="BD44" s="304">
        <f t="shared" si="11"/>
        <v>0</v>
      </c>
    </row>
    <row r="45" spans="1:56" x14ac:dyDescent="0.25">
      <c r="A45" s="300" t="s">
        <v>160</v>
      </c>
      <c r="B45" s="259" t="str">
        <f>VLOOKUP(A45,'DFP-Com'!$A$16:$B$50,2,1)</f>
        <v xml:space="preserve">     4.1.a  Staff Compensation*</v>
      </c>
      <c r="C45" s="300" t="s">
        <v>199</v>
      </c>
      <c r="D45" s="236">
        <f t="shared" si="12"/>
        <v>181000</v>
      </c>
      <c r="E45" s="300" t="s">
        <v>214</v>
      </c>
      <c r="F45" s="307">
        <v>10000</v>
      </c>
      <c r="G45" s="307">
        <f>15000</f>
        <v>15000</v>
      </c>
      <c r="H45" s="322">
        <v>12000</v>
      </c>
      <c r="I45" s="307">
        <v>12000</v>
      </c>
      <c r="J45" s="307">
        <v>12000</v>
      </c>
      <c r="K45" s="307">
        <v>12000</v>
      </c>
      <c r="L45" s="307">
        <v>12000</v>
      </c>
      <c r="M45" s="307">
        <v>12000</v>
      </c>
      <c r="N45" s="307">
        <v>12000</v>
      </c>
      <c r="O45" s="307">
        <v>12000</v>
      </c>
      <c r="P45" s="307">
        <v>12000</v>
      </c>
      <c r="Q45" s="307">
        <v>12000</v>
      </c>
      <c r="R45" s="307">
        <v>12000</v>
      </c>
      <c r="S45" s="307">
        <v>12000</v>
      </c>
      <c r="T45" s="307">
        <v>12000</v>
      </c>
      <c r="U45" s="307">
        <f t="shared" si="15"/>
        <v>181000</v>
      </c>
      <c r="X45" s="254">
        <f t="shared" si="13"/>
        <v>10000</v>
      </c>
      <c r="Y45" s="305">
        <f t="shared" si="13"/>
        <v>15000</v>
      </c>
      <c r="Z45" s="305">
        <f t="shared" si="13"/>
        <v>12000</v>
      </c>
      <c r="AA45" s="305">
        <f t="shared" si="13"/>
        <v>12000</v>
      </c>
      <c r="AB45" s="305">
        <f t="shared" si="13"/>
        <v>12000</v>
      </c>
      <c r="AC45" s="305">
        <f t="shared" si="13"/>
        <v>12000</v>
      </c>
      <c r="AD45" s="305">
        <f t="shared" si="13"/>
        <v>12000</v>
      </c>
      <c r="AE45" s="305">
        <f t="shared" si="13"/>
        <v>12000</v>
      </c>
      <c r="AF45" s="305">
        <f t="shared" si="13"/>
        <v>12000</v>
      </c>
      <c r="AG45" s="305">
        <f t="shared" si="13"/>
        <v>12000</v>
      </c>
      <c r="AH45" s="305">
        <f t="shared" si="13"/>
        <v>12000</v>
      </c>
      <c r="AI45" s="305">
        <f t="shared" si="13"/>
        <v>12000</v>
      </c>
      <c r="AJ45" s="305">
        <f t="shared" si="13"/>
        <v>12000</v>
      </c>
      <c r="AK45" s="305">
        <f t="shared" si="13"/>
        <v>12000</v>
      </c>
      <c r="AL45" s="305">
        <f t="shared" si="13"/>
        <v>12000</v>
      </c>
      <c r="AM45" s="242"/>
      <c r="AN45" s="305">
        <f t="shared" si="16"/>
        <v>49000</v>
      </c>
      <c r="AO45" s="305">
        <f t="shared" si="14"/>
        <v>0</v>
      </c>
      <c r="AP45" s="305">
        <f t="shared" si="14"/>
        <v>0</v>
      </c>
      <c r="AQ45" s="305">
        <f t="shared" si="14"/>
        <v>0</v>
      </c>
      <c r="AR45" s="305">
        <f t="shared" si="14"/>
        <v>48000</v>
      </c>
      <c r="AS45" s="305">
        <f t="shared" si="14"/>
        <v>0</v>
      </c>
      <c r="AT45" s="305">
        <f t="shared" si="14"/>
        <v>0</v>
      </c>
      <c r="AU45" s="305">
        <f t="shared" si="14"/>
        <v>0</v>
      </c>
      <c r="AV45" s="305">
        <f t="shared" si="14"/>
        <v>48000</v>
      </c>
      <c r="AW45" s="305">
        <f t="shared" si="14"/>
        <v>0</v>
      </c>
      <c r="AX45" s="305">
        <f t="shared" si="14"/>
        <v>0</v>
      </c>
      <c r="AY45" s="305">
        <f t="shared" si="14"/>
        <v>0</v>
      </c>
      <c r="AZ45" s="305">
        <f>IF(AZ$42=$E45,SUM(AJ45:$AL45),0)</f>
        <v>36000</v>
      </c>
      <c r="BA45" s="305">
        <f>IF(BA$42=$E45,SUM(AK45:$AL45),0)</f>
        <v>0</v>
      </c>
      <c r="BB45" s="305">
        <f>IF(BB$42=$E45,SUM(AL45:$AL45),0)</f>
        <v>0</v>
      </c>
      <c r="BD45" s="304">
        <f t="shared" si="11"/>
        <v>0</v>
      </c>
    </row>
    <row r="46" spans="1:56" x14ac:dyDescent="0.25">
      <c r="A46" s="300" t="s">
        <v>160</v>
      </c>
      <c r="B46" s="259" t="str">
        <f>VLOOKUP(A46,'DFP-Com'!$A$16:$B$50,2,1)</f>
        <v xml:space="preserve">     4.1.a  Staff Compensation*</v>
      </c>
      <c r="C46" s="300" t="s">
        <v>252</v>
      </c>
      <c r="D46" s="236">
        <f t="shared" si="12"/>
        <v>57000</v>
      </c>
      <c r="E46" s="300" t="s">
        <v>184</v>
      </c>
      <c r="G46" s="307">
        <v>0</v>
      </c>
      <c r="H46" s="322">
        <f>3000</f>
        <v>3000</v>
      </c>
      <c r="I46" s="307">
        <v>4500</v>
      </c>
      <c r="J46" s="307">
        <v>4500</v>
      </c>
      <c r="K46" s="307">
        <v>4500</v>
      </c>
      <c r="L46" s="307">
        <v>4500</v>
      </c>
      <c r="M46" s="307">
        <v>4500</v>
      </c>
      <c r="N46" s="307">
        <v>4500</v>
      </c>
      <c r="O46" s="307">
        <v>4500</v>
      </c>
      <c r="P46" s="307">
        <v>4500</v>
      </c>
      <c r="Q46" s="307">
        <v>4500</v>
      </c>
      <c r="R46" s="307">
        <v>4500</v>
      </c>
      <c r="S46" s="307">
        <v>4500</v>
      </c>
      <c r="T46" s="307">
        <v>4500</v>
      </c>
      <c r="U46" s="307">
        <f t="shared" si="15"/>
        <v>57000</v>
      </c>
      <c r="X46" s="254">
        <f t="shared" si="13"/>
        <v>0</v>
      </c>
      <c r="Y46" s="305">
        <f t="shared" si="13"/>
        <v>0</v>
      </c>
      <c r="Z46" s="305">
        <f t="shared" si="13"/>
        <v>3000</v>
      </c>
      <c r="AA46" s="305">
        <f t="shared" si="13"/>
        <v>4500</v>
      </c>
      <c r="AB46" s="305">
        <f t="shared" si="13"/>
        <v>4500</v>
      </c>
      <c r="AC46" s="305">
        <f t="shared" si="13"/>
        <v>4500</v>
      </c>
      <c r="AD46" s="305">
        <f t="shared" si="13"/>
        <v>4500</v>
      </c>
      <c r="AE46" s="305">
        <f t="shared" si="13"/>
        <v>4500</v>
      </c>
      <c r="AF46" s="305">
        <f t="shared" si="13"/>
        <v>4500</v>
      </c>
      <c r="AG46" s="305">
        <f t="shared" si="13"/>
        <v>4500</v>
      </c>
      <c r="AH46" s="305">
        <f t="shared" si="13"/>
        <v>4500</v>
      </c>
      <c r="AI46" s="305">
        <f t="shared" si="13"/>
        <v>4500</v>
      </c>
      <c r="AJ46" s="305">
        <f t="shared" si="13"/>
        <v>4500</v>
      </c>
      <c r="AK46" s="305">
        <f t="shared" si="13"/>
        <v>4500</v>
      </c>
      <c r="AL46" s="305">
        <f t="shared" si="13"/>
        <v>4500</v>
      </c>
      <c r="AM46" s="242"/>
      <c r="AN46" s="305">
        <f t="shared" si="16"/>
        <v>0</v>
      </c>
      <c r="AO46" s="305">
        <f t="shared" si="14"/>
        <v>0</v>
      </c>
      <c r="AP46" s="305">
        <f>IF(AP$42=$E46,SUM(Z46:AC46),0)</f>
        <v>16500</v>
      </c>
      <c r="AQ46" s="305">
        <f t="shared" si="14"/>
        <v>0</v>
      </c>
      <c r="AR46" s="305">
        <f t="shared" si="14"/>
        <v>0</v>
      </c>
      <c r="AS46" s="305">
        <f t="shared" si="14"/>
        <v>0</v>
      </c>
      <c r="AT46" s="305">
        <f t="shared" si="14"/>
        <v>18000</v>
      </c>
      <c r="AU46" s="305">
        <f t="shared" si="14"/>
        <v>0</v>
      </c>
      <c r="AV46" s="305">
        <f t="shared" si="14"/>
        <v>0</v>
      </c>
      <c r="AW46" s="305">
        <f t="shared" si="14"/>
        <v>0</v>
      </c>
      <c r="AX46" s="305">
        <f t="shared" si="14"/>
        <v>18000</v>
      </c>
      <c r="AY46" s="305">
        <f t="shared" si="14"/>
        <v>0</v>
      </c>
      <c r="AZ46" s="305">
        <f>IF(AZ$42=$E46,SUM(AJ46:$AL46),0)</f>
        <v>0</v>
      </c>
      <c r="BA46" s="305">
        <f>IF(BA$42=$E46,SUM(AK46:$AL46),0)</f>
        <v>0</v>
      </c>
      <c r="BB46" s="305">
        <f>IF(BB$42=$E46,SUM(AL46:$AL46),0)</f>
        <v>4500</v>
      </c>
      <c r="BD46" s="304">
        <f t="shared" si="11"/>
        <v>0</v>
      </c>
    </row>
    <row r="47" spans="1:56" x14ac:dyDescent="0.25">
      <c r="A47" s="300" t="s">
        <v>160</v>
      </c>
      <c r="B47" s="259" t="str">
        <f>VLOOKUP(A47,'DFP-Com'!$A$16:$B$50,2,1)</f>
        <v xml:space="preserve">     4.1.a  Staff Compensation*</v>
      </c>
      <c r="C47" s="300" t="s">
        <v>204</v>
      </c>
      <c r="D47" s="236">
        <f t="shared" si="12"/>
        <v>147000</v>
      </c>
      <c r="E47" s="300" t="s">
        <v>212</v>
      </c>
      <c r="G47" s="307">
        <v>10500</v>
      </c>
      <c r="H47" s="322">
        <f>3500*3</f>
        <v>10500</v>
      </c>
      <c r="I47" s="307">
        <v>10500</v>
      </c>
      <c r="J47" s="307">
        <v>10500</v>
      </c>
      <c r="K47" s="307">
        <v>10500</v>
      </c>
      <c r="L47" s="307">
        <v>10500</v>
      </c>
      <c r="M47" s="307">
        <v>10500</v>
      </c>
      <c r="N47" s="307">
        <v>10500</v>
      </c>
      <c r="O47" s="307">
        <v>10500</v>
      </c>
      <c r="P47" s="307">
        <v>10500</v>
      </c>
      <c r="Q47" s="307">
        <v>10500</v>
      </c>
      <c r="R47" s="307">
        <v>10500</v>
      </c>
      <c r="S47" s="307">
        <v>10500</v>
      </c>
      <c r="T47" s="307">
        <v>10500</v>
      </c>
      <c r="U47" s="307">
        <f t="shared" si="15"/>
        <v>147000</v>
      </c>
      <c r="X47" s="254">
        <f t="shared" si="13"/>
        <v>0</v>
      </c>
      <c r="Y47" s="305">
        <f t="shared" si="13"/>
        <v>10500</v>
      </c>
      <c r="Z47" s="305">
        <f t="shared" si="13"/>
        <v>10500</v>
      </c>
      <c r="AA47" s="305">
        <f t="shared" si="13"/>
        <v>10500</v>
      </c>
      <c r="AB47" s="305">
        <f t="shared" si="13"/>
        <v>10500</v>
      </c>
      <c r="AC47" s="305">
        <f t="shared" si="13"/>
        <v>10500</v>
      </c>
      <c r="AD47" s="305">
        <f t="shared" si="13"/>
        <v>10500</v>
      </c>
      <c r="AE47" s="305">
        <f t="shared" si="13"/>
        <v>10500</v>
      </c>
      <c r="AF47" s="305">
        <f t="shared" si="13"/>
        <v>10500</v>
      </c>
      <c r="AG47" s="305">
        <f t="shared" si="13"/>
        <v>10500</v>
      </c>
      <c r="AH47" s="305">
        <f t="shared" si="13"/>
        <v>10500</v>
      </c>
      <c r="AI47" s="305">
        <f t="shared" si="13"/>
        <v>10500</v>
      </c>
      <c r="AJ47" s="305">
        <f t="shared" si="13"/>
        <v>10500</v>
      </c>
      <c r="AK47" s="305">
        <f t="shared" si="13"/>
        <v>10500</v>
      </c>
      <c r="AL47" s="305">
        <f t="shared" si="13"/>
        <v>10500</v>
      </c>
      <c r="AM47" s="242"/>
      <c r="AN47" s="305">
        <f t="shared" si="16"/>
        <v>0</v>
      </c>
      <c r="AO47" s="305">
        <f t="shared" si="14"/>
        <v>42000</v>
      </c>
      <c r="AP47" s="305">
        <f t="shared" si="14"/>
        <v>0</v>
      </c>
      <c r="AQ47" s="305">
        <f t="shared" si="14"/>
        <v>0</v>
      </c>
      <c r="AR47" s="305">
        <f t="shared" si="14"/>
        <v>0</v>
      </c>
      <c r="AS47" s="305">
        <f t="shared" si="14"/>
        <v>42000</v>
      </c>
      <c r="AT47" s="305">
        <f t="shared" si="14"/>
        <v>0</v>
      </c>
      <c r="AU47" s="305">
        <f t="shared" si="14"/>
        <v>0</v>
      </c>
      <c r="AV47" s="305">
        <f t="shared" si="14"/>
        <v>0</v>
      </c>
      <c r="AW47" s="305">
        <f t="shared" si="14"/>
        <v>42000</v>
      </c>
      <c r="AX47" s="305">
        <f t="shared" si="14"/>
        <v>0</v>
      </c>
      <c r="AY47" s="305">
        <f t="shared" si="14"/>
        <v>0</v>
      </c>
      <c r="AZ47" s="305">
        <f>IF(AZ$42=$E47,SUM(AJ47:$AL47),0)</f>
        <v>0</v>
      </c>
      <c r="BA47" s="305">
        <f>IF(BA$42=$E47,SUM(AK47:$AL47),0)</f>
        <v>21000</v>
      </c>
      <c r="BB47" s="305">
        <f>IF(BB$42=$E47,SUM(AL47:$AL47),0)</f>
        <v>0</v>
      </c>
      <c r="BD47" s="304">
        <f t="shared" si="11"/>
        <v>0</v>
      </c>
    </row>
    <row r="48" spans="1:56" x14ac:dyDescent="0.25">
      <c r="A48" s="300" t="s">
        <v>160</v>
      </c>
      <c r="B48" s="259" t="str">
        <f>VLOOKUP(A48,'DFP-Com'!$A$16:$B$50,2,1)</f>
        <v xml:space="preserve">     4.1.a  Staff Compensation*</v>
      </c>
      <c r="C48" s="300" t="s">
        <v>205</v>
      </c>
      <c r="D48" s="236">
        <f t="shared" si="12"/>
        <v>89760</v>
      </c>
      <c r="E48" s="300" t="s">
        <v>212</v>
      </c>
      <c r="G48" s="307">
        <v>3960</v>
      </c>
      <c r="H48" s="322">
        <f>2200*3</f>
        <v>6600</v>
      </c>
      <c r="I48" s="307">
        <f t="shared" ref="I48:T49" si="17">2200*3</f>
        <v>6600</v>
      </c>
      <c r="J48" s="307">
        <f t="shared" si="17"/>
        <v>6600</v>
      </c>
      <c r="K48" s="307">
        <f t="shared" si="17"/>
        <v>6600</v>
      </c>
      <c r="L48" s="307">
        <f t="shared" si="17"/>
        <v>6600</v>
      </c>
      <c r="M48" s="307">
        <f t="shared" si="17"/>
        <v>6600</v>
      </c>
      <c r="N48" s="307">
        <f t="shared" si="17"/>
        <v>6600</v>
      </c>
      <c r="O48" s="307">
        <f t="shared" si="17"/>
        <v>6600</v>
      </c>
      <c r="P48" s="307">
        <f t="shared" si="17"/>
        <v>6600</v>
      </c>
      <c r="Q48" s="307">
        <f t="shared" si="17"/>
        <v>6600</v>
      </c>
      <c r="R48" s="307">
        <f t="shared" si="17"/>
        <v>6600</v>
      </c>
      <c r="S48" s="307">
        <f t="shared" si="17"/>
        <v>6600</v>
      </c>
      <c r="T48" s="307">
        <f t="shared" si="17"/>
        <v>6600</v>
      </c>
      <c r="U48" s="307">
        <f t="shared" si="15"/>
        <v>89760</v>
      </c>
      <c r="X48" s="254">
        <f t="shared" si="13"/>
        <v>0</v>
      </c>
      <c r="Y48" s="305">
        <f t="shared" si="13"/>
        <v>3960</v>
      </c>
      <c r="Z48" s="305">
        <f t="shared" si="13"/>
        <v>6600</v>
      </c>
      <c r="AA48" s="305">
        <f t="shared" si="13"/>
        <v>6600</v>
      </c>
      <c r="AB48" s="305">
        <f t="shared" si="13"/>
        <v>6600</v>
      </c>
      <c r="AC48" s="305">
        <f t="shared" si="13"/>
        <v>6600</v>
      </c>
      <c r="AD48" s="305">
        <f t="shared" si="13"/>
        <v>6600</v>
      </c>
      <c r="AE48" s="305">
        <f t="shared" si="13"/>
        <v>6600</v>
      </c>
      <c r="AF48" s="305">
        <f t="shared" si="13"/>
        <v>6600</v>
      </c>
      <c r="AG48" s="305">
        <f t="shared" si="13"/>
        <v>6600</v>
      </c>
      <c r="AH48" s="305">
        <f t="shared" si="13"/>
        <v>6600</v>
      </c>
      <c r="AI48" s="305">
        <f t="shared" si="13"/>
        <v>6600</v>
      </c>
      <c r="AJ48" s="305">
        <f t="shared" si="13"/>
        <v>6600</v>
      </c>
      <c r="AK48" s="305">
        <f t="shared" si="13"/>
        <v>6600</v>
      </c>
      <c r="AL48" s="305">
        <f t="shared" si="13"/>
        <v>6600</v>
      </c>
      <c r="AM48" s="242"/>
      <c r="AN48" s="305">
        <f t="shared" si="16"/>
        <v>0</v>
      </c>
      <c r="AO48" s="305">
        <f t="shared" si="14"/>
        <v>23760</v>
      </c>
      <c r="AP48" s="305">
        <f t="shared" si="14"/>
        <v>0</v>
      </c>
      <c r="AQ48" s="305">
        <f t="shared" si="14"/>
        <v>0</v>
      </c>
      <c r="AR48" s="305">
        <f t="shared" si="14"/>
        <v>0</v>
      </c>
      <c r="AS48" s="305">
        <f t="shared" si="14"/>
        <v>26400</v>
      </c>
      <c r="AT48" s="305">
        <f t="shared" si="14"/>
        <v>0</v>
      </c>
      <c r="AU48" s="305">
        <f t="shared" si="14"/>
        <v>0</v>
      </c>
      <c r="AV48" s="305">
        <f t="shared" si="14"/>
        <v>0</v>
      </c>
      <c r="AW48" s="305">
        <f t="shared" si="14"/>
        <v>26400</v>
      </c>
      <c r="AX48" s="305">
        <f t="shared" si="14"/>
        <v>0</v>
      </c>
      <c r="AY48" s="305">
        <f t="shared" si="14"/>
        <v>0</v>
      </c>
      <c r="AZ48" s="305">
        <f>IF(AZ$42=$E48,SUM(AJ48:$AL48),0)</f>
        <v>0</v>
      </c>
      <c r="BA48" s="305">
        <f>IF(BA$42=$E48,SUM(AK48:$AL48),0)</f>
        <v>13200</v>
      </c>
      <c r="BB48" s="305">
        <f>IF(BB$42=$E48,SUM(AL48:$AL48),0)</f>
        <v>0</v>
      </c>
      <c r="BD48" s="304">
        <f t="shared" si="11"/>
        <v>0</v>
      </c>
    </row>
    <row r="49" spans="1:56" x14ac:dyDescent="0.25">
      <c r="A49" s="300" t="s">
        <v>160</v>
      </c>
      <c r="B49" s="259" t="str">
        <f>VLOOKUP(A49,'DFP-Com'!$A$16:$B$50,2,1)</f>
        <v xml:space="preserve">     4.1.a  Staff Compensation*</v>
      </c>
      <c r="C49" s="300" t="s">
        <v>206</v>
      </c>
      <c r="D49" s="236">
        <f t="shared" si="12"/>
        <v>89760</v>
      </c>
      <c r="E49" s="300" t="s">
        <v>212</v>
      </c>
      <c r="G49" s="307">
        <v>3960</v>
      </c>
      <c r="H49" s="322">
        <f>2200*3</f>
        <v>6600</v>
      </c>
      <c r="I49" s="307">
        <f t="shared" si="17"/>
        <v>6600</v>
      </c>
      <c r="J49" s="307">
        <f t="shared" si="17"/>
        <v>6600</v>
      </c>
      <c r="K49" s="307">
        <f t="shared" si="17"/>
        <v>6600</v>
      </c>
      <c r="L49" s="307">
        <f t="shared" si="17"/>
        <v>6600</v>
      </c>
      <c r="M49" s="307">
        <f t="shared" si="17"/>
        <v>6600</v>
      </c>
      <c r="N49" s="307">
        <f t="shared" si="17"/>
        <v>6600</v>
      </c>
      <c r="O49" s="307">
        <f t="shared" si="17"/>
        <v>6600</v>
      </c>
      <c r="P49" s="307">
        <f t="shared" si="17"/>
        <v>6600</v>
      </c>
      <c r="Q49" s="307">
        <f t="shared" si="17"/>
        <v>6600</v>
      </c>
      <c r="R49" s="307">
        <f t="shared" si="17"/>
        <v>6600</v>
      </c>
      <c r="S49" s="307">
        <f t="shared" si="17"/>
        <v>6600</v>
      </c>
      <c r="T49" s="307">
        <f t="shared" si="17"/>
        <v>6600</v>
      </c>
      <c r="U49" s="307">
        <f t="shared" si="15"/>
        <v>89760</v>
      </c>
      <c r="X49" s="254">
        <f t="shared" si="13"/>
        <v>0</v>
      </c>
      <c r="Y49" s="305">
        <f t="shared" si="13"/>
        <v>3960</v>
      </c>
      <c r="Z49" s="305">
        <f t="shared" si="13"/>
        <v>6600</v>
      </c>
      <c r="AA49" s="305">
        <f t="shared" si="13"/>
        <v>6600</v>
      </c>
      <c r="AB49" s="305">
        <f t="shared" si="13"/>
        <v>6600</v>
      </c>
      <c r="AC49" s="305">
        <f t="shared" si="13"/>
        <v>6600</v>
      </c>
      <c r="AD49" s="305">
        <f t="shared" si="13"/>
        <v>6600</v>
      </c>
      <c r="AE49" s="305">
        <f t="shared" si="13"/>
        <v>6600</v>
      </c>
      <c r="AF49" s="305">
        <f t="shared" si="13"/>
        <v>6600</v>
      </c>
      <c r="AG49" s="305">
        <f t="shared" si="13"/>
        <v>6600</v>
      </c>
      <c r="AH49" s="305">
        <f t="shared" si="13"/>
        <v>6600</v>
      </c>
      <c r="AI49" s="305">
        <f t="shared" si="13"/>
        <v>6600</v>
      </c>
      <c r="AJ49" s="305">
        <f t="shared" si="13"/>
        <v>6600</v>
      </c>
      <c r="AK49" s="305">
        <f t="shared" si="13"/>
        <v>6600</v>
      </c>
      <c r="AL49" s="305">
        <f t="shared" si="13"/>
        <v>6600</v>
      </c>
      <c r="AM49" s="242"/>
      <c r="AN49" s="305">
        <f t="shared" si="16"/>
        <v>0</v>
      </c>
      <c r="AO49" s="305">
        <f t="shared" si="14"/>
        <v>23760</v>
      </c>
      <c r="AP49" s="305">
        <f t="shared" si="14"/>
        <v>0</v>
      </c>
      <c r="AQ49" s="305">
        <f t="shared" si="14"/>
        <v>0</v>
      </c>
      <c r="AR49" s="305">
        <f t="shared" si="14"/>
        <v>0</v>
      </c>
      <c r="AS49" s="305">
        <f t="shared" si="14"/>
        <v>26400</v>
      </c>
      <c r="AT49" s="305">
        <f t="shared" si="14"/>
        <v>0</v>
      </c>
      <c r="AU49" s="305">
        <f t="shared" si="14"/>
        <v>0</v>
      </c>
      <c r="AV49" s="305">
        <f t="shared" si="14"/>
        <v>0</v>
      </c>
      <c r="AW49" s="305">
        <f t="shared" si="14"/>
        <v>26400</v>
      </c>
      <c r="AX49" s="305">
        <f t="shared" si="14"/>
        <v>0</v>
      </c>
      <c r="AY49" s="305">
        <f t="shared" si="14"/>
        <v>0</v>
      </c>
      <c r="AZ49" s="305">
        <f>IF(AZ$42=$E49,SUM(AJ49:$AL49),0)</f>
        <v>0</v>
      </c>
      <c r="BA49" s="305">
        <f>IF(BA$42=$E49,SUM(AK49:$AL49),0)</f>
        <v>13200</v>
      </c>
      <c r="BB49" s="305">
        <f>IF(BB$42=$E49,SUM(AL49:$AL49),0)</f>
        <v>0</v>
      </c>
      <c r="BD49" s="304">
        <f t="shared" si="11"/>
        <v>0</v>
      </c>
    </row>
    <row r="50" spans="1:56" x14ac:dyDescent="0.25">
      <c r="A50" s="300" t="s">
        <v>160</v>
      </c>
      <c r="B50" s="259" t="str">
        <f>VLOOKUP(A50,'DFP-Com'!$A$16:$B$50,2,1)</f>
        <v xml:space="preserve">     4.1.a  Staff Compensation*</v>
      </c>
      <c r="C50" s="300" t="s">
        <v>254</v>
      </c>
      <c r="D50" s="236">
        <f>3000*24</f>
        <v>72000</v>
      </c>
      <c r="E50" s="300" t="s">
        <v>216</v>
      </c>
      <c r="G50" s="307"/>
      <c r="H50" s="322"/>
      <c r="I50" s="307">
        <f>3000*3</f>
        <v>9000</v>
      </c>
      <c r="J50" s="307">
        <f t="shared" ref="J50:P50" si="18">3000*3</f>
        <v>9000</v>
      </c>
      <c r="K50" s="307">
        <f t="shared" si="18"/>
        <v>9000</v>
      </c>
      <c r="L50" s="307">
        <f t="shared" si="18"/>
        <v>9000</v>
      </c>
      <c r="M50" s="307">
        <f t="shared" si="18"/>
        <v>9000</v>
      </c>
      <c r="N50" s="307">
        <f t="shared" si="18"/>
        <v>9000</v>
      </c>
      <c r="O50" s="307">
        <f t="shared" si="18"/>
        <v>9000</v>
      </c>
      <c r="P50" s="307">
        <f t="shared" si="18"/>
        <v>9000</v>
      </c>
      <c r="Q50" s="307"/>
      <c r="R50" s="307"/>
      <c r="S50" s="307"/>
      <c r="T50" s="307"/>
      <c r="U50" s="307">
        <f t="shared" si="15"/>
        <v>72000</v>
      </c>
      <c r="X50" s="254"/>
      <c r="Y50" s="305"/>
      <c r="Z50" s="305"/>
      <c r="AA50" s="305"/>
      <c r="AB50" s="305"/>
      <c r="AC50" s="305"/>
      <c r="AD50" s="305"/>
      <c r="AE50" s="305"/>
      <c r="AF50" s="305"/>
      <c r="AG50" s="305"/>
      <c r="AH50" s="305"/>
      <c r="AI50" s="305"/>
      <c r="AJ50" s="305"/>
      <c r="AK50" s="305"/>
      <c r="AL50" s="305"/>
      <c r="AM50" s="242"/>
      <c r="AN50" s="305"/>
      <c r="AO50" s="305"/>
      <c r="AP50" s="305"/>
      <c r="AQ50" s="305"/>
      <c r="AR50" s="305"/>
      <c r="AS50" s="305"/>
      <c r="AT50" s="305"/>
      <c r="AU50" s="305"/>
      <c r="AV50" s="305"/>
      <c r="AW50" s="305"/>
      <c r="AX50" s="305"/>
      <c r="AY50" s="305"/>
      <c r="AZ50" s="305"/>
      <c r="BA50" s="305"/>
      <c r="BB50" s="305"/>
      <c r="BD50" s="304"/>
    </row>
    <row r="51" spans="1:56" x14ac:dyDescent="0.25">
      <c r="A51" s="300" t="s">
        <v>148</v>
      </c>
      <c r="B51" s="248" t="str">
        <f>VLOOKUP(A51,'DFP-Com'!$A$16:$B$50,2,1)</f>
        <v xml:space="preserve">     1.2.a  TVET</v>
      </c>
      <c r="C51" s="300" t="s">
        <v>223</v>
      </c>
      <c r="D51" s="236">
        <f t="shared" ref="D51" si="19">SUM(F51:T51)</f>
        <v>144000</v>
      </c>
      <c r="E51" s="300" t="s">
        <v>216</v>
      </c>
      <c r="G51" s="307"/>
      <c r="H51" s="322">
        <v>0</v>
      </c>
      <c r="I51" s="307">
        <v>12000</v>
      </c>
      <c r="J51" s="307">
        <v>12000</v>
      </c>
      <c r="K51" s="307">
        <v>12000</v>
      </c>
      <c r="L51" s="307">
        <v>12000</v>
      </c>
      <c r="M51" s="307">
        <v>12000</v>
      </c>
      <c r="N51" s="307">
        <v>12000</v>
      </c>
      <c r="O51" s="307">
        <v>12000</v>
      </c>
      <c r="P51" s="307">
        <v>12000</v>
      </c>
      <c r="Q51" s="307">
        <v>12000</v>
      </c>
      <c r="R51" s="307">
        <v>12000</v>
      </c>
      <c r="S51" s="307">
        <v>12000</v>
      </c>
      <c r="T51" s="307">
        <v>12000</v>
      </c>
      <c r="U51" s="307">
        <f t="shared" si="15"/>
        <v>144000</v>
      </c>
      <c r="X51" s="254">
        <f t="shared" si="13"/>
        <v>0</v>
      </c>
      <c r="Y51" s="305">
        <f t="shared" si="13"/>
        <v>0</v>
      </c>
      <c r="Z51" s="305">
        <f t="shared" si="13"/>
        <v>0</v>
      </c>
      <c r="AA51" s="305">
        <f t="shared" si="13"/>
        <v>12000</v>
      </c>
      <c r="AB51" s="305">
        <f t="shared" si="13"/>
        <v>12000</v>
      </c>
      <c r="AC51" s="305">
        <f t="shared" si="13"/>
        <v>12000</v>
      </c>
      <c r="AD51" s="305">
        <f t="shared" si="13"/>
        <v>12000</v>
      </c>
      <c r="AE51" s="305">
        <f t="shared" si="13"/>
        <v>12000</v>
      </c>
      <c r="AF51" s="305">
        <f t="shared" si="13"/>
        <v>12000</v>
      </c>
      <c r="AG51" s="305">
        <f t="shared" si="13"/>
        <v>12000</v>
      </c>
      <c r="AH51" s="305">
        <f t="shared" si="13"/>
        <v>12000</v>
      </c>
      <c r="AI51" s="305">
        <f t="shared" si="13"/>
        <v>12000</v>
      </c>
      <c r="AJ51" s="305">
        <f t="shared" si="13"/>
        <v>12000</v>
      </c>
      <c r="AK51" s="305">
        <f t="shared" si="13"/>
        <v>12000</v>
      </c>
      <c r="AL51" s="305">
        <f t="shared" si="13"/>
        <v>12000</v>
      </c>
      <c r="AM51" s="242"/>
      <c r="AN51" s="305">
        <f t="shared" si="16"/>
        <v>0</v>
      </c>
      <c r="AO51" s="305">
        <f t="shared" si="14"/>
        <v>0</v>
      </c>
      <c r="AP51" s="305">
        <f t="shared" si="14"/>
        <v>0</v>
      </c>
      <c r="AQ51" s="305">
        <f t="shared" si="14"/>
        <v>48000</v>
      </c>
      <c r="AR51" s="305">
        <f t="shared" si="14"/>
        <v>0</v>
      </c>
      <c r="AS51" s="305">
        <f t="shared" si="14"/>
        <v>0</v>
      </c>
      <c r="AT51" s="305">
        <f t="shared" si="14"/>
        <v>0</v>
      </c>
      <c r="AU51" s="305">
        <f t="shared" si="14"/>
        <v>48000</v>
      </c>
      <c r="AV51" s="305">
        <f t="shared" si="14"/>
        <v>0</v>
      </c>
      <c r="AW51" s="305">
        <f t="shared" si="14"/>
        <v>0</v>
      </c>
      <c r="AX51" s="305">
        <f t="shared" si="14"/>
        <v>0</v>
      </c>
      <c r="AY51" s="305">
        <f t="shared" si="14"/>
        <v>48000</v>
      </c>
      <c r="AZ51" s="305">
        <f>IF(AZ$42=$E51,SUM(AJ51:$AL51),0)</f>
        <v>0</v>
      </c>
      <c r="BA51" s="305">
        <f>IF(BA$42=$E51,SUM(AK51:$AL51),0)</f>
        <v>0</v>
      </c>
      <c r="BB51" s="305">
        <f>IF(BB$42=$E51,SUM(AL51:$AL51),0)</f>
        <v>0</v>
      </c>
      <c r="BD51" s="304">
        <f t="shared" si="11"/>
        <v>0</v>
      </c>
    </row>
    <row r="52" spans="1:56" x14ac:dyDescent="0.25">
      <c r="G52" s="307"/>
      <c r="H52" s="322"/>
      <c r="I52" s="307"/>
      <c r="J52" s="307"/>
      <c r="K52" s="307"/>
      <c r="L52" s="307"/>
      <c r="M52" s="307"/>
      <c r="N52" s="307"/>
      <c r="O52" s="307"/>
      <c r="P52" s="307"/>
      <c r="Q52" s="307"/>
      <c r="R52" s="307"/>
      <c r="S52" s="307"/>
      <c r="T52" s="307"/>
      <c r="U52" s="307"/>
      <c r="X52" s="241"/>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D52" s="304">
        <f t="shared" si="11"/>
        <v>0</v>
      </c>
    </row>
    <row r="53" spans="1:56" x14ac:dyDescent="0.25">
      <c r="A53" s="238" t="s">
        <v>208</v>
      </c>
      <c r="B53" s="238"/>
      <c r="C53" s="238"/>
      <c r="D53" s="238"/>
      <c r="E53" s="238"/>
      <c r="G53" s="307"/>
      <c r="H53" s="322"/>
      <c r="I53" s="307"/>
      <c r="J53" s="307"/>
      <c r="K53" s="307"/>
      <c r="L53" s="307"/>
      <c r="M53" s="307"/>
      <c r="N53" s="307"/>
      <c r="O53" s="307"/>
      <c r="P53" s="307"/>
      <c r="Q53" s="307"/>
      <c r="R53" s="307"/>
      <c r="S53" s="307"/>
      <c r="T53" s="307"/>
      <c r="U53" s="307"/>
      <c r="X53" s="241"/>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D53" s="304">
        <f t="shared" si="11"/>
        <v>0</v>
      </c>
    </row>
    <row r="54" spans="1:56" x14ac:dyDescent="0.25">
      <c r="A54" s="300" t="s">
        <v>163</v>
      </c>
      <c r="B54" s="259" t="str">
        <f>VLOOKUP(A54,'DFP-Com'!$A$16:$B$50,2,1)</f>
        <v xml:space="preserve">     4.1.d  Other</v>
      </c>
      <c r="C54" s="300" t="s">
        <v>202</v>
      </c>
      <c r="D54" s="236">
        <v>20000</v>
      </c>
      <c r="G54" s="307">
        <v>1267.82</v>
      </c>
      <c r="H54" s="322">
        <v>2000</v>
      </c>
      <c r="I54" s="307">
        <v>1400</v>
      </c>
      <c r="J54" s="307">
        <v>1400</v>
      </c>
      <c r="K54" s="307">
        <v>1400</v>
      </c>
      <c r="L54" s="307">
        <v>1400</v>
      </c>
      <c r="M54" s="307">
        <v>1400</v>
      </c>
      <c r="N54" s="307">
        <v>1400</v>
      </c>
      <c r="O54" s="307">
        <v>1400</v>
      </c>
      <c r="P54" s="307">
        <v>1400</v>
      </c>
      <c r="Q54" s="307">
        <v>1400</v>
      </c>
      <c r="R54" s="307">
        <v>1400</v>
      </c>
      <c r="S54" s="307">
        <v>1400</v>
      </c>
      <c r="T54" s="307">
        <f>1400-68</f>
        <v>1332</v>
      </c>
      <c r="U54" s="307">
        <f t="shared" si="15"/>
        <v>19999.82</v>
      </c>
      <c r="X54" s="254">
        <f t="shared" ref="X54:AL55" si="20">F54</f>
        <v>0</v>
      </c>
      <c r="Y54" s="305">
        <f t="shared" si="20"/>
        <v>1267.82</v>
      </c>
      <c r="Z54" s="305">
        <f t="shared" si="20"/>
        <v>2000</v>
      </c>
      <c r="AA54" s="305">
        <f t="shared" si="20"/>
        <v>1400</v>
      </c>
      <c r="AB54" s="305">
        <f t="shared" si="20"/>
        <v>1400</v>
      </c>
      <c r="AC54" s="305">
        <f t="shared" si="20"/>
        <v>1400</v>
      </c>
      <c r="AD54" s="305">
        <f t="shared" si="20"/>
        <v>1400</v>
      </c>
      <c r="AE54" s="305">
        <f t="shared" si="20"/>
        <v>1400</v>
      </c>
      <c r="AF54" s="305">
        <f t="shared" si="20"/>
        <v>1400</v>
      </c>
      <c r="AG54" s="305">
        <f t="shared" si="20"/>
        <v>1400</v>
      </c>
      <c r="AH54" s="305">
        <f t="shared" si="20"/>
        <v>1400</v>
      </c>
      <c r="AI54" s="305">
        <f t="shared" si="20"/>
        <v>1400</v>
      </c>
      <c r="AJ54" s="305">
        <f t="shared" si="20"/>
        <v>1400</v>
      </c>
      <c r="AK54" s="305">
        <f t="shared" si="20"/>
        <v>1400</v>
      </c>
      <c r="AL54" s="305">
        <f t="shared" si="20"/>
        <v>1332</v>
      </c>
      <c r="AM54" s="242"/>
      <c r="AN54" s="305">
        <f>X54</f>
        <v>0</v>
      </c>
      <c r="AO54" s="305">
        <f t="shared" ref="AO54:BB55" si="21">Y54</f>
        <v>1267.82</v>
      </c>
      <c r="AP54" s="305">
        <f t="shared" si="21"/>
        <v>2000</v>
      </c>
      <c r="AQ54" s="305">
        <f t="shared" si="21"/>
        <v>1400</v>
      </c>
      <c r="AR54" s="305">
        <f t="shared" si="21"/>
        <v>1400</v>
      </c>
      <c r="AS54" s="305">
        <f t="shared" si="21"/>
        <v>1400</v>
      </c>
      <c r="AT54" s="305">
        <f t="shared" si="21"/>
        <v>1400</v>
      </c>
      <c r="AU54" s="305">
        <f t="shared" si="21"/>
        <v>1400</v>
      </c>
      <c r="AV54" s="305">
        <f t="shared" si="21"/>
        <v>1400</v>
      </c>
      <c r="AW54" s="305">
        <f t="shared" si="21"/>
        <v>1400</v>
      </c>
      <c r="AX54" s="305">
        <f t="shared" si="21"/>
        <v>1400</v>
      </c>
      <c r="AY54" s="305">
        <f t="shared" si="21"/>
        <v>1400</v>
      </c>
      <c r="AZ54" s="305">
        <f t="shared" si="21"/>
        <v>1400</v>
      </c>
      <c r="BA54" s="305">
        <f t="shared" si="21"/>
        <v>1400</v>
      </c>
      <c r="BB54" s="305">
        <f t="shared" si="21"/>
        <v>1332</v>
      </c>
      <c r="BD54" s="304">
        <f t="shared" si="11"/>
        <v>0</v>
      </c>
    </row>
    <row r="55" spans="1:56" x14ac:dyDescent="0.25">
      <c r="A55" s="300" t="s">
        <v>161</v>
      </c>
      <c r="B55" s="259" t="str">
        <f>VLOOKUP(A55,'DFP-Com'!$A$16:$B$50,2,1)</f>
        <v xml:space="preserve">     4.1.b  Travel*</v>
      </c>
      <c r="C55" s="300" t="s">
        <v>203</v>
      </c>
      <c r="D55" s="236">
        <v>35000</v>
      </c>
      <c r="G55" s="307">
        <v>0</v>
      </c>
      <c r="H55" s="322">
        <v>4000</v>
      </c>
      <c r="I55" s="307">
        <v>2500</v>
      </c>
      <c r="J55" s="307">
        <v>2500</v>
      </c>
      <c r="K55" s="307">
        <v>2500</v>
      </c>
      <c r="L55" s="307">
        <v>3500</v>
      </c>
      <c r="M55" s="307">
        <v>2500</v>
      </c>
      <c r="N55" s="307">
        <v>2500</v>
      </c>
      <c r="O55" s="307">
        <v>2500</v>
      </c>
      <c r="P55" s="307">
        <v>2500</v>
      </c>
      <c r="Q55" s="307">
        <v>2500</v>
      </c>
      <c r="R55" s="307">
        <v>2500</v>
      </c>
      <c r="S55" s="307">
        <v>2500</v>
      </c>
      <c r="T55" s="307">
        <v>2500</v>
      </c>
      <c r="U55" s="307">
        <f t="shared" si="15"/>
        <v>35000</v>
      </c>
      <c r="X55" s="254">
        <f t="shared" si="20"/>
        <v>0</v>
      </c>
      <c r="Y55" s="305">
        <f t="shared" si="20"/>
        <v>0</v>
      </c>
      <c r="Z55" s="305">
        <f t="shared" si="20"/>
        <v>4000</v>
      </c>
      <c r="AA55" s="305">
        <f t="shared" si="20"/>
        <v>2500</v>
      </c>
      <c r="AB55" s="305">
        <f t="shared" si="20"/>
        <v>2500</v>
      </c>
      <c r="AC55" s="305">
        <f t="shared" si="20"/>
        <v>2500</v>
      </c>
      <c r="AD55" s="305">
        <f t="shared" si="20"/>
        <v>3500</v>
      </c>
      <c r="AE55" s="305">
        <f t="shared" si="20"/>
        <v>2500</v>
      </c>
      <c r="AF55" s="305">
        <f t="shared" si="20"/>
        <v>2500</v>
      </c>
      <c r="AG55" s="305">
        <f t="shared" si="20"/>
        <v>2500</v>
      </c>
      <c r="AH55" s="305">
        <f t="shared" si="20"/>
        <v>2500</v>
      </c>
      <c r="AI55" s="305">
        <f t="shared" si="20"/>
        <v>2500</v>
      </c>
      <c r="AJ55" s="305">
        <f t="shared" si="20"/>
        <v>2500</v>
      </c>
      <c r="AK55" s="305">
        <f t="shared" si="20"/>
        <v>2500</v>
      </c>
      <c r="AL55" s="305">
        <f t="shared" si="20"/>
        <v>2500</v>
      </c>
      <c r="AM55" s="242"/>
      <c r="AN55" s="305">
        <f>X55</f>
        <v>0</v>
      </c>
      <c r="AO55" s="305">
        <f t="shared" si="21"/>
        <v>0</v>
      </c>
      <c r="AP55" s="305">
        <f t="shared" si="21"/>
        <v>4000</v>
      </c>
      <c r="AQ55" s="305">
        <f t="shared" si="21"/>
        <v>2500</v>
      </c>
      <c r="AR55" s="305">
        <f t="shared" si="21"/>
        <v>2500</v>
      </c>
      <c r="AS55" s="305">
        <f t="shared" si="21"/>
        <v>2500</v>
      </c>
      <c r="AT55" s="305">
        <f t="shared" si="21"/>
        <v>3500</v>
      </c>
      <c r="AU55" s="305">
        <f t="shared" si="21"/>
        <v>2500</v>
      </c>
      <c r="AV55" s="305">
        <f t="shared" si="21"/>
        <v>2500</v>
      </c>
      <c r="AW55" s="305">
        <f t="shared" si="21"/>
        <v>2500</v>
      </c>
      <c r="AX55" s="305">
        <f t="shared" si="21"/>
        <v>2500</v>
      </c>
      <c r="AY55" s="305">
        <f t="shared" si="21"/>
        <v>2500</v>
      </c>
      <c r="AZ55" s="305">
        <f t="shared" si="21"/>
        <v>2500</v>
      </c>
      <c r="BA55" s="305">
        <f t="shared" si="21"/>
        <v>2500</v>
      </c>
      <c r="BB55" s="305">
        <f t="shared" si="21"/>
        <v>2500</v>
      </c>
      <c r="BD55" s="304">
        <f t="shared" si="11"/>
        <v>0</v>
      </c>
    </row>
    <row r="56" spans="1:56" s="250" customFormat="1" x14ac:dyDescent="0.25">
      <c r="A56" s="251"/>
      <c r="D56" s="252"/>
      <c r="H56" s="323"/>
      <c r="U56" s="253"/>
      <c r="V56" s="300"/>
      <c r="W56" s="300"/>
      <c r="X56" s="247"/>
      <c r="Y56" s="247"/>
      <c r="Z56" s="247"/>
      <c r="AA56" s="247"/>
      <c r="AB56" s="247"/>
      <c r="AC56" s="247"/>
      <c r="AD56" s="247"/>
      <c r="AE56" s="247"/>
      <c r="AF56" s="247"/>
      <c r="AG56" s="247"/>
      <c r="AH56" s="247"/>
      <c r="AI56" s="247"/>
      <c r="AJ56" s="247"/>
      <c r="AK56" s="247"/>
      <c r="AL56" s="247"/>
    </row>
    <row r="57" spans="1:56" x14ac:dyDescent="0.25">
      <c r="B57" s="241" t="s">
        <v>227</v>
      </c>
      <c r="D57" s="254">
        <f>SUM(D4:D55)</f>
        <v>23584570</v>
      </c>
      <c r="E57" s="241"/>
      <c r="F57" s="241"/>
      <c r="G57" s="241"/>
      <c r="H57" s="324"/>
      <c r="I57" s="241"/>
      <c r="J57" s="241"/>
      <c r="K57" s="241"/>
      <c r="L57" s="241"/>
      <c r="M57" s="241"/>
      <c r="N57" s="241"/>
      <c r="O57" s="241"/>
      <c r="P57" s="241"/>
      <c r="Q57" s="241"/>
      <c r="R57" s="241"/>
      <c r="T57" s="241"/>
      <c r="U57" s="241"/>
      <c r="X57" s="304" t="s">
        <v>121</v>
      </c>
    </row>
    <row r="58" spans="1:56" x14ac:dyDescent="0.25">
      <c r="D58" s="257"/>
      <c r="E58" s="258"/>
      <c r="F58" s="258"/>
      <c r="G58" s="258"/>
      <c r="H58" s="323"/>
      <c r="I58" s="258"/>
      <c r="J58" s="258"/>
      <c r="K58" s="258"/>
      <c r="L58" s="258"/>
      <c r="M58" s="258"/>
      <c r="N58" s="258"/>
      <c r="O58" s="258"/>
      <c r="P58" s="258"/>
      <c r="Q58" s="258"/>
      <c r="R58" s="258"/>
      <c r="S58" s="258"/>
      <c r="T58" s="258"/>
      <c r="U58" s="258"/>
      <c r="X58" s="304"/>
    </row>
    <row r="59" spans="1:56" x14ac:dyDescent="0.25">
      <c r="A59" s="300" t="s">
        <v>145</v>
      </c>
      <c r="B59" s="419" t="str">
        <f>VLOOKUP(A59,'DFP-Com'!$A$16:$B$50,2,1)</f>
        <v xml:space="preserve">     1.1.a  Education Project Implementation Contract</v>
      </c>
      <c r="C59" s="419"/>
      <c r="D59" s="236">
        <f>SUMIF($A$4:$A$56,"="&amp;A59,$D$4:$D$56)</f>
        <v>8700000</v>
      </c>
    </row>
    <row r="60" spans="1:56" x14ac:dyDescent="0.25">
      <c r="A60" s="300" t="s">
        <v>146</v>
      </c>
      <c r="B60" s="419" t="str">
        <f>VLOOKUP(A60,'DFP-Com'!$A$16:$B$50,2,1)</f>
        <v xml:space="preserve">     1.1.b  Grants to Universities for Teacher Training (Diplomados)</v>
      </c>
      <c r="C60" s="419"/>
      <c r="D60" s="236">
        <f>SUMIF($A$4:$A$56,"="&amp;A60,$D$4:$D$56)</f>
        <v>3000000</v>
      </c>
    </row>
    <row r="61" spans="1:56" x14ac:dyDescent="0.25">
      <c r="A61" s="300" t="s">
        <v>148</v>
      </c>
      <c r="B61" s="419" t="str">
        <f>VLOOKUP(A61,'DFP-Com'!$A$16:$B$50,2,1)</f>
        <v xml:space="preserve">     1.2.a  TVET</v>
      </c>
      <c r="C61" s="419"/>
      <c r="D61" s="236">
        <f>SUMIF($A$4:$A$56,"="&amp;A61,$D$4:$D$56)</f>
        <v>4144000</v>
      </c>
    </row>
    <row r="62" spans="1:56" x14ac:dyDescent="0.25">
      <c r="A62" s="300" t="s">
        <v>149</v>
      </c>
      <c r="B62" s="419" t="str">
        <f>VLOOKUP(A62,'DFP-Com'!$A$16:$B$50,2,1)</f>
        <v xml:space="preserve">     1.3.a  Education Project Implementation Contract</v>
      </c>
      <c r="C62" s="419"/>
      <c r="D62" s="236">
        <f>SUMIF($A$4:$A$56,"="&amp;A62,$D$4:$D$56)</f>
        <v>2500000</v>
      </c>
    </row>
    <row r="63" spans="1:56" x14ac:dyDescent="0.25">
      <c r="A63" s="300" t="s">
        <v>150</v>
      </c>
      <c r="B63" s="419" t="str">
        <f>VLOOKUP(A63,'DFP-Com'!$A$16:$B$50,2,1)</f>
        <v xml:space="preserve">     1.3.b  Education Project Coordination team*</v>
      </c>
      <c r="C63" s="419"/>
      <c r="D63" s="236">
        <f>SUMIF($A$4:$A$56,"="&amp;A63,$D$4:$D$56)</f>
        <v>178400</v>
      </c>
    </row>
    <row r="64" spans="1:56" x14ac:dyDescent="0.25">
      <c r="B64" s="309" t="s">
        <v>244</v>
      </c>
      <c r="C64" s="309"/>
      <c r="D64" s="310">
        <f>SUM(D59:D63)</f>
        <v>18522400</v>
      </c>
      <c r="E64" s="246">
        <f>'QFR - B'!G14</f>
        <v>19300000</v>
      </c>
      <c r="F64" s="304">
        <f>E64-D64</f>
        <v>777600</v>
      </c>
    </row>
    <row r="65" spans="1:6" x14ac:dyDescent="0.25">
      <c r="A65" s="300" t="s">
        <v>152</v>
      </c>
      <c r="B65" s="419" t="str">
        <f>VLOOKUP(A65,'DFP-Com'!$A$16:$B$50,2,1)</f>
        <v xml:space="preserve">     2.1.a  Tax and Customs</v>
      </c>
      <c r="C65" s="419"/>
      <c r="D65" s="236">
        <f>SUMIF($A$4:$A$56,"="&amp;A65,$D$4:$D$56)</f>
        <v>384000</v>
      </c>
    </row>
    <row r="66" spans="1:6" x14ac:dyDescent="0.25">
      <c r="B66" s="309" t="s">
        <v>245</v>
      </c>
      <c r="C66" s="309"/>
      <c r="D66" s="311">
        <f>D65</f>
        <v>384000</v>
      </c>
      <c r="E66" s="246">
        <f>'QFR - B'!G20</f>
        <v>800000</v>
      </c>
      <c r="F66" s="304">
        <f>E66-D66</f>
        <v>416000</v>
      </c>
    </row>
    <row r="67" spans="1:6" x14ac:dyDescent="0.25">
      <c r="A67" s="300" t="s">
        <v>153</v>
      </c>
      <c r="B67" s="419" t="str">
        <f>VLOOKUP(A67,'DFP-Com'!$A$16:$B$50,2,1)</f>
        <v xml:space="preserve">     2.2.a  Advisors</v>
      </c>
      <c r="C67" s="419"/>
      <c r="D67" s="236">
        <f>SUMIF($A$4:$A$56,"="&amp;A67,$D$4:$D$56)</f>
        <v>728750</v>
      </c>
    </row>
    <row r="68" spans="1:6" x14ac:dyDescent="0.25">
      <c r="A68" s="300" t="s">
        <v>154</v>
      </c>
      <c r="B68" s="419" t="str">
        <f>VLOOKUP(A68,'DFP-Com'!$A$16:$B$50,2,1)</f>
        <v xml:space="preserve">     2.2.b  Feasiblity Studies/  Transaction Advisory Services</v>
      </c>
      <c r="C68" s="419"/>
      <c r="D68" s="236">
        <f>SUMIF($A$4:$A$56,"="&amp;A68,$D$4:$D$56)</f>
        <v>1650000</v>
      </c>
    </row>
    <row r="69" spans="1:6" x14ac:dyDescent="0.25">
      <c r="B69" s="309" t="s">
        <v>246</v>
      </c>
      <c r="C69" s="309"/>
      <c r="D69" s="311">
        <f>SUM(D67:D68)</f>
        <v>2378750</v>
      </c>
      <c r="E69" s="246">
        <f>'QFR - B'!G21</f>
        <v>3600000</v>
      </c>
      <c r="F69" s="304">
        <f>E69-D69</f>
        <v>1221250</v>
      </c>
    </row>
    <row r="70" spans="1:6" x14ac:dyDescent="0.25">
      <c r="A70" s="300" t="s">
        <v>156</v>
      </c>
      <c r="B70" s="419" t="str">
        <f>VLOOKUP(A70,'DFP-Com'!$A$16:$B$50,2,1)</f>
        <v xml:space="preserve">     3.1.a  Student Assessment</v>
      </c>
      <c r="C70" s="419"/>
      <c r="D70" s="236">
        <f>SUMIF($A$4:$A$56,"="&amp;A70,$D$4:$D$56)</f>
        <v>706400</v>
      </c>
    </row>
    <row r="71" spans="1:6" x14ac:dyDescent="0.25">
      <c r="A71" s="300" t="s">
        <v>157</v>
      </c>
      <c r="B71" s="419" t="str">
        <f>VLOOKUP(A71,'DFP-Com'!$A$16:$B$50,2,1)</f>
        <v xml:space="preserve">     3.1.b  Teacher Evaluations</v>
      </c>
      <c r="C71" s="419"/>
      <c r="D71" s="236">
        <f>SUMIF($A$4:$A$56,"="&amp;A71,$D$4:$D$56)</f>
        <v>300000</v>
      </c>
    </row>
    <row r="72" spans="1:6" x14ac:dyDescent="0.25">
      <c r="A72" s="300" t="s">
        <v>158</v>
      </c>
      <c r="B72" s="419" t="str">
        <f>VLOOKUP(A72,'DFP-Com'!$A$16:$B$50,2,1)</f>
        <v xml:space="preserve">     3.1.c  Voc Ed Tracer Studies</v>
      </c>
      <c r="C72" s="419"/>
      <c r="D72" s="236">
        <f>SUMIF($A$4:$A$56,"="&amp;A72,$D$4:$D$56)</f>
        <v>300000</v>
      </c>
    </row>
    <row r="73" spans="1:6" x14ac:dyDescent="0.25">
      <c r="A73" s="300" t="s">
        <v>159</v>
      </c>
      <c r="B73" s="419" t="str">
        <f>VLOOKUP(A73,'DFP-Com'!$A$16:$B$50,2,1)</f>
        <v xml:space="preserve">     3.1 d Other</v>
      </c>
      <c r="C73" s="419"/>
      <c r="D73" s="236">
        <f>SUMIF($A$4:$A$56,"="&amp;A73,$D$4:$D$56)</f>
        <v>200000</v>
      </c>
    </row>
    <row r="74" spans="1:6" x14ac:dyDescent="0.25">
      <c r="B74" s="309" t="s">
        <v>226</v>
      </c>
      <c r="C74" s="309"/>
      <c r="D74" s="311">
        <f>SUM(D70:D73)</f>
        <v>1506400</v>
      </c>
      <c r="E74" s="246">
        <f>'QFR - B'!G24</f>
        <v>1700000</v>
      </c>
      <c r="F74" s="304">
        <f>E74-D74</f>
        <v>193600</v>
      </c>
    </row>
    <row r="75" spans="1:6" x14ac:dyDescent="0.25">
      <c r="A75" s="300" t="s">
        <v>160</v>
      </c>
      <c r="B75" s="419" t="str">
        <f>VLOOKUP(A75,'DFP-Com'!$A$16:$B$50,2,1)</f>
        <v xml:space="preserve">     4.1.a  Staff Compensation*</v>
      </c>
      <c r="C75" s="419"/>
      <c r="D75" s="236">
        <f>SUMIF($A$4:$A$56,"="&amp;A75,$D$4:$D$56)</f>
        <v>636520</v>
      </c>
    </row>
    <row r="76" spans="1:6" x14ac:dyDescent="0.25">
      <c r="A76" s="300" t="s">
        <v>161</v>
      </c>
      <c r="B76" s="419" t="str">
        <f>VLOOKUP(A76,'DFP-Com'!$A$16:$B$50,2,1)</f>
        <v xml:space="preserve">     4.1.b  Travel*</v>
      </c>
      <c r="C76" s="419"/>
      <c r="D76" s="236">
        <f>SUMIF($A$4:$A$56,"="&amp;A76,$D$4:$D$56)</f>
        <v>35000</v>
      </c>
    </row>
    <row r="77" spans="1:6" x14ac:dyDescent="0.25">
      <c r="A77" s="300" t="s">
        <v>162</v>
      </c>
      <c r="B77" s="419" t="str">
        <f>VLOOKUP(A77,'DFP-Com'!$A$16:$B$50,2,1)</f>
        <v xml:space="preserve">     4.1.c  Audit</v>
      </c>
      <c r="C77" s="419"/>
      <c r="D77" s="236">
        <f>SUMIF($A$4:$A$56,"="&amp;A77,$D$4:$D$56)</f>
        <v>90000</v>
      </c>
    </row>
    <row r="78" spans="1:6" x14ac:dyDescent="0.25">
      <c r="A78" s="300" t="s">
        <v>163</v>
      </c>
      <c r="B78" s="419" t="str">
        <f>VLOOKUP(A78,'DFP-Com'!$A$16:$B$50,2,1)</f>
        <v xml:space="preserve">     4.1.d  Other</v>
      </c>
      <c r="C78" s="419"/>
      <c r="D78" s="236">
        <f>SUMIF($A$4:$A$56,"="&amp;A78,$D$4:$D$56)</f>
        <v>31500</v>
      </c>
    </row>
    <row r="79" spans="1:6" x14ac:dyDescent="0.25">
      <c r="B79" s="309" t="s">
        <v>247</v>
      </c>
      <c r="C79" s="309"/>
      <c r="D79" s="311">
        <f>SUM(D75:D78)</f>
        <v>793020</v>
      </c>
      <c r="E79" s="246">
        <f>'QFR - B'!G27</f>
        <v>797500</v>
      </c>
      <c r="F79" s="304">
        <f>E79-D79</f>
        <v>4480</v>
      </c>
    </row>
  </sheetData>
  <autoFilter ref="A3:BD38"/>
  <mergeCells count="16">
    <mergeCell ref="B75:C75"/>
    <mergeCell ref="B76:C76"/>
    <mergeCell ref="B77:C77"/>
    <mergeCell ref="B78:C78"/>
    <mergeCell ref="B67:C67"/>
    <mergeCell ref="B68:C68"/>
    <mergeCell ref="B70:C70"/>
    <mergeCell ref="B71:C71"/>
    <mergeCell ref="B72:C72"/>
    <mergeCell ref="B73:C73"/>
    <mergeCell ref="B65:C65"/>
    <mergeCell ref="B59:C59"/>
    <mergeCell ref="B60:C60"/>
    <mergeCell ref="B61:C61"/>
    <mergeCell ref="B62:C62"/>
    <mergeCell ref="B63:C6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3C046C-33C0-43F6-B7B3-4A615857768F}">
  <ds:schemaRef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d3b91ed5-3f36-4885-8f16-366304d6a523"/>
    <ds:schemaRef ds:uri="c6aa829a-de30-4eeb-a917-5f1e16f11f75"/>
    <ds:schemaRef ds:uri="133de3ae-5bb8-4cbb-9752-c1040d721e37"/>
  </ds:schemaRefs>
</ds:datastoreItem>
</file>

<file path=customXml/itemProps2.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3.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4.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2018-03-15T22:03:34Z</cp:lastPrinted>
  <dcterms:created xsi:type="dcterms:W3CDTF">2016-05-12T16:21:20Z</dcterms:created>
  <dcterms:modified xsi:type="dcterms:W3CDTF">2021-12-21T03:51:21Z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